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№1" r:id="rId1" sheetId="1" state="visible"/>
    <sheet name="Приложение №2" r:id="rId2" sheetId="2" state="visible"/>
    <sheet name="Лист1" r:id="rId3" sheetId="3" state="hidden"/>
  </sheets>
  <externalReferences>
    <externalReference r:id="rId4"/>
    <externalReference r:id="rId5"/>
    <externalReference r:id="rId6"/>
  </externalReferences>
  <definedNames>
    <definedName hidden="false" localSheetId="0" name="_xlnm.Print_Area">'Приложение №1'!$A$1:$Z$699</definedName>
    <definedName hidden="true" localSheetId="0" name="_xlnm._FilterDatabase">'Приложение №1'!$A$12:$Z$875</definedName>
    <definedName hidden="false" localSheetId="1" name="_xlnm.Print_Area">'Приложение №2'!$A$1:$R$697</definedName>
    <definedName hidden="true" localSheetId="1" name="_xlnm._FilterDatabase">'Приложение №2'!$A$10:$BN$875</definedName>
  </definedNames>
  <calcPr calcCompleted="true" calcMode="auto" calcOnSave="false" fullCalcOnLoad="false"/>
</workbook>
</file>

<file path=xl/comments1.xml><?xml version="1.0" encoding="utf-8"?>
<comments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P75">
      <text>
        <r>
          <rPr>
            <rFont val="Tahoma"/>
            <b val="true"/>
            <color rgb="000000" tint="0"/>
            <sz val="9"/>
          </rPr>
          <t>НамыловЮИ:</t>
        </r>
        <r>
          <t xml:space="preserve">
</t>
        </r>
        <r>
          <rPr>
            <rFont val="Tahoma"/>
            <color rgb="000000" tint="0"/>
            <sz val="9"/>
          </rPr>
          <t>полностью убрать</t>
        </r>
      </text>
    </comment>
    <comment authorId="0" ref="P23">
      <text>
        <r>
          <rPr>
            <rFont val="Tahoma"/>
            <b val="true"/>
            <color rgb="000000" tint="0"/>
            <sz val="9"/>
          </rPr>
          <t>НамыловЮИ:</t>
        </r>
        <r>
          <t xml:space="preserve">
</t>
        </r>
        <r>
          <rPr>
            <rFont val="Tahoma"/>
            <color rgb="000000" tint="0"/>
            <sz val="9"/>
          </rPr>
          <t>убрать полностью</t>
        </r>
        <r>
          <t xml:space="preserve">
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<sst xmlns="http://schemas.openxmlformats.org/spreadsheetml/2006/main" xmlns:a="http://schemas.openxmlformats.org/drawingml/2006/main" xmlns:a15="http://schemas.microsoft.com/office/drawing/2012/main" xmlns:asvg="http://schemas.microsoft.com/office/drawing/2016/SVG/main" xmlns:c="http://schemas.openxmlformats.org/drawingml/2006/chart" xmlns:co="http://ncloudtech.com" xmlns:co-ooxml="http://ncloudtech.com/ooxml" xmlns:m="http://schemas.openxmlformats.org/officeDocument/2006/math" xmlns:mc="http://schemas.openxmlformats.org/markup-compatibility/2006" xmlns:o="urn:schemas-microsoft-com:office:office" xmlns:p="http://schemas.openxmlformats.org/presentationml/2006/main" xmlns:pic="http://schemas.openxmlformats.org/drawingml/2006/picture" xmlns:r="http://schemas.openxmlformats.org/officeDocument/2006/relationships" xmlns:s="http://schemas.openxmlformats.org/officeDocument/2006/sharedTypes" xmlns:sl="http://schemas.openxmlformats.org/schemaLibrary/2006/main" xmlns:v="urn:schemas-microsoft-com:vml" xmlns:w="http://schemas.openxmlformats.org/wordprocessingml/2006/main" xmlns:w10="urn:schemas-microsoft-com:office:word" xmlns:w14="http://schemas.microsoft.com/office/word/2010/wordml" xmlns:w15="http://schemas.microsoft.com/office/word/2012/wordml" xmlns:wp="http://schemas.openxmlformats.org/drawingml/2006/wordprocessingDrawing" xmlns:wpg="http://schemas.microsoft.com/office/word/2010/wordprocessingGroup" xmlns:wps="http://schemas.microsoft.com/office/word/2010/wordprocessingShape" xmlns:x="urn:schemas-microsoft-com:office:excel" xmlns:x12ac="http://schemas.microsoft.com/office/spreadsheetml/2011/1/ac" xmlns:x14="http://schemas.microsoft.com/office/spreadsheetml/2009/9/main" xmlns:xdr="http://schemas.openxmlformats.org/drawingml/2006/spreadsheetDrawing" xmlns:xm="http://schemas.microsoft.com/office/excel/2006/main" mc:Ignorable="co co-ooxml w14 x14 w15">
  <si>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МО "Город Алдан"</t>
  </si>
  <si>
    <t>Приложение № 1 к приказу</t>
  </si>
  <si>
    <t>Алданский у, г. Алдан, ул. Гагарина, д. 21</t>
  </si>
  <si>
    <t>1969</t>
  </si>
  <si>
    <t>Камень</t>
  </si>
  <si>
    <t>2</t>
  </si>
  <si>
    <t>Министерства ЖКХ и энергетики РС(Я)</t>
  </si>
  <si>
    <t>с гб на иные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</si>
  <si>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источникам финансирования</t>
  </si>
  <si>
    <t>Алданский у, г. Алдан, ул. Гагарина, д. 23</t>
  </si>
  <si>
    <t>1968</t>
  </si>
  <si>
    <t>№ п/п</t>
  </si>
  <si>
    <t>Наименование муниципального образования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</si>
  <si>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</si>
  <si>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</si>
  <si>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</si>
  <si>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</si>
  <si>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</si>
  <si>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</si>
  <si>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в МКД</t>
  </si>
  <si>
    <t>Количество жителей</t>
  </si>
  <si>
    <t>Стоимость капитального ремонта с разбивкой по источникам финансирования</t>
  </si>
  <si>
    <t>Удельная стоимость капитального ремонта 1 кв.м. общей площади помещений МКД</t>
  </si>
  <si>
    <t>Предельная стоимость капитального ремонта 1 кв.м. общей площади помещений МКД</t>
  </si>
  <si>
    <t>Сроки проведения работ по капитальному ремонту</t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</si>
  <si>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</si>
  <si>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</t>
  </si>
  <si>
    <t>Алданский у, г. Алдан, ул. Стрельцова, д. 2</t>
  </si>
  <si>
    <t>1974</t>
  </si>
  <si>
    <t>Ввода в эксплуатацию</t>
  </si>
  <si>
    <t>Завершения последнего капитального ремонта</t>
  </si>
  <si>
    <t>в том числе жилых помещений (квартир)</t>
  </si>
  <si>
    <t>в том числе нежилых помещений</t>
  </si>
  <si>
    <t>Всего</t>
  </si>
  <si>
    <t>в том числе</t>
  </si>
  <si>
    <r>
      <t>Ремонт внутридомовых инженерных систем</t>
    </r>
    <r>
      <t xml:space="preserve">
</t>
    </r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</si>
  <si>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</si>
  <si>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</si>
  <si>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</si>
  <si>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</si>
  <si>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</si>
  <si>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</si>
  <si>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t>МО "Город Томмот"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</si>
  <si>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</si>
  <si>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t>Алданский у, г. Томмот, ул. Крупской, д. 8</t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</si>
  <si>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</si>
  <si>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t>За счет федеральных средств</t>
  </si>
  <si>
    <t>За счет средств государственного бюджета Республики Саха (Якутия)</t>
  </si>
  <si>
    <t>За счет средств местного бюджета</t>
  </si>
  <si>
    <t>За счет средств собственников помещений</t>
  </si>
  <si>
    <t>Заимствованные средства</t>
  </si>
  <si>
    <t>Иные источники</t>
  </si>
  <si>
    <t>СС</t>
  </si>
  <si>
    <t>ССг*0,8</t>
  </si>
  <si>
    <t>ЗС</t>
  </si>
  <si>
    <t>Теплоснабжение</t>
  </si>
  <si>
    <t>Водоснабжение</t>
  </si>
  <si>
    <t>Электроснабжение</t>
  </si>
  <si>
    <t>Водоотведение</t>
  </si>
  <si>
    <t>Газоснабжение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</si>
  <si>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</si>
  <si>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</si>
  <si>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кв.м</t>
  </si>
  <si>
    <t>чел</t>
  </si>
  <si>
    <t>руб</t>
  </si>
  <si>
    <t>Алданский у, г. Томмот, ул. Нагорная, д. 15</t>
  </si>
  <si>
    <t>руб/кв.м</t>
  </si>
  <si>
    <t>2022-2024 г.г.</t>
  </si>
  <si>
    <t>МО "Поселок Нижний Куранах"</t>
  </si>
  <si>
    <t>Алданский у, п. Нижний Куранах, ул. Строительная, д. 2</t>
  </si>
  <si>
    <t>Алданский у, п. Нижний Куранах, ул. Строительная, д. 4</t>
  </si>
  <si>
    <t>2022 год</t>
  </si>
  <si>
    <t>Алданский у, п. Нижний Куранах, ул. Строительная, д. 6</t>
  </si>
  <si>
    <t>Алданский у, п. Нижний Куранах, ул. Строительная, д. 7</t>
  </si>
  <si>
    <t>Кредиторская задолженность за 2021 год</t>
  </si>
  <si>
    <t>Авансы северным районам</t>
  </si>
  <si>
    <t>*</t>
  </si>
  <si>
    <t>Алданский у, п. Нижний Куранах, ул. Строительная, д. 18</t>
  </si>
  <si>
    <t>Алданский у, п. Нижний Куранах, ул. Строительная, д. 20</t>
  </si>
  <si>
    <t>Алданский у, п. Нижний Куранах, ул. Строительная, д. 21</t>
  </si>
  <si>
    <t>ГП "Поселок Золотинка"</t>
  </si>
  <si>
    <t>п Золотинка, п. Золотинка (г Нерюнгри), ул. Железнодорожная, д. 2</t>
  </si>
  <si>
    <t>МО "Поселок Тикси"</t>
  </si>
  <si>
    <t>Булунский у, п. Тикси, ул. 50 лет Севморпути, д. 6</t>
  </si>
  <si>
    <t>п Золотинка, п. Золотинка (г Нерюнгри), ул. Железнодорожная, д. 3</t>
  </si>
  <si>
    <t>Булунский у, п. Тикси, ул. Ленинская, д. 27</t>
  </si>
  <si>
    <t>п Золотинка, п. Золотинка (г Нерюнгри), ул. Железнодорожная, д. 4</t>
  </si>
  <si>
    <t>Булунский у, п. Тикси, ул. Трусова, д. 2а</t>
  </si>
  <si>
    <t>ГП "Поселок Серебряный Бор"</t>
  </si>
  <si>
    <t>п. Серебряный Бор, (г Нерюнгри), д. 120</t>
  </si>
  <si>
    <t>МО "Угольнинский наслег"</t>
  </si>
  <si>
    <t>Верхнеколымский у, Угольнинский н-г, с. Угольное, ул. Дорожная, д. 12*</t>
  </si>
  <si>
    <t>п. Серебряный Бор, (г Нерюнгри), д. 14</t>
  </si>
  <si>
    <t>МО "Город Мирный"</t>
  </si>
  <si>
    <t>Мирнинский у, г. Мирный, ул. Аммосова, д. 100</t>
  </si>
  <si>
    <t>п. Серебряный Бор, (г Нерюнгри), д. 208</t>
  </si>
  <si>
    <t>Мирнинский у, г. Мирный, ул. Комсомольская, д. 4 кор. а</t>
  </si>
  <si>
    <t>ГП "Поселок Чульман"</t>
  </si>
  <si>
    <t>п. Чульман (г Нерюнгри), ул. Островского, д. 18б</t>
  </si>
  <si>
    <t>Мирнинский у, г. Мирный, ул. Ленина, д. 22 кор.А</t>
  </si>
  <si>
    <t>п. Чульман (г Нерюнгри), ул. Островского, д. 12</t>
  </si>
  <si>
    <t>Мирнинский у, г. Мирный, ул. Московская, д. 12</t>
  </si>
  <si>
    <t>п. Чульман (г Нерюнгри), ул. Островского, д. 6 кор. а</t>
  </si>
  <si>
    <t>Мирнинский у, г. Мирный, ул. Советская, д. 13 кор. 4</t>
  </si>
  <si>
    <t>МО "Город Нерюнгри"</t>
  </si>
  <si>
    <t>г. Нерюнгри, пр-кт. Геологов, д. 43</t>
  </si>
  <si>
    <t>Мирнинский у, г. Мирный, ул. Солдатова, д. 12</t>
  </si>
  <si>
    <t>Мирнинский у, г. Мирный, ул. Тихонова, д. 12</t>
  </si>
  <si>
    <t>г. Нерюнгри, пр-кт. Геологов, д. 49 кор. 1</t>
  </si>
  <si>
    <t>Мирнинский у, г. Мирный, ш. 50 лет Октября, д. 7</t>
  </si>
  <si>
    <t>МО "Город Нерюнгри" спецсчет</t>
  </si>
  <si>
    <t>г. Нерюнгри, пр-кт. Геологов, д. 81 кор. 2 СПЕЦСЧЕТ</t>
  </si>
  <si>
    <t>Мирнинский у, г. Мирный, ш. 50 лет Октября, д. 12 кор. 1</t>
  </si>
  <si>
    <t>г. Нерюнгри, пр-кт. Дружбы Народов, д. 16 кор. 1</t>
  </si>
  <si>
    <t>МО "Поселок Светлый"</t>
  </si>
  <si>
    <t>Мирнинский у, п. Светлый, ул. Молодежная, д. 11</t>
  </si>
  <si>
    <t>г. Нерюнгри, пр-кт. Дружбы Народов, д. 20</t>
  </si>
  <si>
    <t>Мирнинский у, п. Светлый, ул. Советская, д. 2</t>
  </si>
  <si>
    <t>г. Нерюнгри, пр-кт. Дружбы Народов, д. 29 кор. 1</t>
  </si>
  <si>
    <t>МО "поселок Черский"</t>
  </si>
  <si>
    <t>Нижнеколымский у, п. Черский, ул. Котельникова, д. 9</t>
  </si>
  <si>
    <t>Нижнеколымский у, п. Черский, ул. Молодежная, д. 6 кор. 2</t>
  </si>
  <si>
    <t>г. Нерюнгри, пр-кт. Дружбы Народов, д. 3 кор. 1 СПЕЦСЧЕТ</t>
  </si>
  <si>
    <t>Нижнеколымский у, п. Черский, ул. Пушкина, д. 9</t>
  </si>
  <si>
    <t>г. Нерюнгри, пр-кт. Ленина, д. 4</t>
  </si>
  <si>
    <t>Нижнеколымский у, п. Черский, ул. Таврата, д. 11</t>
  </si>
  <si>
    <t>г. Нерюнгри, пр-кт. Мира, д. 15</t>
  </si>
  <si>
    <t>Нижнеколымский у, п. Черский, ул. Таврата, д. 12</t>
  </si>
  <si>
    <t>г. Нерюнгри, пр-кт. Мира, д. 15 кор. 2</t>
  </si>
  <si>
    <t>Нижнеколымский у, п. Черский, ул. Таврата, д. 13</t>
  </si>
  <si>
    <t>г. Нерюнгри, пр-кт. Мира, д. 15 кор. 3</t>
  </si>
  <si>
    <t>Нижнеколымский у, п. Черский, ул. Таврата, д. 15</t>
  </si>
  <si>
    <t>г. Нерюнгри, пр-кт. Мира, д. 17 кор. 1</t>
  </si>
  <si>
    <t>МО "Город Нюрба"</t>
  </si>
  <si>
    <t>Нюрбинский у, г. Нюрба, кв-л. Энергетик, д. 67</t>
  </si>
  <si>
    <t>г. Нерюнгри, пр-кт. Мира, д. 19 кор. 1</t>
  </si>
  <si>
    <t>Нюрбинский у, г. Нюрба, кв-л. Энергетик, д. 9</t>
  </si>
  <si>
    <t>г. Нерюнгри, пр-кт. Мира, д. 19 кор. 2</t>
  </si>
  <si>
    <t>МО "Город Покровск"</t>
  </si>
  <si>
    <t>Хангаласский у, г. Покровск, ул. Орджоникидзе, д. 20</t>
  </si>
  <si>
    <t>г. Нерюнгри, пр-кт. Мира, д. 5 СПЕЦСЧЕТ</t>
  </si>
  <si>
    <t>МО "Поселок Мохсоголлох"</t>
  </si>
  <si>
    <t>Хангаласский у, п. Мохсоголлох, ул. Соколиная, д. 9</t>
  </si>
  <si>
    <t>г. Нерюнгри, ул. Аммосова, д. 10 кор. 1</t>
  </si>
  <si>
    <t>г. Нерюнгри, ул. Аммосова, д. 2 СПЕЦСЧЕТ</t>
  </si>
  <si>
    <t xml:space="preserve">Финансово обеспеченные МКД </t>
  </si>
  <si>
    <t>г. Нерюнгри, ул. Аммосова, д. 6 кор. 1</t>
  </si>
  <si>
    <t>ГП "Поселок Беркакит"</t>
  </si>
  <si>
    <t>п. Беркакит (г Нерюнгри), ул. Башарина, д. 3</t>
  </si>
  <si>
    <t>1999</t>
  </si>
  <si>
    <t>9</t>
  </si>
  <si>
    <t>3</t>
  </si>
  <si>
    <t>г. Нерюнгри, ул. им Кравченко, д. 20 кор. 1</t>
  </si>
  <si>
    <t>п. Беркакит (г Нерюнгри), ул. Бочкарева, д. 7</t>
  </si>
  <si>
    <t>г. Нерюнгри, ул. им Кравченко, д. 4</t>
  </si>
  <si>
    <t>п. Беркакит (г Нерюнгри), ул. Дорожников, д. 4</t>
  </si>
  <si>
    <t>г. Нерюнгри, ул. им Кравченко, д. 6</t>
  </si>
  <si>
    <t>п. Беркакит (г Нерюнгри), ул. Мусы Джалиля, д. 3</t>
  </si>
  <si>
    <t>1978</t>
  </si>
  <si>
    <t>4</t>
  </si>
  <si>
    <t>г. Нерюнгри, ул. им Кравченко, д. 8</t>
  </si>
  <si>
    <t>п. Беркакит (г Нерюнгри), ул. Мусы Джалиля, д. 5</t>
  </si>
  <si>
    <t>1979</t>
  </si>
  <si>
    <t>г. Нерюнгри, ул. им Кравченко, д. 12</t>
  </si>
  <si>
    <t>1982</t>
  </si>
  <si>
    <t>5</t>
  </si>
  <si>
    <t>п. Беркакит (г Нерюнгри), ул. Школьная, д. 7</t>
  </si>
  <si>
    <t>1980</t>
  </si>
  <si>
    <t>г. Нерюнгри, ул. Карла Маркса, д. 1 кор. 1</t>
  </si>
  <si>
    <t>п. Чульман (г Нерюнгри), ул. Школьная, д. 12</t>
  </si>
  <si>
    <t>г. Нерюнгри, ул. Сосновая, д. 4</t>
  </si>
  <si>
    <t>п Золотинка, п. Золотинка (г Нерюнгри), ул. Железнодорожная, д. 1</t>
  </si>
  <si>
    <t>г. Нерюнгри, ул. Тимптонская, д. 3</t>
  </si>
  <si>
    <t>г. Нерюнгри, ул. Южно-Якутская, д. 32</t>
  </si>
  <si>
    <t>п. Чульман (г Нерюнгри), ул. Новая, д. 2</t>
  </si>
  <si>
    <t>г. Нерюнгри, ул. Южно-Якутская, д. 43 кор. 1 СПЕЦСЧЕТ</t>
  </si>
  <si>
    <t>п. Чульман (г Нерюнгри), ул. Первомайская, д. 11</t>
  </si>
  <si>
    <t>ГО "город Якутск"</t>
  </si>
  <si>
    <t>г. Якутск, мкр. Марха, кв-л. Мелиораторов, д. 9</t>
  </si>
  <si>
    <t>ГП "Поселок Хани""</t>
  </si>
  <si>
    <t>п. Хани (г Нерюнгри), ул. 70 лет Октября, д. 1</t>
  </si>
  <si>
    <t>1987</t>
  </si>
  <si>
    <t>г. Якутск, мкр. Марха, ул. Есенина, д. 5 кор. 1</t>
  </si>
  <si>
    <t>п. Хани (г Нерюнгри), ул. 70 лет Октября, д. 2</t>
  </si>
  <si>
    <t>1988</t>
  </si>
  <si>
    <t>г. Якутск, мкр. Марха, тракт Маганский 2 км, д. 3</t>
  </si>
  <si>
    <t>п. Хани (г Нерюнгри), ул. 70 лет Октября, д. 3</t>
  </si>
  <si>
    <t>1989</t>
  </si>
  <si>
    <t>г. Якутск, мкр. Марха, ул. О.Кошевого, д. 67 кор. 1</t>
  </si>
  <si>
    <t>п. Хани (г Нерюнгри), ул. 70 лет Октября, д. 4</t>
  </si>
  <si>
    <t>1990</t>
  </si>
  <si>
    <t>г. Якутск, мкр. Птицефабрика, д. 7</t>
  </si>
  <si>
    <t>п. Хани (г Нерюнгри), ул. 70 лет Октября, д. 5</t>
  </si>
  <si>
    <t>1991</t>
  </si>
  <si>
    <t>г. Якутск, мкр. Марха, тракт Маганский 2 км, д. 2</t>
  </si>
  <si>
    <t>п. Хани (г Нерюнгри), ул. 70 лет Октября, д. 6</t>
  </si>
  <si>
    <t>1993</t>
  </si>
  <si>
    <t>г. Якутск, с. Кильдямцы, ул. Уваровского, д. 1</t>
  </si>
  <si>
    <t>г. Якутск, с. Кильдямцы, ул. Труда, д. 52</t>
  </si>
  <si>
    <t>г. Нерюнгри, пр-кт. Геологов, д. 55 кор. 2</t>
  </si>
  <si>
    <t>г. Якутск, с. Кильдямцы, ул. Труда, д. 54</t>
  </si>
  <si>
    <t>г. Нерюнгри, пр-кт. Геологов, д. 59</t>
  </si>
  <si>
    <t>г. Якутск, пр-кт. Ленина, д. 11 кор. 2</t>
  </si>
  <si>
    <t>г. Нерюнгри, пр-кт. Геологов, д. 61</t>
  </si>
  <si>
    <t>г. Якутск, пр-кт. Ленина, д. 7</t>
  </si>
  <si>
    <t>г. Нерюнгри, пр-кт. Геологов, д. 61 кор. 2</t>
  </si>
  <si>
    <t>г. Якутск, пр-кт. Ленина, д. 9</t>
  </si>
  <si>
    <t>г. Нерюнгри, пр-кт. Геологов, д. 75 кор. 2</t>
  </si>
  <si>
    <t>г. Якутск, пр-кт Ленина, д. 25</t>
  </si>
  <si>
    <t>1996</t>
  </si>
  <si>
    <t>г. Якутск, пр-кт Ленина, д. 29</t>
  </si>
  <si>
    <t>г. Нерюнгри, пр-кт. Дружбы Народов, д. 5</t>
  </si>
  <si>
    <t>8</t>
  </si>
  <si>
    <t>г. Якутск, пр-кт. Ленина, д. 37</t>
  </si>
  <si>
    <t>г. Нерюнгри, пр-кт. Дружбы Народов, д. 8</t>
  </si>
  <si>
    <t>г. Якутск, пр-кт. Ленина, д. 38</t>
  </si>
  <si>
    <t>г. Нерюнгри, пр-кт. Дружбы Народов, д. 9</t>
  </si>
  <si>
    <t>г. Якутск, пр-кт. Ленина, д. 44</t>
  </si>
  <si>
    <t>г. Нерюнгри, пр-кт. Дружбы Народов, д. 10</t>
  </si>
  <si>
    <t>1</t>
  </si>
  <si>
    <t>г. Якутск, пр. Михаила Николаева, д. 40 кор. 5</t>
  </si>
  <si>
    <t>г. Нерюнгри, пр-кт. Дружбы Народов, д. 10 кор. 2</t>
  </si>
  <si>
    <t>г. Якутск, пр. Михаила Николаева, д. 40 кор. 6</t>
  </si>
  <si>
    <t>г. Нерюнгри, пр-кт. Дружбы Народов, д. 14 кор. 1</t>
  </si>
  <si>
    <t>г. Якутск, пр. Михаила Николаева, д. 40 кор. 7</t>
  </si>
  <si>
    <t>г. Нерюнгри, пр-кт. Дружбы Народов, д. 17</t>
  </si>
  <si>
    <t>г. Якутск, ул. Билибина, д. 12</t>
  </si>
  <si>
    <t>г. Якутск, ул. Богатырева, д. 11 кор. 1</t>
  </si>
  <si>
    <t>г. Нерюнгри, пр-кт. Дружбы Народов, д. 20 кор. 1</t>
  </si>
  <si>
    <t>г. Якутск, ул. Дзержинского, д. 3</t>
  </si>
  <si>
    <t>г. Нерюнгри, пр-кт. Дружбы Народов, д. 25 кор. 2</t>
  </si>
  <si>
    <t>г. Якутск, ул. Дзержинского, д. 8 кор. 2</t>
  </si>
  <si>
    <t>г. Нерюнгри, пр-кт. Дружбы Народов, д. 27 кор. 2</t>
  </si>
  <si>
    <t>г. Якутск, ул. Каландаришвили, д. 25 кор. 2</t>
  </si>
  <si>
    <t>г. Нерюнгри, пр-кт. Дружбы Народов, д. 29</t>
  </si>
  <si>
    <t>г. Якутск, ул. Каландаришвили, д. 38 кор. 2</t>
  </si>
  <si>
    <t>г. Нерюнгри, пр-кт. Дружбы Народов, д. 29 кор. 3</t>
  </si>
  <si>
    <t>г. Якутск, ул. Каландаришвили, д. 38 кор. 3</t>
  </si>
  <si>
    <t>г. Нерюнгри, пр-кт. Дружбы Народов, д. 33</t>
  </si>
  <si>
    <t>г. Якутск, ул. Каландаришвили, д. 40</t>
  </si>
  <si>
    <t>г. Якутск, ул. Каландаришвили, д. 40 кор. 1</t>
  </si>
  <si>
    <t>г. Нерюнгри, пр-кт. Ленина, д. 15</t>
  </si>
  <si>
    <t>г. Якутск, ул. Каландаришвили, д. 40 кор. 4</t>
  </si>
  <si>
    <t>г. Якутск, ул. Каландаришвили, д. 40 кор. 7</t>
  </si>
  <si>
    <t>г. Нерюнгри, пр-кт. Ленина, д. 16 кор. 2</t>
  </si>
  <si>
    <t>г. Якутск, ул. Каландаришвили, д. 40 кор. 8 *</t>
  </si>
  <si>
    <t>г. Нерюнгри, пр-кт. Мира, д. 3 кор. 1</t>
  </si>
  <si>
    <t>г. Якутск, ул. Кирова, д. 31 кор.1</t>
  </si>
  <si>
    <t>г. Якутск, ул. Короленко, д. 17</t>
  </si>
  <si>
    <t>г. Якутск, ул. Крупской, д. 21</t>
  </si>
  <si>
    <t>г. Якутск, ул. Космонавтов, д. 17 кор. 1</t>
  </si>
  <si>
    <t>г. Нерюнгри, пр-кт. Мира, д. 21 кор. 2</t>
  </si>
  <si>
    <t>г. Якутск, ул. Кулаковского, д. 4 кор. 1</t>
  </si>
  <si>
    <t>г. Нерюнгри, пр-кт. Мира, д. 25 кор. 1</t>
  </si>
  <si>
    <t>г. Якутск, ул. Кулаковского, д. 4 кор. 2</t>
  </si>
  <si>
    <t>г. Нерюнгри, пр-кт. Мира, д. 31</t>
  </si>
  <si>
    <t>г. Якутск, ул. Кулаковского, д. 4 кор. 3</t>
  </si>
  <si>
    <t>г. Якутск, ул. Курашова, д. 1 кор. 1</t>
  </si>
  <si>
    <t>г. Нерюнгри, ул. Аммосова, д. 4</t>
  </si>
  <si>
    <t>г. Якутск, ул. Лермонтова, д. 24</t>
  </si>
  <si>
    <t>г. Нерюнгри, ул. Аммосова, д. 14 кор. 1</t>
  </si>
  <si>
    <t>г. Якутск, ул. Можайского, д. 17 кор. 5</t>
  </si>
  <si>
    <t>г. Нерюнгри, ул. им Кравченко, д. 3</t>
  </si>
  <si>
    <t>г. Якутск, ул. Можайского, д. 17 кор. 6</t>
  </si>
  <si>
    <t>г. Нерюнгри, ул. им Кравченко, д. 9 кор. 1</t>
  </si>
  <si>
    <t>г. Якутск, ул. Можайского, д. 19 кор. 1</t>
  </si>
  <si>
    <t>г. Нерюнгри, ул. им Кравченко, д. 25</t>
  </si>
  <si>
    <t>г. Якутск, ул. Можайского, д. 21</t>
  </si>
  <si>
    <t>г. Якутск, ул. Можайского, д. 21 кор. 1</t>
  </si>
  <si>
    <t>г. Нерюнгри, ул. Карла Маркса, д. 16</t>
  </si>
  <si>
    <t>г. Якутск, ул. Октябрьская, д. 26 кор. 1</t>
  </si>
  <si>
    <t>г. Нерюнгри, ул. Карла Маркса, д. 20</t>
  </si>
  <si>
    <t>г. Якутск, ул. Октябрьская, д. 26 кор. 2</t>
  </si>
  <si>
    <t>г. Нерюнгри, ул. Карла Маркса, д. 25</t>
  </si>
  <si>
    <t>г. Якутск, ул. Октябрьская, д. 26 кор. 3</t>
  </si>
  <si>
    <t>г. Нерюнгри, ул. Карла Маркса, д. 27</t>
  </si>
  <si>
    <t>г. Якутск, ул. Октябрьская, д. 5</t>
  </si>
  <si>
    <t>г. Якутск, ул. Орджоникидзе, д. 33</t>
  </si>
  <si>
    <t>г. Нерюнгри, ул. Карла Маркса, д. 27 кор. 2</t>
  </si>
  <si>
    <t>г. Якутск, ул. Орджоникидзе, д. 45</t>
  </si>
  <si>
    <t>г. Нерюнгри, ул. Новостроевская, д. 3</t>
  </si>
  <si>
    <t>г. Якутск, ул. Орджоникидзе, д. 46</t>
  </si>
  <si>
    <t>г. Нерюнгри, ул. Новостроевская, д. 5</t>
  </si>
  <si>
    <t>г. Якутск, ул. Петра Алексеева, д. 21 кор. 5</t>
  </si>
  <si>
    <t>г. Нерюнгри, ул. Строителей, д. 3</t>
  </si>
  <si>
    <t>г. Якутск, ул. Петра Алексеева, д. 49 кор. 1</t>
  </si>
  <si>
    <t>г. Якутск, ул. Петра Алексеева, д. 6 кор. 2</t>
  </si>
  <si>
    <t>г. Нерюнгри, ул. Тимптонская, д. 7 кор. 1</t>
  </si>
  <si>
    <t>г. Якутск, ул. Петра Алексеева, д. 8 кор. 1</t>
  </si>
  <si>
    <t>г. Нерюнгри, ул. Чурапчинская, д. 8 кор. 1</t>
  </si>
  <si>
    <t>г. Якутск, ул. Петра Алексеева, д. 81 кор. 1</t>
  </si>
  <si>
    <t>г. Нерюнгри, ул. Чурапчинская, д. 36</t>
  </si>
  <si>
    <t>г. Якутск, ул. Петра Алексеева, д. 83 кор. 18</t>
  </si>
  <si>
    <t>г. Нерюнгри, ул. Чурапчинская, д. 37 кор. 2</t>
  </si>
  <si>
    <t>г. Якутск, ул. Петровского, д. 21 кор. 1</t>
  </si>
  <si>
    <t>г. Якутск, ул. Петровского, д. 23</t>
  </si>
  <si>
    <t>г. Нерюнгри, ул. Чурапчинская, д. 38</t>
  </si>
  <si>
    <t>г. Якутск, ул. Петровского, д. 23 кор. 1</t>
  </si>
  <si>
    <t>г. Нерюнгри, ул. Чурапчинская, д. 40</t>
  </si>
  <si>
    <t>г. Якутск, ул. Пояркова, д. 10</t>
  </si>
  <si>
    <t>г. Нерюнгри, ул. Чурапчинская, д. 46</t>
  </si>
  <si>
    <t>г. Якутск, ул. Сосновая, д. 2</t>
  </si>
  <si>
    <t>г. Нерюнгри, ул. Чурапчинская, д. 54</t>
  </si>
  <si>
    <t>г. Якутск, ул. Хабарова, д. 21</t>
  </si>
  <si>
    <t>г. Нерюнгри, ул. Южно-Якутская, д. 31</t>
  </si>
  <si>
    <t>г. Якутск, ул. Хабарова, д. 27</t>
  </si>
  <si>
    <t>г. Нерюнгри, ул. Южно-Якутская, д. 31 кор. 1</t>
  </si>
  <si>
    <t>г. Якутск, ул. Халтурина, д. 11 кор. 2</t>
  </si>
  <si>
    <t>г. Нерюнгри, ул. Южно-Якутская, д. 34</t>
  </si>
  <si>
    <t>ГО "Город Якутск"</t>
  </si>
  <si>
    <t>г. Якутск, ул. Чернышевского, д. 12 кор. 1</t>
  </si>
  <si>
    <t>1975</t>
  </si>
  <si>
    <t>6</t>
  </si>
  <si>
    <t>г. Нерюнгри, ул. Южно-Якутская, д. 36 кор. 3</t>
  </si>
  <si>
    <t>г. Якутск, ул. Чернышевского, д. 4 кор. 1</t>
  </si>
  <si>
    <t>г. Нерюнгри, ул. Южно-Якутская, д. 40</t>
  </si>
  <si>
    <t>г. Якутск, ул. Чернышевского, д. 8</t>
  </si>
  <si>
    <t>г. Якутск, ул. Чернышевского, д. 8 кор. 1</t>
  </si>
  <si>
    <t>п. Серебряный Бор, (г Нерюнгри), д. 118</t>
  </si>
  <si>
    <t>г. Якутск, ул. Чиряева, д. 4</t>
  </si>
  <si>
    <t>г. Якутск, ул. Чиряева, д. 8</t>
  </si>
  <si>
    <t>г. Якутск, мкр. 202-й, д. 18</t>
  </si>
  <si>
    <t>1998</t>
  </si>
  <si>
    <t>7</t>
  </si>
  <si>
    <t>г. Якутск, ул. Ярославского, д. 11</t>
  </si>
  <si>
    <t>г. Якутск, ул. Ярославского, д. 24</t>
  </si>
  <si>
    <t>г. Якутск, пр-кт. Ленина, д. 11</t>
  </si>
  <si>
    <t>г. Якутск, ул. Ярославского, д. 30 кор. 1</t>
  </si>
  <si>
    <t>г. Якутск, ул. Ярославского, д. 5 кор. 1</t>
  </si>
  <si>
    <t>г. Якутск, ул. Ярославского, д. 7 кор. 1</t>
  </si>
  <si>
    <t>г. Якутск, ул. Ярославского, д. 9</t>
  </si>
  <si>
    <t>ГО "Жатай"</t>
  </si>
  <si>
    <t>ГО Жатай, п. Жатай, ул. Северная, д. 21/1</t>
  </si>
  <si>
    <t>ГО Жатай, п. Жатай, ул. Северная, д. 33</t>
  </si>
  <si>
    <t>г. Якутск, ул. Билибина, д. 50</t>
  </si>
  <si>
    <t>ГО Жатай, п. Жатай, ул. Северная, д. 37</t>
  </si>
  <si>
    <t>г. Якутск, ул. Воинская, д. 9</t>
  </si>
  <si>
    <t>ГО Жатай, п. Жатай, ул. Северная, д. 37/1</t>
  </si>
  <si>
    <t>ГО Жатай, п. Жатай, ул. Северная, д. 54</t>
  </si>
  <si>
    <t>г. Якутск, ул. Дзержинского, д. 7</t>
  </si>
  <si>
    <t>1971</t>
  </si>
  <si>
    <t>Алданский у, г. Томмот, ул. Крупской, д. 6</t>
  </si>
  <si>
    <t>г. Якутск, ул. Дзержинского, д. 8</t>
  </si>
  <si>
    <t>1976</t>
  </si>
  <si>
    <t>г. Якутск, ул. Дзержинского, д. 12 кор. 3</t>
  </si>
  <si>
    <t>г. Якутск, ул. Дзержинского, д. 13 кор. 1</t>
  </si>
  <si>
    <t>г. Якутск, ул. Дзержинского, д. 16</t>
  </si>
  <si>
    <t>1963</t>
  </si>
  <si>
    <t>г. Якутск, ул. Дзержинского, д. 20 кор. 2</t>
  </si>
  <si>
    <t>г. Якутск, ул. Дзержинского, д. 40</t>
  </si>
  <si>
    <t>МО "Поселок Зырянка"</t>
  </si>
  <si>
    <t>Верхнеколымский у, п. Зырянка, ул. Леликова, д. 8</t>
  </si>
  <si>
    <t>г. Якутск, ул. Дзержинского, д. 40 кор. 1</t>
  </si>
  <si>
    <t>1973</t>
  </si>
  <si>
    <t>Верхнеколымский у, Угольнинский н-г, с. Угольное, ул. Дорожная, д. 12</t>
  </si>
  <si>
    <t>Верхнеколымский у, Угольнинский н-г, с. Угольное, ул. Дорожная, д. 9</t>
  </si>
  <si>
    <t>МО "Город Ленск"</t>
  </si>
  <si>
    <t>Ленский у, г. Ленск, ул. Дзержинского, д. 15</t>
  </si>
  <si>
    <t>г. Якутск, ул. Каландаришвили, д. 40 кор. 6</t>
  </si>
  <si>
    <t>Ленский у, г. Ленск, ул. Дзержинского, д. 27</t>
  </si>
  <si>
    <t>Ленский у, г. Ленск, ул. Ойунского, д. 26</t>
  </si>
  <si>
    <t>г. Якутск, ул. Короленко, д. 7</t>
  </si>
  <si>
    <t>Ленский у, г. Ленск, ул. Победы, д. 22</t>
  </si>
  <si>
    <t>г. Якутск, ул. Кузьмина, д. 10</t>
  </si>
  <si>
    <t>Ленский у, г. Ленск, ул. Пролетарская, д. 17</t>
  </si>
  <si>
    <t>г. Якутск, ул. Кулаковского, д. 30</t>
  </si>
  <si>
    <t>Мирнинский у, г. Мирный, пр-кт. Ленинградский, д. 1 кор. 1</t>
  </si>
  <si>
    <t>г. Якутск, ул. Лермонтова, д. 29</t>
  </si>
  <si>
    <t>Мирнинский у, г. Мирный, ул. Ойунского, д. 13</t>
  </si>
  <si>
    <t>г. Якутск, ул. Лермонтова, д. 58 кор. 2</t>
  </si>
  <si>
    <t>Мирнинский у, г. Мирный, ул. Ойунского, д. 15</t>
  </si>
  <si>
    <t>г. Якутск, ул. Лермонтова, д. 92 кор. 2</t>
  </si>
  <si>
    <t>Мирнинский у, г. Мирный, ул. Ойунского, д. 21</t>
  </si>
  <si>
    <t>1994</t>
  </si>
  <si>
    <t>г. Якутск, ул. Лермонтова, д. 94 кор.3</t>
  </si>
  <si>
    <t>Мирнинский у, г. Мирный, ул. Павлова, д. 10</t>
  </si>
  <si>
    <t>г. Якутск, ул. Маяковского, д. 98</t>
  </si>
  <si>
    <t>Мирнинский у, г. Мирный, ул. Советская, д. 13 кор. 1</t>
  </si>
  <si>
    <t>г. Якутск, ул. Можайского, д. 15</t>
  </si>
  <si>
    <t>Мирнинский у, г. Мирный, ул. Советская, д. 15 кор. 1</t>
  </si>
  <si>
    <t>г. Якутск, ул. Можайского, д. 17 кор. 1</t>
  </si>
  <si>
    <t>Мирнинский у, г. Мирный, ул. Советская, д. 19</t>
  </si>
  <si>
    <t>г. Якутск, ул. Можайского, д. 19</t>
  </si>
  <si>
    <t>1964</t>
  </si>
  <si>
    <t>Мирнинский у, г. Мирный, ул. Советская, д. 7</t>
  </si>
  <si>
    <t>г. Якутск, ул. Можайского, д. 19 кор. 3</t>
  </si>
  <si>
    <t>Мирнинский у, г. Мирный, ул. Солдатова, д. 6</t>
  </si>
  <si>
    <t>Мирнинский у, г. Мирный, ул. Солдатова, д. 3</t>
  </si>
  <si>
    <t>Мирнинский у, г. Мирный, ул. Тихонова, д. 12 кор. 2</t>
  </si>
  <si>
    <t>г. Якутск, ул. Ново-Карьерная, д. 20 кор. 1</t>
  </si>
  <si>
    <t>Мирнинский у, г. Мирный, ул. Тихонова, д. 8</t>
  </si>
  <si>
    <t>г. Якутск, ул. Ново-Карьерная, д. 20 кор. 2</t>
  </si>
  <si>
    <t>г. Якутск, ул. Ойунского, д. 20 кор. 1</t>
  </si>
  <si>
    <t>Мирнинский у, п. Светлый, ул. Вилюйская, д. 1</t>
  </si>
  <si>
    <t>г. Якутск, ул. Октябрьская, д. 18</t>
  </si>
  <si>
    <t>Мирнинский у, п. Светлый, ул. Вилюйская, д. 2</t>
  </si>
  <si>
    <t>г. Якутск, ул. Орджоникидзе, д. 7 кор. 2</t>
  </si>
  <si>
    <t>МО "Ленский наслег"</t>
  </si>
  <si>
    <t>Намский у, Ленский н-г, с. Намцы, ул. Ржевская, д. 5</t>
  </si>
  <si>
    <t>г. Якутск, ул. Орджоникидзе, д. 39</t>
  </si>
  <si>
    <t>1970</t>
  </si>
  <si>
    <t>г. Якутск, ул. Орджоникидзе, д. 44</t>
  </si>
  <si>
    <t>г. Якутск, ул. Орджоникидзе, д. 44 кор. 1</t>
  </si>
  <si>
    <t>МО "Город Олекминск"</t>
  </si>
  <si>
    <t>Олекминский у, г. Олёкминск, ул. Калинина, д. 2</t>
  </si>
  <si>
    <t>МО "Поселок Хандыга"</t>
  </si>
  <si>
    <t>Томпонский у, п Хандыга, п. Хандыга, ул. Лесная, д. 16</t>
  </si>
  <si>
    <t>г. Якутск, ул. Петра Алексеева, д. 73 кор. 2</t>
  </si>
  <si>
    <t>Томпонский у, п Хандыга, п. Хандыга, ул. П.Алексеева, д. 4</t>
  </si>
  <si>
    <t>г. Якутск, ул. Пояркова, д. 8</t>
  </si>
  <si>
    <t>Томпонский у, п Хандыга, п. Хандыга, ул. П.Алексеева, д. 6</t>
  </si>
  <si>
    <t>МО "Поселок Депутатский" спецсчет</t>
  </si>
  <si>
    <t>Усть-Янский у, п. Депутатский, мкр. Арктика, д. 11</t>
  </si>
  <si>
    <t>г. Якутск, ул. Федора Попова, д. 14 кор. 4</t>
  </si>
  <si>
    <t>1981</t>
  </si>
  <si>
    <t>Усть-Янский у, п. Депутатский, мкр. Арктика, д. 13</t>
  </si>
  <si>
    <t>г. Якутск, ул. Хабарова, д. 19</t>
  </si>
  <si>
    <t>Усть-Янский у, п. Депутатский, мкр. Арктика, д. 15</t>
  </si>
  <si>
    <t>1992</t>
  </si>
  <si>
    <t>Усть-Янский у, п. Депутатский, мкр. Арктика, д. 2</t>
  </si>
  <si>
    <t>г. Якутск, ул. Хабарова, д. 27 кор.1</t>
  </si>
  <si>
    <t>1972</t>
  </si>
  <si>
    <t>Усть-Янский у, п. Депутатский, мкр. Арктика, д. 21</t>
  </si>
  <si>
    <t>Усть-Янский у, п. Депутатский, мкр. Арктика, д. 22</t>
  </si>
  <si>
    <t>г. Якутск, ул. Хабарова, д. 27 кор.3</t>
  </si>
  <si>
    <t>Усть-Янский у, п. Депутатский, мкр. Арктика, д. 23</t>
  </si>
  <si>
    <t>г. Якутск, ул. Халтурина, д. 2</t>
  </si>
  <si>
    <t>1977</t>
  </si>
  <si>
    <t>Усть-Янский у, п. Депутатский, мкр. Арктика, д. 25</t>
  </si>
  <si>
    <t>г. Якутск, ул. Халтурина, д. 6 кор. 1</t>
  </si>
  <si>
    <t>Усть-Янский у, п. Депутатский, мкр. Арктика, д. 24</t>
  </si>
  <si>
    <t>Усть-Янский у, п. Депутатский, мкр. Арктика, д. 8</t>
  </si>
  <si>
    <t>Хангаласский у, г. Покровск, ул. Орджоникидзе, д. 18</t>
  </si>
  <si>
    <t>Хангаласский у, г. Покровск, ул. Орджоникидзе, д. 38</t>
  </si>
  <si>
    <t>г. Якутск, ул. Чернышевского, д. 8 корп.1</t>
  </si>
  <si>
    <t>Хангаласский у, п. Мохсоголлох, ул. Военный городок, д. 7</t>
  </si>
  <si>
    <t>г. Якутск, ул. Чернышевского, д. 12</t>
  </si>
  <si>
    <t>Хангаласский у, п. Мохсоголлох, ул. Молодежная, д. 18</t>
  </si>
  <si>
    <t>г. Якутск, ул. Чиряева, д. 1</t>
  </si>
  <si>
    <t>Хангаласский у, п. Мохсоголлох, ул. Соколиная, д. 1</t>
  </si>
  <si>
    <t>г. Якутск, ул. Якова Потапова, д. 6</t>
  </si>
  <si>
    <t>Хангаласский у, п. Мохсоголлох, ул. Советская, д. 5</t>
  </si>
  <si>
    <t>г. Якутск, ул. Якова Потапова, д. 6 корп.1</t>
  </si>
  <si>
    <t>Хангаласский у, п. Мохсоголлох, ул. Соколиная, д. 5</t>
  </si>
  <si>
    <t>г. Якутск, ул. Ярославского, д. 4</t>
  </si>
  <si>
    <t>Хангаласский у, п. Мохсоголлох, ул. Соколиная, д. 7</t>
  </si>
  <si>
    <t>Хангаласский у, п. Мохсоголлох, ул. Соколиная, д. 8</t>
  </si>
  <si>
    <t>Хангаласский у, п. Мохсоголлох, ул. Соколиная, д. 10</t>
  </si>
  <si>
    <t>Хангаласский у, п. Мохсоголлох, ул. Соколиная, д. 17</t>
  </si>
  <si>
    <t>Хангаласский у, п. Мохсоголлох, ул. Соколиная, д. 19</t>
  </si>
  <si>
    <t>г. Якутск, ул. Ярославского, д. 13</t>
  </si>
  <si>
    <t>Хангаласский у, п. Мохсоголлох, ул. Соколиная, д. 20</t>
  </si>
  <si>
    <t>г. Якутск, ул. Стадухина, д. 84 кор. 1 ЧС</t>
  </si>
  <si>
    <t>г. Якутск, ш. Сергеляхское 13 км, д. 1</t>
  </si>
  <si>
    <t>МО "Мюрюнский наслег"</t>
  </si>
  <si>
    <t>Усть-Алданский у, Мюрюнский н-г, с. Борогонцы, ул. Ленина, д. 34 ЧС</t>
  </si>
  <si>
    <t>2011</t>
  </si>
  <si>
    <t>МО "Поселок Белая Гора"</t>
  </si>
  <si>
    <t>Абыйский у, п. Белая Гора, ул. Строителей, д. 11 кор.2</t>
  </si>
  <si>
    <t>1986</t>
  </si>
  <si>
    <t>Дерево</t>
  </si>
  <si>
    <t>Усть-Алданский у, Мюрюнский н-г, с. Борогонцы, ул. Лонгинова, д. 37 кор.1 ЧС</t>
  </si>
  <si>
    <t>2013</t>
  </si>
  <si>
    <t>Алданский у, г. Алдан, ул. Пролетарская, д. 49</t>
  </si>
  <si>
    <t>Алданский у, г. Томмот, пер. Якутский, д. 13</t>
  </si>
  <si>
    <t>п. Беркакит (г Нерюнгри), ул. Бочкарева, д. 4 кор. 1</t>
  </si>
  <si>
    <t>п. Беркакит (г Нерюнгри), ул. Бочкарева, д. 4 кор. 2</t>
  </si>
  <si>
    <t>МО "Поселок Ленинский"</t>
  </si>
  <si>
    <t>Алданский у, п. Лебединый, ул. Карла Маркса, д. 20 кор. А</t>
  </si>
  <si>
    <t>Алданский у, п. Лебединый, ул. Октябрьская, д. 36</t>
  </si>
  <si>
    <t>Алданский у, п. Нижний Куранах, пер. Школьный, д. 4</t>
  </si>
  <si>
    <t>1983</t>
  </si>
  <si>
    <t>Алданский у, п. Нижний Куранах, пер. Школьный, д. 6</t>
  </si>
  <si>
    <t>г. Нерюнгри, пр-кт. Дружбы Народов, д. 8 кор. 1</t>
  </si>
  <si>
    <t>Алданский у, п. Нижний Куранах, ул. Строительная, д. 10</t>
  </si>
  <si>
    <t>г. Нерюнгри, пр-кт. Ленина, д. 1</t>
  </si>
  <si>
    <t>Алданский у, п. Нижний Куранах, ул. Строительная, д. 12</t>
  </si>
  <si>
    <t>Алданский у, п. Нижний Куранах, ул. Строительная, д. 16</t>
  </si>
  <si>
    <t>г. Нерюнгри, пр-кт. Мира, д. 21 кор. 1</t>
  </si>
  <si>
    <t>Алданский у, п. Нижний Куранах, ул. Школьная, д. 15</t>
  </si>
  <si>
    <t>Алданский у, п. Нижний Куранах, ул. Школьная, д. 21</t>
  </si>
  <si>
    <t>Алданский у, п. Нижний Куранах, ул. Школьная, д. 23</t>
  </si>
  <si>
    <t>Булунский у, п. Тикси 3-й, ул. Полярной Авиации, д. 8</t>
  </si>
  <si>
    <t>Булунский у, п. Тикси, ул. Гагарина, д. 8а</t>
  </si>
  <si>
    <t>г. Нерюнгри, ул. Тимптонская, д. 7 кор. 2</t>
  </si>
  <si>
    <t>Булунский у, п. Тикси, ул. Ленинская, д. 2а</t>
  </si>
  <si>
    <t>Булунский у, п. Тикси, ул. Ленинская, д. 21</t>
  </si>
  <si>
    <t>Булунский у, п. Тикси, ул. Морская, д. 18</t>
  </si>
  <si>
    <t>Булунский у, п. Тикси, ул. Морская, д. 32</t>
  </si>
  <si>
    <t>г. Нерюнгри, ул. Чурапчинская, д. 50</t>
  </si>
  <si>
    <t>Булунский у, п. Тикси, ул. Морская, д. 33а</t>
  </si>
  <si>
    <t>г. Нерюнгри, ул. Южно-Якутская, д. 30</t>
  </si>
  <si>
    <t>Булунский у, п. Тикси, ул. Трусова, д. 3</t>
  </si>
  <si>
    <t>г. Якутск, мкр. Кангалассы, ул. Комсомольская, д. 3А</t>
  </si>
  <si>
    <t>Ленский у, г. Ленск, ул. Дзержинского, д. 21</t>
  </si>
  <si>
    <t>Ленский у, г. Ленск, ул. Ленина, д. 73</t>
  </si>
  <si>
    <t>г. Якутск, с. Маган, ул. 40 лет Победы, д. 60</t>
  </si>
  <si>
    <t>г. Якутск, с. Хатассы, ул. Каландарашвили, д. 4</t>
  </si>
  <si>
    <t>Ленский у, г. Ленск, ул. Ойунского, д. 28</t>
  </si>
  <si>
    <t>г. Якутск, с. Хатассы, ул. Каландарашвили, д. 4 кор. 1</t>
  </si>
  <si>
    <t>Ленский у, г. Ленск, ул. Орджоникидзе, д. 18</t>
  </si>
  <si>
    <t>г. Якутск, с. Хатассы, ул. Ленина, д. 67</t>
  </si>
  <si>
    <t>Ленский у, г. Ленск, ул. Орджоникидзе, д. 20</t>
  </si>
  <si>
    <t>г. Якутск, с. Хатассы, ул. Ленина, д. 67 кор. 1</t>
  </si>
  <si>
    <t>Ленский у, г. Ленск, ул. Первомайская, д. 5</t>
  </si>
  <si>
    <t>г. Якутск, мкр. 202-й, д. 16</t>
  </si>
  <si>
    <t>1997</t>
  </si>
  <si>
    <t>Ленский у, г. Ленск, ул. Первомайская, д. 9</t>
  </si>
  <si>
    <t>г. Якутск, мкр. 202-й, д. 19</t>
  </si>
  <si>
    <t>Ленский у, г. Ленск, ул. Первомайская, д. 18</t>
  </si>
  <si>
    <t>Ленский у, г. Ленск, ул. Первомайская, д. 20</t>
  </si>
  <si>
    <t>г. Якутск, пр-кт. Ленина, д. 21</t>
  </si>
  <si>
    <t>г. Якутск, пр-кт. Ленина, д. 36</t>
  </si>
  <si>
    <t>Мирнинский у, г. Мирный, ул. Аммосова, д. 96 кор. 1</t>
  </si>
  <si>
    <t>Мирнинский у, г. Мирный, ул. Аммосова, д. 98 кор. 1</t>
  </si>
  <si>
    <t>г. Якутск, пр. Михаила Николаева, д. 28 кор. 15</t>
  </si>
  <si>
    <t>Мирнинский у, г. Мирный, ул. Комсомольская, д. 25</t>
  </si>
  <si>
    <t>Мирнинский у, г. Мирный, ул. Комсомольская, д. 25 кор. а</t>
  </si>
  <si>
    <t>Мирнинский у, г. Мирный, ул. Комсомольская, д. 29</t>
  </si>
  <si>
    <t>Мирнинский у, г. Мирный, ул. Ленина, д. 38</t>
  </si>
  <si>
    <t>Мирнинский у, г. Мирный, ул. Ленина, д. 4 кор. 2</t>
  </si>
  <si>
    <t>Мирнинский у, г. Мирный, ул. Московская, д. 4</t>
  </si>
  <si>
    <t>г. Якутск, ул. Дзержинского, д. 19</t>
  </si>
  <si>
    <t>г. Якутск, ул. Дзержинского, д. 22 кор. 6</t>
  </si>
  <si>
    <t>Мирнинский у, г. Мирный, ул. Солдатова, д. 2 кор. 1</t>
  </si>
  <si>
    <t>Мирнинский у, г. Мирный, ш. 50 лет Октября, д. 1</t>
  </si>
  <si>
    <t>Мирнинский у, г. Мирный, ш. 50 лет Октября, д. 14 кор.1</t>
  </si>
  <si>
    <t>1995</t>
  </si>
  <si>
    <t>г. Якутск, ул. Дзержинского, д. 7 кор. 1</t>
  </si>
  <si>
    <t>Мирнинский у, п. Светлый, ул. Гидростроителей, д. 1</t>
  </si>
  <si>
    <t>г. Якутск, ул. Дзержинского, д. 8 кор. 3</t>
  </si>
  <si>
    <t>Мирнинский у, п. Светлый, ул. Гидростроителей, д. 3</t>
  </si>
  <si>
    <t>г. Якутск, ул. Каландаришвили, д. 25 кор. 6</t>
  </si>
  <si>
    <t>МО "Поселок Чернышевский"</t>
  </si>
  <si>
    <t>Мирнинский у, п. Чернышевский, ул. Космонавтов, д. 10/2</t>
  </si>
  <si>
    <t>Нюрбинский у, г. Нюрба, кв-л. Энергетик, д. 67 кор. 1</t>
  </si>
  <si>
    <t>г. Якутск, ул. Каландаришвили, д. 40 кор. 5</t>
  </si>
  <si>
    <t>Нюрбинский у, г. Нюрба, кв-л. Энергетик, д. 71</t>
  </si>
  <si>
    <t>Нюрбинский у, г. Нюрба, кв-л. Энергетик, д. 73</t>
  </si>
  <si>
    <t>Нюрбинский у, г. Нюрба, кв-л. Энергетик, д. 75</t>
  </si>
  <si>
    <t>г. Якутск, ул. Каландаришвили, д. 40 кор. 8</t>
  </si>
  <si>
    <t>МО "Поселок Усть-Нера"</t>
  </si>
  <si>
    <t>Оймяконский у, п Усть-Нера, ул. Мацкепладзе, д. 20</t>
  </si>
  <si>
    <t>г. Якутск, ул. Кальвица, д. 5</t>
  </si>
  <si>
    <t>Оймяконский у, п Усть-Нера, ул. Молодежная, д. 3</t>
  </si>
  <si>
    <t>1985</t>
  </si>
  <si>
    <t>г. Якутск, ул. Кирова, д. 34</t>
  </si>
  <si>
    <t>Томпонский у, п Хандыга, п. Хандыга, ул. П.Алексеева, д. 2</t>
  </si>
  <si>
    <t>г. Якутск, ул. Кузьмина, д. 34</t>
  </si>
  <si>
    <t>МО "Поселок Солнечный"</t>
  </si>
  <si>
    <t>Усть-Майский у, п. Солнечный, ул. Профсоюзов, д. 6</t>
  </si>
  <si>
    <t>г. Якутск, ул. Лермонтова, д. 20</t>
  </si>
  <si>
    <t>МО "Поселок Эльдикан"</t>
  </si>
  <si>
    <t>Усть-Майский у, п. Эльдикан, ул. Алданская, д. 81</t>
  </si>
  <si>
    <t>г. Якутск, ул. Лермонтова, д. 22</t>
  </si>
  <si>
    <t>г. Якутск, ул. Лермонтова, д. 27 кор. 1</t>
  </si>
  <si>
    <t>Усть-Майский у, п. Эльдикан, ул. Куйбышева, д. 30</t>
  </si>
  <si>
    <t>Усть-Майский у, п. Эльдикан, ул. Куйбышева, д. 34</t>
  </si>
  <si>
    <t>Усть-Майский у, п. Эльдикан, ул. Победы, д. 1</t>
  </si>
  <si>
    <t>Усть-Майский у, п. Эльдикан, ул. Рабочая, д. 8</t>
  </si>
  <si>
    <t>г. Якутск, ул. Можайского, д. 17 кор. 4</t>
  </si>
  <si>
    <t>Усть-Майский у, п. Эльдикан, ул. Рабочая, д. 12</t>
  </si>
  <si>
    <t>Хангаласский у, п. Мохсоголлох, ул. Соколиная, д. 2</t>
  </si>
  <si>
    <t>Хангаласский у, п. Мохсоголлох, ул. Соколиная, д. 16</t>
  </si>
  <si>
    <t>Хангаласский у, п. Мохсоголлох, ул. Соколиная, д. 22</t>
  </si>
  <si>
    <t>г. Якутск, ул. Ойунского, д. 41</t>
  </si>
  <si>
    <t>МО "Чурапчинский наслег"</t>
  </si>
  <si>
    <t>Чурапчинский у, Чурапчинский н-г, с. Чурапча, ул. Ленина, д. 39</t>
  </si>
  <si>
    <t>г. Якутск, пр-кт. Ленина, д. 34 ЧС</t>
  </si>
  <si>
    <t>г. Якутск, ул. 50 лет Советской Армии, д. 6 ЧС</t>
  </si>
  <si>
    <t>Авансы северным районам**</t>
  </si>
  <si>
    <t>Абыйский у, п. Белая Гора, ул. Строителей, д. 11 кор.1</t>
  </si>
  <si>
    <t>г. Якутск, ул. Петра Алексеева, д. 12</t>
  </si>
  <si>
    <t>г. Якутск, ул. Петра Алексеева, д. 12 кор. 1</t>
  </si>
  <si>
    <t xml:space="preserve">Финансово необеспеченные МКД </t>
  </si>
  <si>
    <t>г. Якутск, ул. Петра Алексеева, д. 12 кор. 2</t>
  </si>
  <si>
    <t>г. Якутск, ул. Петра Алексеева, д. 4 кор. 1</t>
  </si>
  <si>
    <t>г. Якутск, ул. Петра Алексеева, д. 4 кор. 2</t>
  </si>
  <si>
    <t>г. Нерюнгри, пр-кт. Мира, д. 3</t>
  </si>
  <si>
    <t>г. Якутск, ул. Петра Алексеева, д. 4 кор. 3</t>
  </si>
  <si>
    <t>г. Якутск, ул. Петра Алексеева, д. 8</t>
  </si>
  <si>
    <t>г. Нерюнгри, ул. Карла Маркса, д. 25 кор. 1</t>
  </si>
  <si>
    <t>г. Нерюнгри, ул. Южно-Якутская, д. 25 кор. 1</t>
  </si>
  <si>
    <t>г. Якутск, ул. Семена Данилова, д. 4 кор. 2</t>
  </si>
  <si>
    <t>г. Якутск, ул. Дзержинского, д. 15</t>
  </si>
  <si>
    <t>г. Якутск, ул. Стадухина, д. 80</t>
  </si>
  <si>
    <t>г. Якутск, ул. Дзержинского, д. 15 кор.1</t>
  </si>
  <si>
    <t>г. Якутск, ул. Федора Попова, д. 14 кор. 1</t>
  </si>
  <si>
    <t>г. Якутск, ул. Хабарова, д. 3</t>
  </si>
  <si>
    <t>г. Якутск, ул. Дзержинского, д. 20 кор. 1</t>
  </si>
  <si>
    <t>г. Якутск, ул. Хабарова, д. 9</t>
  </si>
  <si>
    <t>г. Якутск, ул. Халтурина, д. 6</t>
  </si>
  <si>
    <t>г. Якутск, ул. Чернышевского, д. 12 кор.1</t>
  </si>
  <si>
    <t>г. Якутск, ул. Ярославского, д. 7</t>
  </si>
  <si>
    <t>Булунский у, п. Тикси, ул. Академика Федорова, д. 28а</t>
  </si>
  <si>
    <t>г. Якутск, ул. Ярославского, д. 19 кор. 1</t>
  </si>
  <si>
    <t>Булунский у, п. Тикси, ул. Академика Федорова, д. 38</t>
  </si>
  <si>
    <t>г. Якутск, ул. Ярославского, д. 32</t>
  </si>
  <si>
    <t>Булунский у, п. Тикси, ул. Гагарина, д. 3</t>
  </si>
  <si>
    <t>Алданский у, г. Алдан, ул. Алданская, д. 13</t>
  </si>
  <si>
    <t>Алданский у, г. Алдан, ул. Алданская, д. 20</t>
  </si>
  <si>
    <t>Алданский у, г. Алдан, ул. Гагарина, д. 5</t>
  </si>
  <si>
    <t>Алданский у, г. Томмот, ул. Нагорная, д. 19</t>
  </si>
  <si>
    <t>Булунский у, п. Тикси, ул. Трусова, д. 5</t>
  </si>
  <si>
    <t>Алданский у, п. Нижний Куранах, мкр. 1-й, д. 10</t>
  </si>
  <si>
    <t>Булунский у, п. Тикси, ул. Трусова, д. 9</t>
  </si>
  <si>
    <t>Алданский у, п. Нижний Куранах, ул. Строительная, д. 1-в</t>
  </si>
  <si>
    <t>Булунский у, п. Тикси, ул. Трусова, д. 11</t>
  </si>
  <si>
    <t>Булунский у, п. Тикси, ул. Трусова, д. 14</t>
  </si>
  <si>
    <t>Булунский у, п. Тикси, ул. Ленинская, д. 17</t>
  </si>
  <si>
    <t>Булунский у, п. Тикси, ул. Трусова, д. 2</t>
  </si>
  <si>
    <t>Верхнеколымский у, п. Зырянка, ул. Леликова, д. 8*</t>
  </si>
  <si>
    <t>Мирнинский у, г. Мирный, ул. Ленина, д. 10</t>
  </si>
  <si>
    <t>Мирнинский у, г. Мирный, ул. Ленина, д. 23</t>
  </si>
  <si>
    <t>Ленский у, г. Ленск, ул. Дзержинского, д. 19</t>
  </si>
  <si>
    <t>Мирнинский у, г. Мирный, ул. Ленина, д. 34</t>
  </si>
  <si>
    <t>Ленский у, г. Ленск, ул. Дзержинского, д. 25</t>
  </si>
  <si>
    <t>Мирнинский у, г. Мирный, ул. Советская, д. 3</t>
  </si>
  <si>
    <t>Ленский у, г. Ленск, ул. Ленина, д. 66</t>
  </si>
  <si>
    <t>Ленский у, г. Ленск, ул. Ленина, д. 71</t>
  </si>
  <si>
    <t>Ленский у, г. Ленск, ул. Ойунского, д. 23 кор.А</t>
  </si>
  <si>
    <t>г. Нерюнгри, ул. Карла Маркса, д. 19 кор. 1</t>
  </si>
  <si>
    <t>Ленский у, г. Ленск, ул. Первомайская, д. 10</t>
  </si>
  <si>
    <t>Ленский у, г. Ленск, ул. Пролетарская, д. 3</t>
  </si>
  <si>
    <t>г. Якутск, ул. Хабарова, д. 23 кор.1</t>
  </si>
  <si>
    <t>Ленский у, г. Ленск, ул. Пролетарская, д. 5</t>
  </si>
  <si>
    <t>Алданский у, п. Ленинский, ул. Карла Маркса, д. 16</t>
  </si>
  <si>
    <t>Ленский у, г. Ленск, ул. Победы, д. 19 кор.А</t>
  </si>
  <si>
    <t>2008</t>
  </si>
  <si>
    <t>Ленский у, г. Ленск, ул. Портовская, д. 24</t>
  </si>
  <si>
    <t>Мирнинский у, г. Мирный, пр-кт. Ленинградский, д. 19</t>
  </si>
  <si>
    <t>Мирнинский у, г. Мирный, ул. Ленина, д. 11</t>
  </si>
  <si>
    <t>Мирнинский у, г. Мирный, ул. Ленина, д. 12</t>
  </si>
  <si>
    <t>Мирнинский у, г. Мирный, ул. Ленина, д. 21</t>
  </si>
  <si>
    <t>Мирнинский у, г. Мирный, ул. Ленина, д. 35</t>
  </si>
  <si>
    <t>Оймяконский у, п Усть-Нера, ул. Андрианова, д. 2</t>
  </si>
  <si>
    <t>Мирнинский у, г. Мирный, ул. Московская, д. 6</t>
  </si>
  <si>
    <t>Оймяконский у, п Усть-Нера, ул. Андрианова, д. 6</t>
  </si>
  <si>
    <t>Мирнинский у, г. Мирный, ул. Московская, д. 8</t>
  </si>
  <si>
    <t>Оймяконский у, п Усть-Нера, ул. Ленина, д. 27</t>
  </si>
  <si>
    <t>Мирнинский у, г. Мирный, ул. Московская, д. 10</t>
  </si>
  <si>
    <t>Мирнинский у, г. Мирный, ул. Ойунского, д. 41</t>
  </si>
  <si>
    <t>Оймяконский у, п Усть-Нера, ул. Молодежная, д. 2</t>
  </si>
  <si>
    <t>Мирнинский у, г. Мирный, ул. Советская, д. 5</t>
  </si>
  <si>
    <t>Томпонский у, п Хандыга, п. Хандыга, ул. Геолога Кудрявого, д. 32</t>
  </si>
  <si>
    <t>Мирнинский у, г. Мирный, ул. Советская, д. 8</t>
  </si>
  <si>
    <t>Томпонский у, п Хандыга, п. Хандыга, ул. Магаданская, д. 30</t>
  </si>
  <si>
    <t>Мирнинский у, г. Мирный, ул. Советская, д. 15 кор. 2</t>
  </si>
  <si>
    <t>Мирнинский у, г. Мирный, ул. Советская, д. 21</t>
  </si>
  <si>
    <t>Мирнинский у, г. Мирный, ул. Солдатова, д. 16</t>
  </si>
  <si>
    <t>Хангаласский у, г. Покровск, ул. Братьев Ксенофонтовых, д. 10</t>
  </si>
  <si>
    <t>Мирнинский у, г. Мирный, ул. Тихонова, д. 14</t>
  </si>
  <si>
    <t>ГП "Город Покровск"</t>
  </si>
  <si>
    <t>Хангаласский у, г. Покровск, ул. Орджоникидзе, д. 22</t>
  </si>
  <si>
    <t>Мирнинский у, г. Мирный, ул. Тихонова, д. 29 кор. 1</t>
  </si>
  <si>
    <t>Хангаласский у, г. Покровск, ул. Таежная, д. 2</t>
  </si>
  <si>
    <t>Мирнинский у, г. Мирный, ул. Тихонова, д. 29 кор. 2</t>
  </si>
  <si>
    <t>Хангаласский у, г. Покровск, ул. Таежная, д. 3</t>
  </si>
  <si>
    <t>Мирнинский у, г. Мирный, ул. Тихонова, д. 29 кор. 3</t>
  </si>
  <si>
    <t>Хангаласский у, г. Покровск, ул. Таежная, д. 5</t>
  </si>
  <si>
    <t>Мирнинский у, г. Мирный, ул. Тихонова, д. 29/4</t>
  </si>
  <si>
    <t>Мирнинский у, г. Мирный, ш. 50 лет Октября, д. 16 кор. 1</t>
  </si>
  <si>
    <t>Хангаласский у, п. Мохсоголлох, ул. Соколиная, д. 13</t>
  </si>
  <si>
    <t>МО "Поселок Айхал"</t>
  </si>
  <si>
    <t>Мирнинский у, п. Айхал, ул. Советская, д. 15</t>
  </si>
  <si>
    <t>Мирнинский у, п. Светлый, ул. Гидростроителей, д. 2</t>
  </si>
  <si>
    <t>г. Нерюнгри, ул. Аммосова, д. 14</t>
  </si>
  <si>
    <t>СП "Немюгюнский наслег"</t>
  </si>
  <si>
    <t>Хангаласский у, Немюгинский н-г, с. Ой, ул. Горького, д. 22</t>
  </si>
  <si>
    <t>г. Якутск, ул. Сергеляхское ш. 12 км., д. 9 ЧС</t>
  </si>
  <si>
    <t>2016</t>
  </si>
  <si>
    <t>Мирнинский у, г. Мирный, ул. Советская, д. 11 кор. 2</t>
  </si>
  <si>
    <t>г. Якутск, пр-кт. Ленина, д. 25 ЧС</t>
  </si>
  <si>
    <t>г. Якутск, ул. Кузьмина, д. 29, кор. 4 ЧС</t>
  </si>
  <si>
    <t>Мирнинский у, п. Чернышевский, ул. Гидростроителей, д. 24</t>
  </si>
  <si>
    <t>Перенос по протоколу ОСС</t>
  </si>
  <si>
    <t>п. Беркакит (г Нерюнгри), ул. Бочкарева, д. 6</t>
  </si>
  <si>
    <t>г. Нерюнгри, пр-кт. Ленина, д. 7</t>
  </si>
  <si>
    <t>г. Нерюнгри, пр-кт. Дружбы Народов, д. 10 кор. 1</t>
  </si>
  <si>
    <t>г. Нерюнгри, пр-кт. Дружбы Народов, д. 29 кор. 2</t>
  </si>
  <si>
    <t>г. Нерюнгри, ул. им Кравченко, д. 17 кор. 2</t>
  </si>
  <si>
    <t>г. Нерюнгри, ул. им Кравченко, д. 18</t>
  </si>
  <si>
    <t>г. Нерюнгри, ул. Аммосова, д. 12</t>
  </si>
  <si>
    <t>г. Нерюнгри, ул. им Кравченко, д. 19 кор. 3</t>
  </si>
  <si>
    <t>г. Нерюнгри, ул. Тимптонская, д. 3 кор. 1</t>
  </si>
  <si>
    <t>г. Нерюнгри, ул. Лужников, д. 3</t>
  </si>
  <si>
    <t>г. Нерюнгри, ул. Лужников, д. 3 кор. 1</t>
  </si>
  <si>
    <t>г. Нерюнгри, ул. Тимптонская, д. 1</t>
  </si>
  <si>
    <t>г. Якутск, ул. Кузьмина, д. 16 кор. 1</t>
  </si>
  <si>
    <t>г. Якутск, ул. Лермонтова, д. 138 кор.2</t>
  </si>
  <si>
    <t>г. Якутск, ул. Лермонтова, д. 138 кор.3</t>
  </si>
  <si>
    <t>г. Нерюнгри, ул. Чурапчинская, д. 39</t>
  </si>
  <si>
    <t>г. Якутск, ул. Лермонтова, д. 138 кор.4</t>
  </si>
  <si>
    <t>г. Якутск, мкр. Кангалассы, ул. 26 партсъезда, д. 2</t>
  </si>
  <si>
    <t>г. Якутск, ул. Горького, д. 94</t>
  </si>
  <si>
    <t>Спецсчет</t>
  </si>
  <si>
    <t>ГП "Поселок Чульман" спецсчет</t>
  </si>
  <si>
    <t>п. Чульман (г Нерюнгри), ул. Советская, д. 56 СПЕЦСЧЕТ</t>
  </si>
  <si>
    <t>п. Чульман (г Нерюнгри), ул. Советская, д. 79 СПЕЦСЧЕТ</t>
  </si>
  <si>
    <t>г. Нерюнгри, пр-кт. Геологов, д. 55 СПЕЦСЧЕТ</t>
  </si>
  <si>
    <t>г. Нерюнгри, пр-кт. Геологов, д. 67 СПЕЦСЧЕТ</t>
  </si>
  <si>
    <t>г. Нерюнгри, пр-кт. Дружбы Народов, д. 6 СПЕЦСЧЕТ</t>
  </si>
  <si>
    <t>г. Нерюнгри, пр-кт. Ленина, д. 21 кор. 1 СПЕЦСЧЕТ</t>
  </si>
  <si>
    <t>г. Якутск, ул. Лермонтова, д. 29 кор. 1</t>
  </si>
  <si>
    <t>г. Нерюнгри, пр-кт. Ленина, д. 25 кор. 1 СПЕЦСЧЕТ</t>
  </si>
  <si>
    <t>МО "Город Нерюнгри" спецчсет</t>
  </si>
  <si>
    <t>г. Нерюнгри, ул. Аммосова, д. 10 СПЕЦСЧЕТ</t>
  </si>
  <si>
    <t>г. Нерюнгри, ул. Аммосова, д. 8 кор. 2 СПЕЦСЧЕТ</t>
  </si>
  <si>
    <t>г. Нерюнгри, ул. Карла Маркса, д. 3 СПЕЦСЧЕТ</t>
  </si>
  <si>
    <t>г. Якутск, ул. Орджоникидзе, д. 46 кор. 1</t>
  </si>
  <si>
    <t>г. Нерюнгри, ул. Карла Маркса, д. 3 кор. 4 СПЕЦСЧЕТ</t>
  </si>
  <si>
    <t>ГП "Город Нерюнгри" спецсчет</t>
  </si>
  <si>
    <t>г. Нерюнгри, ул. Южно-Якутская, д. 35 СПЕЦСЧЕТ</t>
  </si>
  <si>
    <t>-</t>
  </si>
  <si>
    <t>г. Нерюнгри, ул. Южно-Якутская, д. 41 СПЕЦСЧЕТ</t>
  </si>
  <si>
    <t>г. Нерюнгри, ул. Южно-Якутская, д. 43 СПЕЦСЧЕТ</t>
  </si>
  <si>
    <t>ГО "город Якутск" спецсчет</t>
  </si>
  <si>
    <t>г. Якутск, ул. Белинского, д. 32 СПЕЦСЧЕТ</t>
  </si>
  <si>
    <t>г. Якутск, ул. Билибина, д. 13 СПЕЦСЧЕТ</t>
  </si>
  <si>
    <t>г. Якутск, ул. Курашова, д. 45 СПЕЦСЧЕТ</t>
  </si>
  <si>
    <t>г. Якутск, ул. Пояркова, д. 13 СПЕЦСЧЕТ</t>
  </si>
  <si>
    <r>
      <t xml:space="preserve">К VIII летним Международным спортивным играм «Дети Азии» </t>
    </r>
    <r>
      <t xml:space="preserve">
</t>
    </r>
  </si>
  <si>
    <t>г. Якутск, ул. Хабарова, д. 7</t>
  </si>
  <si>
    <t>г. Якутск, пр-кт. Ленина, д. 10</t>
  </si>
  <si>
    <t>г. Якутск, пр-кт. Ленина, д. 16</t>
  </si>
  <si>
    <t>г. Якутск, пр-кт, Ленина, д. 21</t>
  </si>
  <si>
    <t>г. Якутск, пр-кт. Ленина, д. 23</t>
  </si>
  <si>
    <t>г. Якутск, пр-кт. Ленина, д. 27/1</t>
  </si>
  <si>
    <t>г. Якутск, пр-кт. Ленина, д. 29</t>
  </si>
  <si>
    <t>г. Якутск, пр-кт. Ленина, д. 34</t>
  </si>
  <si>
    <t>г. Якутск, пр-кт. Ленина, д. 35</t>
  </si>
  <si>
    <t>Алданский у, г. Алдан, ул. Гагарина, д. 13</t>
  </si>
  <si>
    <t>1967</t>
  </si>
  <si>
    <t>г. Якутск, пр-кт. Ленина, д. 46</t>
  </si>
  <si>
    <t>Алданский у, г. Алдан, ул. Гагарина, д. 15</t>
  </si>
  <si>
    <t>г. Якутск, ул. Губина, д. 37</t>
  </si>
  <si>
    <t>Алданский у, г. Алдан, ул. Гагарина, д. 19</t>
  </si>
  <si>
    <t>г. Якутск, ул. Лермонтова, д. 52</t>
  </si>
  <si>
    <t xml:space="preserve">г. Якутск, ул. Можайского, д. 15/2 </t>
  </si>
  <si>
    <t>г. Якутск, ул. Петра Алексеева, д. 73/1</t>
  </si>
  <si>
    <t>г. Якутск, ул. Можайского, д. 17</t>
  </si>
  <si>
    <t>г. Якутск, ш. Сергеляхское 12 км., д. 3</t>
  </si>
  <si>
    <t>г. Якутск, ул. Ойунского, д. 6/1</t>
  </si>
  <si>
    <t>г. Якутск, ш. Сергеляхское 12 км., д. 7</t>
  </si>
  <si>
    <t>г. Якутск, ш. Сергеляхское 12 км., д. 7/1</t>
  </si>
  <si>
    <t>* - повторяющиеся многоквартирные дома;</t>
  </si>
  <si>
    <t xml:space="preserve">** - 2024 г. по средствам из гос.бюджета отражено с учетом выплаченного аванса в 2024 г. на сумму 4 610 532,40 руб. по следующим МКД: </t>
  </si>
  <si>
    <t>Приложение № 2 к приказу</t>
  </si>
  <si>
    <t>Адресный перечень многоквартирных домов, в отношении которых в 2022-2024 гг. планируется проведение капитального ремонта общего имущества в многоквартирных домах, с разбивкой по видам работ</t>
  </si>
  <si>
    <t>Финансово обеспеченные МКД</t>
  </si>
  <si>
    <t>ГП "Поселок Хани"</t>
  </si>
  <si>
    <t>МО "поселок Депутатский" спецсчет</t>
  </si>
  <si>
    <t>г. Якутск, ул. Стадухина, д. 84 кор. 1</t>
  </si>
  <si>
    <t>СП "Мюрюнский наслег"</t>
  </si>
  <si>
    <t>г. Якутск, ул. Чернышевского, д. 8 корп. 1</t>
  </si>
  <si>
    <t>г. Якутск,пр. Михаила Николаева, д. 40 кор. 7</t>
  </si>
  <si>
    <t>Финансово необеспеченные МКД</t>
  </si>
  <si>
    <t>ГП "Поселок Хандыга"</t>
  </si>
  <si>
    <r>
      <rPr>
        <rFont val="XO Thames"/>
        <b val="true"/>
        <color theme="1" tint="0"/>
        <sz val="11"/>
      </rPr>
      <t xml:space="preserve">К VIII летним Международным спортивным играм «Дети Азии» </t>
    </r>
    <r>
      <t xml:space="preserve">
</t>
    </r>
  </si>
  <si>
    <t>МО "Петропавловский национальный наслег"</t>
  </si>
  <si>
    <t>ГО "Город Якутск" спецсчет</t>
  </si>
  <si>
    <t>МО "ГП "Поселок Хани""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</si>
</sst>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#,##0.0000_ ;[red]-#,##0.0000 " formatCode="#,##0.0000_ ;[red]-#,##0.0000 " numFmtId="1006"/>
    <numFmt co:extendedFormatCode="#,##0_ ;[red]-#,##0 " formatCode="#,##0_ ;[red]-#,##0 " numFmtId="1005"/>
    <numFmt co:extendedFormatCode="General" formatCode="General" numFmtId="1000"/>
    <numFmt co:extendedFormatCode="#,##0.00" formatCode="#,##0.00" numFmtId="1001"/>
    <numFmt co:extendedFormatCode="# ##0.00_ ;[red]-# ##0.00 " formatCode="# ##0.00_ ;[red]-# ##0.00 " numFmtId="1008"/>
    <numFmt co:extendedFormatCode="#,##0.00_ ;[red]-#,##0.00 " formatCode="#,##0.00_ ;[red]-#,##0.00 " numFmtId="1003"/>
    <numFmt co:extendedFormatCode="_-* #,##0.00_-;-* #,##0.00_-;_-* -??_-;_-@_-" formatCode="_-* #,##0.00_-;-* #,##0.00_-;_-* -??_-;_-@_-" numFmtId="1007"/>
    <numFmt co:extendedFormatCode="#,##0.0" formatCode="#,##0.0" numFmtId="1004"/>
    <numFmt co:extendedFormatCode="#,##0" formatCode="#,##0" numFmtId="1002"/>
    <numFmt co:extendedFormatCode="0" formatCode="0" numFmtId="1009"/>
  </numFmts>
  <fonts count="26">
    <font>
      <name val="Calibri"/>
      <sz val="11"/>
    </font>
    <font>
      <color theme="1" tint="0"/>
      <sz val="11"/>
      <scheme val="minor"/>
    </font>
    <font>
      <name val="Times New Roman"/>
      <sz val="11"/>
    </font>
    <font>
      <name val="Times New Roman"/>
      <color theme="1" tint="0"/>
      <sz val="11"/>
    </font>
    <font>
      <name val="Times New Roman"/>
      <sz val="12"/>
    </font>
    <font>
      <name val="Times New Roman"/>
      <b val="true"/>
      <sz val="11"/>
    </font>
    <font>
      <name val="Times New Roman"/>
      <color theme="1" tint="0"/>
      <sz val="13"/>
    </font>
    <font>
      <name val="Times New Roman"/>
      <sz val="14"/>
    </font>
    <font>
      <name val="Times New Roman"/>
      <color rgb="FF0000" tint="0"/>
      <sz val="11"/>
    </font>
    <font>
      <name val="Times New Roman"/>
      <b val="true"/>
      <sz val="16"/>
    </font>
    <font>
      <name val="Times New Roman"/>
      <b val="true"/>
      <sz val="13"/>
    </font>
    <font>
      <name val="Arial"/>
      <sz val="10"/>
    </font>
    <font>
      <name val="Times New Roman"/>
      <sz val="10"/>
    </font>
    <font>
      <name val="Times New Roman"/>
      <color rgb="C00000" tint="0"/>
      <sz val="11"/>
    </font>
    <font>
      <name val="Calibri"/>
      <color theme="1" tint="0"/>
      <sz val="12"/>
    </font>
    <font>
      <name val="Times New Roman"/>
      <b val="true"/>
      <color theme="1" tint="0"/>
      <sz val="11"/>
    </font>
    <font>
      <name val="Arial"/>
      <color theme="1" tint="0"/>
      <sz val="10"/>
    </font>
    <font>
      <name val="Calibri"/>
      <sz val="12"/>
    </font>
    <font>
      <name val="Times New Roman"/>
      <color rgb="000000" tint="0"/>
      <sz val="11"/>
    </font>
    <font>
      <name val="Times New Roman"/>
      <i val="true"/>
      <sz val="11"/>
    </font>
    <font>
      <name val="Times New Roman"/>
      <b val="true"/>
      <sz val="12"/>
    </font>
    <font>
      <color theme="1" tint="0"/>
      <sz val="12"/>
      <scheme val="minor"/>
    </font>
    <font>
      <sz val="11"/>
      <scheme val="minor"/>
    </font>
    <font>
      <name val="XO Thames"/>
      <b val="true"/>
      <color theme="1" tint="0"/>
      <sz val="11"/>
    </font>
    <font>
      <name val="Times New Roman"/>
      <b val="true"/>
      <color rgb="C00000" tint="0"/>
      <sz val="11"/>
    </font>
    <font>
      <name val="Calibri"/>
      <color theme="1" tint="0"/>
      <sz val="11"/>
    </font>
  </fonts>
  <fills count="13">
    <fill>
      <patternFill patternType="none"/>
    </fill>
    <fill>
      <patternFill patternType="gray125"/>
    </fill>
    <fill>
      <patternFill patternType="solid">
        <fgColor theme="4" tint="0.599993896298105"/>
      </patternFill>
    </fill>
    <fill>
      <patternFill patternType="solid">
        <fgColor rgb="7030A0" tint="0"/>
      </patternFill>
    </fill>
    <fill>
      <patternFill patternType="solid">
        <fgColor rgb="C00000" tint="0"/>
      </patternFill>
    </fill>
    <fill>
      <patternFill patternType="solid">
        <fgColor rgb="FFFF00" tint="0"/>
      </patternFill>
    </fill>
    <fill>
      <patternFill patternType="solid">
        <fgColor rgb="00FF99" tint="0"/>
      </patternFill>
    </fill>
    <fill>
      <patternFill patternType="solid">
        <fgColor theme="4" tint="0.399914548173467"/>
      </patternFill>
    </fill>
    <fill>
      <patternFill patternType="solid">
        <fgColor theme="4" tint="0.399792474135563"/>
      </patternFill>
    </fill>
    <fill>
      <patternFill patternType="solid">
        <fgColor rgb="663300" tint="0"/>
      </patternFill>
    </fill>
    <fill>
      <patternFill patternType="solid">
        <fgColor rgb="FFFFFF" tint="0"/>
      </patternFill>
    </fill>
    <fill>
      <patternFill patternType="solid">
        <fgColor theme="4" tint="0.399945066682943"/>
      </patternFill>
    </fill>
    <fill>
      <patternFill patternType="solid">
        <fgColor theme="9" tint="0.799920651875362"/>
      </patternFill>
    </fill>
  </fills>
  <borders count="14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 diagonalDown="true" diagonalUp="true"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  <diagonal style="none"/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none"/>
      <top style="none"/>
      <bottom style="none"/>
    </border>
    <border>
      <left style="dotted">
        <color rgb="000000" tint="0"/>
      </left>
      <right style="dotted">
        <color rgb="000000" tint="0"/>
      </right>
      <top style="none"/>
      <bottom style="dotted">
        <color rgb="000000" tint="0"/>
      </bottom>
    </border>
    <border>
      <left style="none"/>
      <right style="dotted">
        <color rgb="000000" tint="0"/>
      </right>
      <top style="none"/>
      <bottom style="dotted">
        <color rgb="000000" tint="0"/>
      </bottom>
    </border>
    <border>
      <left style="dotted">
        <color rgb="000000" tint="0"/>
      </left>
      <right style="none"/>
      <top style="none"/>
      <bottom style="dotted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dotted">
        <color rgb="000000" tint="0"/>
      </bottom>
    </border>
    <border>
      <left style="none"/>
      <right style="dotted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none"/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none"/>
    </border>
    <border>
      <left style="dotted">
        <color rgb="000000" tint="0"/>
      </left>
      <right style="none"/>
      <top style="dotted">
        <color rgb="000000" tint="0"/>
      </top>
      <bottom style="none"/>
    </border>
    <border>
      <left style="dotted">
        <color rgb="000000" tint="0"/>
      </left>
      <right style="dotted">
        <color rgb="000000" tint="0"/>
      </right>
      <top style="none"/>
      <bottom style="none"/>
    </border>
    <border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none"/>
      <top style="dotted">
        <color rgb="000000" tint="0"/>
      </top>
      <bottom style="thin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dotted">
        <color rgb="000000" tint="0"/>
      </right>
      <top style="dotted">
        <color rgb="000000" tint="0"/>
      </top>
      <bottom style="none"/>
    </border>
    <border>
      <left style="none"/>
      <right style="none"/>
      <top style="dotted">
        <color rgb="000000" tint="0"/>
      </top>
      <bottom style="dotted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359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1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/>
    </xf>
    <xf applyAlignment="true" applyBorder="true" applyFill="false" applyFont="true" applyNumberFormat="true" borderId="1" fillId="0" fontId="3" numFmtId="1002" quotePrefix="false">
      <alignment vertical="center"/>
    </xf>
    <xf applyAlignment="true" applyBorder="true" applyFill="false" applyFont="true" applyNumberFormat="true" borderId="2" fillId="0" fontId="3" numFmtId="1000" quotePrefix="false">
      <alignment vertical="center"/>
    </xf>
    <xf applyAlignment="true" applyBorder="true" applyFill="false" applyFont="true" applyNumberFormat="true" borderId="3" fillId="0" fontId="2" numFmtId="1000" quotePrefix="false">
      <alignment vertical="center"/>
    </xf>
    <xf applyAlignment="true" applyBorder="false" applyFill="false" applyFont="true" applyNumberFormat="true" borderId="0" fillId="0" fontId="4" numFmtId="1000" quotePrefix="false">
      <alignment horizontal="right" vertical="center"/>
    </xf>
    <xf applyAlignment="true" applyBorder="true" applyFill="false" applyFont="true" applyNumberFormat="true" borderId="3" fillId="0" fontId="2" numFmtId="1000" quotePrefix="false">
      <alignment horizontal="center" vertical="center"/>
    </xf>
    <xf applyAlignment="true" applyBorder="false" applyFill="false" applyFont="true" applyNumberFormat="true" borderId="0" fillId="0" fontId="5" numFmtId="1001" quotePrefix="false">
      <alignment horizontal="center" vertical="center" wrapText="true"/>
    </xf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3" quotePrefix="false">
      <alignment vertical="center"/>
    </xf>
    <xf applyAlignment="true" applyBorder="false" applyFill="false" applyFont="true" applyNumberFormat="true" borderId="0" fillId="0" fontId="6" numFmtId="1001" quotePrefix="false">
      <alignment horizontal="center" vertical="center"/>
    </xf>
    <xf applyAlignment="true" applyBorder="false" applyFill="false" applyFont="true" applyNumberFormat="true" borderId="0" fillId="0" fontId="7" numFmtId="1001" quotePrefix="false">
      <alignment horizontal="center" vertical="center"/>
    </xf>
    <xf applyAlignment="true" applyBorder="false" applyFill="true" applyFont="true" applyNumberFormat="true" borderId="0" fillId="3" fontId="2" numFmtId="1001" quotePrefix="false">
      <alignment vertical="center"/>
    </xf>
    <xf applyAlignment="true" applyBorder="true" applyFill="false" applyFont="true" applyNumberFormat="true" borderId="2" fillId="0" fontId="2" numFmtId="1001" quotePrefix="false">
      <alignment vertical="center"/>
    </xf>
    <xf applyAlignment="true" applyBorder="true" applyFill="false" applyFont="true" applyNumberFormat="true" borderId="2" fillId="0" fontId="2" numFmtId="1003" quotePrefix="false">
      <alignment vertical="center"/>
    </xf>
    <xf applyAlignment="true" applyBorder="true" applyFill="false" applyFont="true" applyNumberFormat="true" borderId="2" fillId="0" fontId="3" numFmtId="1003" quotePrefix="false">
      <alignment vertical="center"/>
    </xf>
    <xf applyAlignment="true" applyBorder="true" applyFill="false" applyFont="true" applyNumberFormat="true" borderId="2" fillId="0" fontId="8" numFmtId="1003" quotePrefix="false">
      <alignment vertical="center"/>
    </xf>
    <xf applyAlignment="true" applyBorder="false" applyFill="false" applyFont="true" applyNumberFormat="true" borderId="0" fillId="0" fontId="9" numFmtId="1000" quotePrefix="false">
      <alignment horizontal="center" vertical="center"/>
    </xf>
    <xf applyAlignment="true" applyBorder="true" applyFill="false" applyFont="true" applyNumberFormat="true" borderId="4" fillId="0" fontId="2" numFmtId="1000" quotePrefix="false">
      <alignment horizontal="center" vertical="center"/>
    </xf>
    <xf applyAlignment="true" applyBorder="false" applyFill="false" applyFont="true" applyNumberFormat="true" borderId="0" fillId="0" fontId="3" numFmtId="1003" quotePrefix="false">
      <alignment vertical="center"/>
    </xf>
    <xf applyAlignment="true" applyBorder="true" applyFill="true" applyFont="true" applyNumberFormat="true" borderId="2" fillId="2" fontId="3" numFmtId="1001" quotePrefix="false">
      <alignment vertical="center"/>
    </xf>
    <xf applyAlignment="true" applyBorder="true" applyFill="true" applyFont="true" applyNumberFormat="true" borderId="4" fillId="4" fontId="3" numFmtId="1003" quotePrefix="false">
      <alignment vertical="center"/>
    </xf>
    <xf applyAlignment="true" applyBorder="false" applyFill="false" applyFont="true" applyNumberFormat="true" borderId="0" fillId="0" fontId="10" numFmtId="1000" quotePrefix="false">
      <alignment horizontal="center" vertical="center"/>
    </xf>
    <xf applyAlignment="true" applyBorder="false" applyFill="false" applyFont="true" applyNumberFormat="true" borderId="0" fillId="0" fontId="10" numFmtId="1001" quotePrefix="false">
      <alignment horizontal="center" vertical="center"/>
    </xf>
    <xf applyAlignment="true" applyBorder="true" applyFill="false" applyFont="true" applyNumberFormat="true" borderId="2" fillId="0" fontId="3" numFmtId="1001" quotePrefix="false">
      <alignment vertical="center"/>
    </xf>
    <xf applyAlignment="true" applyBorder="false" applyFill="false" applyFont="true" applyNumberFormat="true" borderId="0" fillId="0" fontId="6" numFmtId="1001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left" vertical="center"/>
    </xf>
    <xf applyAlignment="true" applyBorder="false" applyFill="false" applyFont="true" applyNumberFormat="true" borderId="0" fillId="0" fontId="2" numFmtId="1002" quotePrefix="false">
      <alignment horizontal="center" vertical="center"/>
    </xf>
    <xf applyAlignment="true" applyBorder="false" applyFill="false" applyFont="true" applyNumberFormat="true" borderId="0" fillId="0" fontId="2" numFmtId="1004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horizontal="right" vertical="center"/>
    </xf>
    <xf applyAlignment="true" applyBorder="false" applyFill="false" applyFont="true" applyNumberFormat="true" borderId="0" fillId="0" fontId="2" numFmtId="1001" quotePrefix="false">
      <alignment horizontal="right" vertical="center"/>
    </xf>
    <xf applyAlignment="true" applyBorder="false" applyFill="false" applyFont="true" applyNumberFormat="true" borderId="0" fillId="0" fontId="2" numFmtId="1001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true" applyNumberFormat="true" borderId="5" fillId="0" fontId="5" numFmtId="1000" quotePrefix="false">
      <alignment horizontal="center" vertical="center"/>
    </xf>
    <xf applyAlignment="true" applyBorder="true" applyFill="false" applyFont="true" applyNumberFormat="true" borderId="5" fillId="0" fontId="5" numFmtId="1000" quotePrefix="false">
      <alignment horizontal="center" vertical="center" wrapText="true"/>
    </xf>
    <xf applyAlignment="true" applyBorder="true" applyFill="false" applyFont="true" applyNumberFormat="true" borderId="6" fillId="0" fontId="5" numFmtId="1000" quotePrefix="false">
      <alignment horizontal="center" vertical="center" wrapText="true"/>
    </xf>
    <xf applyAlignment="true" applyBorder="true" applyFill="false" applyFont="true" applyNumberFormat="true" borderId="7" fillId="0" fontId="5" numFmtId="1000" quotePrefix="false">
      <alignment horizontal="center" vertical="center" wrapText="true"/>
    </xf>
    <xf applyAlignment="true" applyBorder="true" applyFill="false" applyFont="true" applyNumberFormat="true" borderId="5" fillId="0" fontId="5" numFmtId="1002" quotePrefix="false">
      <alignment horizontal="center" vertical="center" wrapText="true"/>
    </xf>
    <xf applyAlignment="true" applyBorder="true" applyFill="false" applyFont="true" applyNumberFormat="true" borderId="6" fillId="0" fontId="5" numFmtId="1004" quotePrefix="false">
      <alignment horizontal="center" vertical="center" wrapText="true"/>
    </xf>
    <xf applyAlignment="true" applyBorder="true" applyFill="false" applyFont="true" applyNumberFormat="true" borderId="8" fillId="0" fontId="5" numFmtId="1004" quotePrefix="false">
      <alignment horizontal="center" vertical="center" wrapText="true"/>
    </xf>
    <xf applyAlignment="true" applyBorder="true" applyFill="false" applyFont="true" applyNumberFormat="true" borderId="6" fillId="0" fontId="5" numFmtId="1002" quotePrefix="false">
      <alignment horizontal="center" vertical="center" wrapText="true"/>
    </xf>
    <xf applyAlignment="true" applyBorder="true" applyFill="false" applyFont="true" applyNumberFormat="true" borderId="9" fillId="0" fontId="5" numFmtId="1001" quotePrefix="false">
      <alignment horizontal="center" vertical="center" wrapText="true"/>
    </xf>
    <xf applyAlignment="true" applyBorder="true" applyFill="false" applyFont="true" applyNumberFormat="true" borderId="10" fillId="0" fontId="5" numFmtId="1001" quotePrefix="false">
      <alignment horizontal="center" vertical="center" wrapText="true"/>
    </xf>
    <xf applyAlignment="true" applyBorder="true" applyFill="false" applyFont="true" applyNumberFormat="true" borderId="11" fillId="0" fontId="5" numFmtId="1001" quotePrefix="false">
      <alignment horizontal="center" vertical="center" wrapText="true"/>
    </xf>
    <xf applyAlignment="true" applyBorder="true" applyFill="false" applyFont="true" applyNumberFormat="true" borderId="12" fillId="0" fontId="5" numFmtId="1001" quotePrefix="false">
      <alignment horizontal="center" vertical="center" wrapText="true"/>
    </xf>
    <xf applyAlignment="true" applyBorder="true" applyFill="false" applyFont="true" applyNumberFormat="true" borderId="13" fillId="0" fontId="5" numFmtId="1001" quotePrefix="false">
      <alignment horizontal="center" vertical="center" wrapText="true"/>
    </xf>
    <xf applyAlignment="true" applyBorder="true" applyFill="false" applyFont="true" applyNumberFormat="true" borderId="14" fillId="0" fontId="5" numFmtId="1001" quotePrefix="false">
      <alignment horizontal="center" vertical="center" wrapText="true"/>
    </xf>
    <xf applyAlignment="true" applyBorder="true" applyFill="false" applyFont="true" applyNumberFormat="true" borderId="15" fillId="0" fontId="5" numFmtId="1001" quotePrefix="false">
      <alignment horizontal="center" vertical="center" wrapText="true"/>
    </xf>
    <xf applyAlignment="true" applyBorder="true" applyFill="false" applyFont="true" applyNumberFormat="true" borderId="6" fillId="0" fontId="5" numFmtId="1001" quotePrefix="false">
      <alignment horizontal="center" vertical="center" wrapText="true"/>
    </xf>
    <xf applyAlignment="true" applyBorder="false" applyFill="false" applyFont="true" applyNumberFormat="true" borderId="0" fillId="0" fontId="5" numFmtId="1001" quotePrefix="false">
      <alignment horizontal="center" vertical="center"/>
    </xf>
    <xf applyAlignment="true" applyBorder="true" applyFill="true" applyFont="true" applyNumberFormat="true" borderId="6" fillId="2" fontId="5" numFmtId="1001" quotePrefix="false">
      <alignment horizontal="center" vertical="center" wrapText="true"/>
    </xf>
    <xf applyAlignment="true" applyBorder="true" applyFill="false" applyFont="true" applyNumberFormat="true" borderId="9" fillId="0" fontId="5" numFmtId="1001" quotePrefix="false">
      <alignment vertical="center" wrapText="true"/>
    </xf>
    <xf applyAlignment="true" applyBorder="true" applyFill="false" applyFont="true" applyNumberFormat="true" borderId="16" fillId="0" fontId="5" numFmtId="1001" quotePrefix="false">
      <alignment vertical="center" wrapText="true"/>
    </xf>
    <xf applyAlignment="true" applyBorder="true" applyFill="false" applyFont="true" applyNumberFormat="true" borderId="17" fillId="0" fontId="5" numFmtId="1001" quotePrefix="false">
      <alignment vertical="center" wrapText="true"/>
    </xf>
    <xf applyAlignment="true" applyBorder="true" applyFill="false" applyFont="true" applyNumberFormat="true" borderId="18" fillId="0" fontId="5" numFmtId="1000" quotePrefix="false">
      <alignment horizontal="center" vertical="center"/>
    </xf>
    <xf applyAlignment="true" applyBorder="true" applyFill="false" applyFont="true" applyNumberFormat="true" borderId="19" fillId="0" fontId="5" numFmtId="1000" quotePrefix="false">
      <alignment horizontal="center" vertical="center"/>
    </xf>
    <xf applyAlignment="true" applyBorder="true" applyFill="false" applyFont="true" applyNumberFormat="true" borderId="20" fillId="0" fontId="5" numFmtId="1000" quotePrefix="false">
      <alignment horizontal="center" vertical="center" wrapText="true"/>
    </xf>
    <xf applyAlignment="true" applyBorder="true" applyFill="false" applyFont="true" applyNumberFormat="true" borderId="21" fillId="0" fontId="5" numFmtId="1000" quotePrefix="false">
      <alignment horizontal="center" vertical="center" wrapText="true"/>
    </xf>
    <xf applyAlignment="true" applyBorder="true" applyFill="false" applyFont="true" applyNumberFormat="true" borderId="22" fillId="0" fontId="5" numFmtId="1000" quotePrefix="false">
      <alignment horizontal="center" vertical="center" wrapText="true"/>
    </xf>
    <xf applyAlignment="true" applyBorder="true" applyFill="false" applyFont="true" applyNumberFormat="true" borderId="23" fillId="0" fontId="5" numFmtId="1000" quotePrefix="false">
      <alignment horizontal="center" vertical="center" wrapText="true"/>
    </xf>
    <xf applyAlignment="true" applyBorder="true" applyFill="false" applyFont="true" applyNumberFormat="true" borderId="24" fillId="0" fontId="5" numFmtId="1002" quotePrefix="false">
      <alignment horizontal="center" vertical="center" wrapText="true"/>
    </xf>
    <xf applyAlignment="true" applyBorder="true" applyFill="false" applyFont="true" applyNumberFormat="true" borderId="25" fillId="0" fontId="5" numFmtId="1004" quotePrefix="false">
      <alignment horizontal="center" vertical="center" wrapText="true"/>
    </xf>
    <xf applyAlignment="true" applyBorder="true" applyFill="false" applyFont="true" applyNumberFormat="true" borderId="26" fillId="0" fontId="5" numFmtId="1002" quotePrefix="false">
      <alignment horizontal="center" vertical="center" wrapText="true"/>
    </xf>
    <xf applyAlignment="true" applyBorder="true" applyFill="false" applyFont="true" applyNumberFormat="true" borderId="27" fillId="0" fontId="5" numFmtId="1001" quotePrefix="false">
      <alignment horizontal="center" vertical="center" wrapText="true"/>
    </xf>
    <xf applyAlignment="true" applyBorder="true" applyFill="false" applyFont="true" applyNumberFormat="true" borderId="28" fillId="0" fontId="5" numFmtId="1001" quotePrefix="false">
      <alignment horizontal="center" vertical="center" wrapText="true"/>
    </xf>
    <xf applyAlignment="true" applyBorder="true" applyFill="false" applyFont="true" applyNumberFormat="true" borderId="29" fillId="0" fontId="5" numFmtId="1001" quotePrefix="false">
      <alignment horizontal="center" vertical="center" wrapText="true"/>
    </xf>
    <xf applyAlignment="true" applyBorder="true" applyFill="false" applyFont="true" applyNumberFormat="true" borderId="30" fillId="0" fontId="5" numFmtId="1001" quotePrefix="false">
      <alignment horizontal="center" vertical="center" wrapText="true"/>
    </xf>
    <xf applyAlignment="true" applyBorder="true" applyFill="false" applyFont="true" applyNumberFormat="true" borderId="31" fillId="0" fontId="5" numFmtId="1001" quotePrefix="false">
      <alignment horizontal="center" vertical="center" wrapText="true"/>
    </xf>
    <xf applyAlignment="true" applyBorder="true" applyFill="false" applyFont="true" applyNumberFormat="true" borderId="32" fillId="0" fontId="5" numFmtId="1001" quotePrefix="false">
      <alignment horizontal="center" vertical="center" wrapText="true"/>
    </xf>
    <xf applyAlignment="true" applyBorder="true" applyFill="false" applyFont="true" applyNumberFormat="true" borderId="33" fillId="0" fontId="5" numFmtId="1001" quotePrefix="false">
      <alignment horizontal="center" vertical="center" wrapText="true"/>
    </xf>
    <xf applyAlignment="true" applyBorder="true" applyFill="false" applyFont="true" applyNumberFormat="true" borderId="34" fillId="0" fontId="5" numFmtId="1001" quotePrefix="false">
      <alignment horizontal="center" vertical="center" wrapText="true"/>
    </xf>
    <xf applyAlignment="true" applyBorder="true" applyFill="false" applyFont="true" applyNumberFormat="true" borderId="35" fillId="0" fontId="5" numFmtId="1001" quotePrefix="false">
      <alignment horizontal="center" vertical="center" wrapText="true"/>
    </xf>
    <xf applyAlignment="true" applyBorder="true" applyFill="false" applyFont="true" applyNumberFormat="true" borderId="36" fillId="0" fontId="5" numFmtId="1000" quotePrefix="false">
      <alignment horizontal="center" vertical="center" wrapText="true"/>
    </xf>
    <xf applyAlignment="true" applyBorder="true" applyFill="true" applyFont="true" applyNumberFormat="true" borderId="37" fillId="2" fontId="5" numFmtId="1001" quotePrefix="false">
      <alignment horizontal="center" vertical="center" wrapText="true"/>
    </xf>
    <xf applyAlignment="true" applyBorder="true" applyFill="false" applyFont="true" applyNumberFormat="true" borderId="6" fillId="0" fontId="5" numFmtId="1001" quotePrefix="false">
      <alignment horizontal="center" vertical="center"/>
    </xf>
    <xf applyAlignment="true" applyBorder="true" applyFill="false" applyFont="true" applyNumberFormat="true" borderId="38" fillId="0" fontId="5" numFmtId="1001" quotePrefix="false">
      <alignment horizontal="center" vertical="center"/>
    </xf>
    <xf applyAlignment="true" applyBorder="true" applyFill="false" applyFont="true" applyNumberFormat="true" borderId="39" fillId="0" fontId="5" numFmtId="1001" quotePrefix="false">
      <alignment horizontal="center" vertical="center"/>
    </xf>
    <xf applyAlignment="true" applyBorder="true" applyFill="false" applyFont="true" applyNumberFormat="true" borderId="40" fillId="0" fontId="5" numFmtId="1001" quotePrefix="false">
      <alignment horizontal="center" vertical="center"/>
    </xf>
    <xf applyAlignment="true" applyBorder="true" applyFill="false" applyFont="true" applyNumberFormat="true" borderId="41" fillId="0" fontId="5" numFmtId="1001" quotePrefix="false">
      <alignment horizontal="center" vertical="center"/>
    </xf>
    <xf applyAlignment="true" applyBorder="true" applyFill="false" applyFont="true" applyNumberFormat="true" borderId="42" fillId="0" fontId="5" numFmtId="1001" quotePrefix="false">
      <alignment horizontal="center" vertical="center"/>
    </xf>
    <xf applyAlignment="true" applyBorder="true" applyFill="false" applyFont="true" applyNumberFormat="true" borderId="43" fillId="0" fontId="5" numFmtId="1001" quotePrefix="false">
      <alignment horizontal="center" vertical="center"/>
    </xf>
    <xf applyAlignment="true" applyBorder="true" applyFill="false" applyFont="true" applyNumberFormat="true" borderId="44" fillId="0" fontId="5" numFmtId="1000" quotePrefix="false">
      <alignment horizontal="center" vertical="center"/>
    </xf>
    <xf applyAlignment="true" applyBorder="true" applyFill="false" applyFont="true" applyNumberFormat="true" borderId="45" fillId="0" fontId="5" numFmtId="1000" quotePrefix="false">
      <alignment horizontal="center" vertical="center"/>
    </xf>
    <xf applyAlignment="true" applyBorder="true" applyFill="false" applyFont="true" applyNumberFormat="true" borderId="46" fillId="0" fontId="5" numFmtId="1000" quotePrefix="false">
      <alignment horizontal="center" vertical="center" wrapText="true"/>
    </xf>
    <xf applyAlignment="true" applyBorder="true" applyFill="false" applyFont="true" applyNumberFormat="true" borderId="47" fillId="0" fontId="5" numFmtId="1000" quotePrefix="false">
      <alignment horizontal="center" vertical="center" wrapText="true"/>
    </xf>
    <xf applyAlignment="true" applyBorder="true" applyFill="false" applyFont="true" applyNumberFormat="true" borderId="3" fillId="0" fontId="2" numFmtId="1003" quotePrefix="false">
      <alignment vertical="center"/>
    </xf>
    <xf applyAlignment="true" applyBorder="true" applyFill="false" applyFont="true" applyNumberFormat="true" borderId="48" fillId="0" fontId="5" numFmtId="1000" quotePrefix="false">
      <alignment horizontal="center" vertical="center" wrapText="true"/>
    </xf>
    <xf applyAlignment="true" applyBorder="true" applyFill="false" applyFont="true" applyNumberFormat="true" borderId="49" fillId="0" fontId="5" numFmtId="1000" quotePrefix="false">
      <alignment horizontal="center" vertical="center" wrapText="true"/>
    </xf>
    <xf applyAlignment="true" applyBorder="true" applyFill="false" applyFont="true" applyNumberFormat="true" borderId="50" fillId="0" fontId="5" numFmtId="1000" quotePrefix="false">
      <alignment horizontal="center" vertical="center" wrapText="true"/>
    </xf>
    <xf applyAlignment="true" applyBorder="true" applyFill="false" applyFont="true" applyNumberFormat="true" borderId="51" fillId="0" fontId="5" numFmtId="1000" quotePrefix="false">
      <alignment horizontal="center" vertical="center" wrapText="true"/>
    </xf>
    <xf applyAlignment="true" applyBorder="true" applyFill="false" applyFont="true" applyNumberFormat="true" borderId="52" fillId="0" fontId="5" numFmtId="1002" quotePrefix="false">
      <alignment horizontal="center" vertical="center" wrapText="true"/>
    </xf>
    <xf applyAlignment="true" applyBorder="true" applyFill="false" applyFont="true" applyNumberFormat="true" borderId="53" fillId="0" fontId="5" numFmtId="1004" quotePrefix="false">
      <alignment horizontal="center" vertical="center" wrapText="true"/>
    </xf>
    <xf applyAlignment="true" applyBorder="true" applyFill="false" applyFont="true" applyNumberFormat="true" borderId="3" fillId="0" fontId="2" numFmtId="1005" quotePrefix="false">
      <alignment vertical="center"/>
    </xf>
    <xf applyAlignment="true" applyBorder="true" applyFill="false" applyFont="true" applyNumberFormat="true" borderId="54" fillId="0" fontId="5" numFmtId="1004" quotePrefix="false">
      <alignment horizontal="center" vertical="center" wrapText="true"/>
    </xf>
    <xf applyAlignment="true" applyBorder="true" applyFill="false" applyFont="true" applyNumberFormat="true" borderId="55" fillId="0" fontId="5" numFmtId="1004" quotePrefix="false">
      <alignment horizontal="center" vertical="center" wrapText="true"/>
    </xf>
    <xf applyAlignment="true" applyBorder="true" applyFill="false" applyFont="true" applyNumberFormat="true" borderId="56" fillId="0" fontId="5" numFmtId="1002" quotePrefix="false">
      <alignment horizontal="center" vertical="center" wrapText="true"/>
    </xf>
    <xf applyAlignment="true" applyBorder="true" applyFill="false" applyFont="true" applyNumberFormat="true" borderId="57" fillId="0" fontId="5" numFmtId="1001" quotePrefix="false">
      <alignment horizontal="center" vertical="center" wrapText="true"/>
    </xf>
    <xf applyAlignment="true" applyBorder="true" applyFill="false" applyFont="true" applyNumberFormat="true" borderId="3" fillId="0" fontId="3" numFmtId="1003" quotePrefix="false">
      <alignment vertical="center"/>
    </xf>
    <xf applyAlignment="true" applyBorder="true" applyFill="false" applyFont="true" applyNumberFormat="true" borderId="58" fillId="0" fontId="5" numFmtId="1001" quotePrefix="false">
      <alignment horizontal="center" vertical="center" wrapText="true"/>
    </xf>
    <xf applyAlignment="true" applyBorder="true" applyFill="false" applyFont="true" applyNumberFormat="true" borderId="59" fillId="0" fontId="5" numFmtId="1001" quotePrefix="false">
      <alignment horizontal="center" vertical="center" wrapText="true"/>
    </xf>
    <xf applyAlignment="true" applyBorder="true" applyFill="false" applyFont="true" applyNumberFormat="true" borderId="6" fillId="0" fontId="11" numFmtId="1001" quotePrefix="false">
      <alignment horizontal="right" vertical="center" wrapText="true"/>
    </xf>
    <xf applyAlignment="true" applyBorder="true" applyFill="false" applyFont="true" applyNumberFormat="true" borderId="60" fillId="0" fontId="5" numFmtId="1000" quotePrefix="false">
      <alignment horizontal="center" vertical="center" wrapText="true"/>
    </xf>
    <xf applyAlignment="true" applyBorder="true" applyFill="true" applyFont="true" applyNumberFormat="true" borderId="61" fillId="2" fontId="5" numFmtId="1001" quotePrefix="false">
      <alignment horizontal="center" vertical="center" wrapText="true"/>
    </xf>
    <xf applyAlignment="true" applyBorder="true" applyFill="false" applyFont="true" applyNumberFormat="true" borderId="62" fillId="0" fontId="5" numFmtId="1001" quotePrefix="false">
      <alignment horizontal="center" vertical="center" wrapText="true"/>
    </xf>
    <xf applyAlignment="true" applyBorder="true" applyFill="false" applyFont="true" applyNumberFormat="true" borderId="63" fillId="0" fontId="5" numFmtId="1001" quotePrefix="false">
      <alignment horizontal="center" vertical="center" wrapText="true"/>
    </xf>
    <xf applyAlignment="true" applyBorder="true" applyFill="false" applyFont="true" applyNumberFormat="true" borderId="64" fillId="0" fontId="5" numFmtId="1001" quotePrefix="false">
      <alignment horizontal="center" vertical="center" wrapText="true"/>
    </xf>
    <xf applyAlignment="true" applyBorder="true" applyFill="false" applyFont="true" applyNumberFormat="true" borderId="65" fillId="0" fontId="5" numFmtId="1001" quotePrefix="false">
      <alignment horizontal="center" vertical="center" wrapText="true"/>
    </xf>
    <xf applyAlignment="true" applyBorder="true" applyFill="false" applyFont="true" applyNumberFormat="true" borderId="66" fillId="0" fontId="5" numFmtId="1001" quotePrefix="false">
      <alignment horizontal="center" vertical="center" wrapText="true"/>
    </xf>
    <xf applyAlignment="true" applyBorder="true" applyFill="false" applyFont="true" applyNumberFormat="true" borderId="67" fillId="0" fontId="5" numFmtId="1001" quotePrefix="false">
      <alignment horizontal="center" vertical="center" wrapText="true"/>
    </xf>
    <xf applyAlignment="true" applyBorder="true" applyFill="false" applyFont="true" applyNumberFormat="true" borderId="68" fillId="0" fontId="5" numFmtId="1001" quotePrefix="false">
      <alignment horizontal="center" vertical="center" wrapText="true"/>
    </xf>
    <xf applyAlignment="true" applyBorder="true" applyFill="false" applyFont="true" applyNumberFormat="true" borderId="69" fillId="0" fontId="5" numFmtId="1001" quotePrefix="false">
      <alignment horizontal="center" vertical="center" wrapText="true"/>
    </xf>
    <xf applyAlignment="true" applyBorder="true" applyFill="false" applyFont="true" applyNumberFormat="true" borderId="70" fillId="0" fontId="5" numFmtId="1000" quotePrefix="false">
      <alignment horizontal="center" vertical="center"/>
    </xf>
    <xf applyAlignment="true" applyBorder="true" applyFill="false" applyFont="true" applyNumberFormat="true" borderId="71" fillId="0" fontId="5" numFmtId="1000" quotePrefix="false">
      <alignment horizontal="center" vertical="center"/>
    </xf>
    <xf applyAlignment="true" applyBorder="true" applyFill="false" applyFont="true" applyNumberFormat="true" borderId="72" fillId="0" fontId="5" numFmtId="1000" quotePrefix="false">
      <alignment horizontal="center" vertical="center" wrapText="true"/>
    </xf>
    <xf applyAlignment="true" applyBorder="true" applyFill="false" applyFont="true" applyNumberFormat="true" borderId="73" fillId="0" fontId="5" numFmtId="1000" quotePrefix="false">
      <alignment horizontal="center" vertical="center" wrapText="true"/>
    </xf>
    <xf applyAlignment="true" applyBorder="true" applyFill="false" applyFont="true" applyNumberFormat="true" borderId="74" fillId="0" fontId="5" numFmtId="1000" quotePrefix="false">
      <alignment horizontal="center" vertical="center" wrapText="true"/>
    </xf>
    <xf applyAlignment="true" applyBorder="true" applyFill="false" applyFont="true" applyNumberFormat="true" borderId="75" fillId="0" fontId="5" numFmtId="1000" quotePrefix="false">
      <alignment horizontal="center" vertical="center" wrapText="true"/>
    </xf>
    <xf applyAlignment="true" applyBorder="true" applyFill="false" applyFont="true" applyNumberFormat="true" borderId="76" fillId="0" fontId="5" numFmtId="1000" quotePrefix="false">
      <alignment horizontal="center" vertical="center" wrapText="true"/>
    </xf>
    <xf applyAlignment="true" applyBorder="true" applyFill="false" applyFont="true" applyNumberFormat="true" borderId="77" fillId="0" fontId="5" numFmtId="1000" quotePrefix="false">
      <alignment horizontal="center" vertical="center" wrapText="true"/>
    </xf>
    <xf applyAlignment="true" applyBorder="true" applyFill="false" applyFont="true" applyNumberFormat="true" borderId="78" fillId="0" fontId="5" numFmtId="1002" quotePrefix="false">
      <alignment horizontal="center" vertical="center" wrapText="true"/>
    </xf>
    <xf applyAlignment="true" applyBorder="true" applyFill="false" applyFont="true" applyNumberFormat="true" borderId="5" fillId="0" fontId="5" numFmtId="1004" quotePrefix="false">
      <alignment horizontal="center" vertical="center" wrapText="true"/>
    </xf>
    <xf applyAlignment="true" applyBorder="true" applyFill="false" applyFont="true" applyNumberFormat="true" borderId="5" fillId="0" fontId="5" numFmtId="1001" quotePrefix="false">
      <alignment horizontal="center" vertical="center" wrapText="true"/>
    </xf>
    <xf applyAlignment="true" applyBorder="true" applyFill="false" applyFont="true" applyNumberFormat="true" borderId="79" fillId="0" fontId="5" numFmtId="1000" quotePrefix="false">
      <alignment horizontal="center" vertical="center" wrapText="true"/>
    </xf>
    <xf applyAlignment="true" applyBorder="false" applyFill="true" applyFont="true" applyNumberFormat="true" borderId="0" fillId="5" fontId="5" numFmtId="1000" quotePrefix="false">
      <alignment horizontal="center" vertical="center"/>
    </xf>
    <xf applyAlignment="true" applyBorder="true" applyFill="true" applyFont="true" applyNumberFormat="true" borderId="80" fillId="5" fontId="5" numFmtId="1000" quotePrefix="false">
      <alignment horizontal="center" vertical="center"/>
    </xf>
    <xf applyAlignment="true" applyBorder="true" applyFill="true" applyFont="true" applyNumberFormat="true" borderId="81" fillId="5" fontId="5" numFmtId="1000" quotePrefix="false">
      <alignment horizontal="center" vertical="center"/>
    </xf>
    <xf applyAlignment="true" applyBorder="true" applyFill="true" applyFont="true" applyNumberFormat="true" borderId="81" fillId="5" fontId="5" numFmtId="1000" quotePrefix="false">
      <alignment horizontal="center" vertical="center" wrapText="true"/>
    </xf>
    <xf applyAlignment="true" applyBorder="false" applyFill="true" applyFont="true" applyNumberFormat="true" borderId="0" fillId="5" fontId="5" numFmtId="1000" quotePrefix="false">
      <alignment horizontal="center" vertical="center" wrapText="true"/>
    </xf>
    <xf applyAlignment="true" applyBorder="true" applyFill="true" applyFont="true" applyNumberFormat="true" borderId="82" fillId="5" fontId="5" numFmtId="1000" quotePrefix="false">
      <alignment horizontal="center" vertical="center" wrapText="true"/>
    </xf>
    <xf applyAlignment="true" applyBorder="true" applyFill="true" applyFont="true" applyNumberFormat="true" borderId="83" fillId="5" fontId="5" numFmtId="1000" quotePrefix="false">
      <alignment horizontal="center" vertical="center" wrapText="true"/>
    </xf>
    <xf applyAlignment="true" applyBorder="true" applyFill="true" applyFont="true" applyNumberFormat="true" borderId="83" fillId="5" fontId="5" numFmtId="1002" quotePrefix="false">
      <alignment horizontal="center" vertical="center" wrapText="true"/>
    </xf>
    <xf applyAlignment="true" applyBorder="true" applyFill="true" applyFont="true" applyNumberFormat="true" borderId="81" fillId="5" fontId="5" numFmtId="1004" quotePrefix="false">
      <alignment horizontal="center" vertical="center" wrapText="true"/>
    </xf>
    <xf applyAlignment="true" applyBorder="true" applyFill="true" applyFont="true" applyNumberFormat="true" borderId="2" fillId="5" fontId="5" numFmtId="1004" quotePrefix="false">
      <alignment horizontal="center" vertical="center" wrapText="true"/>
    </xf>
    <xf applyAlignment="true" applyBorder="true" applyFill="true" applyFont="true" applyNumberFormat="true" borderId="2" fillId="5" fontId="5" numFmtId="1002" quotePrefix="false">
      <alignment horizontal="center" vertical="center" wrapText="true"/>
    </xf>
    <xf applyAlignment="true" applyBorder="true" applyFill="true" applyFont="true" applyNumberFormat="true" borderId="2" fillId="5" fontId="5" numFmtId="1001" quotePrefix="false">
      <alignment horizontal="right" vertical="center" wrapText="true"/>
    </xf>
    <xf applyAlignment="true" applyBorder="true" applyFill="false" applyFont="true" applyNumberFormat="true" borderId="2" fillId="0" fontId="2" numFmtId="1000" quotePrefix="false">
      <alignment vertical="center"/>
    </xf>
    <xf applyAlignment="true" applyBorder="true" applyFill="false" applyFont="true" applyNumberFormat="true" borderId="2" fillId="0" fontId="2" numFmtId="1000" quotePrefix="false">
      <alignment horizontal="center" vertical="center"/>
    </xf>
    <xf applyAlignment="true" applyBorder="true" applyFill="false" applyFont="true" applyNumberFormat="true" borderId="2" fillId="0" fontId="2" numFmtId="1005" quotePrefix="false">
      <alignment vertical="center"/>
    </xf>
    <xf applyAlignment="true" applyBorder="false" applyFill="true" applyFont="true" applyNumberFormat="true" borderId="0" fillId="5" fontId="5" numFmtId="1001" quotePrefix="false">
      <alignment horizontal="center" vertical="center" wrapText="true"/>
    </xf>
    <xf applyAlignment="true" applyBorder="false" applyFill="true" applyFont="true" applyNumberFormat="true" borderId="0" fillId="5" fontId="5" numFmtId="1001" quotePrefix="false">
      <alignment horizontal="center" vertical="center"/>
    </xf>
    <xf applyAlignment="true" applyBorder="true" applyFill="true" applyFont="true" applyNumberFormat="true" borderId="81" fillId="2" fontId="5" numFmtId="1001" quotePrefix="false">
      <alignment horizontal="center" vertical="center" wrapText="true"/>
    </xf>
    <xf applyAlignment="true" applyBorder="true" applyFill="true" applyFont="true" applyNumberFormat="true" borderId="81" fillId="5" fontId="5" numFmtId="1001" quotePrefix="false">
      <alignment horizontal="center" vertical="center" wrapText="true"/>
    </xf>
    <xf applyAlignment="true" applyBorder="false" applyFill="true" applyFont="true" applyNumberFormat="true" borderId="0" fillId="5" fontId="2" numFmtId="1000" quotePrefix="false">
      <alignment horizontal="center" vertical="center" wrapText="true"/>
    </xf>
    <xf applyAlignment="true" applyBorder="true" applyFill="true" applyFont="true" applyNumberFormat="true" borderId="1" fillId="5" fontId="5" numFmtId="1000" quotePrefix="false">
      <alignment horizontal="center" vertical="center" wrapText="true"/>
    </xf>
    <xf applyAlignment="true" applyBorder="true" applyFill="true" applyFont="true" applyNumberFormat="true" borderId="2" fillId="5" fontId="5" numFmtId="1000" quotePrefix="false">
      <alignment horizontal="center" vertical="center" wrapText="true"/>
    </xf>
    <xf applyAlignment="true" applyBorder="true" applyFill="true" applyFont="true" applyNumberFormat="true" borderId="2" fillId="5" fontId="5" numFmtId="1001" quotePrefix="false">
      <alignment vertical="center" wrapText="true"/>
    </xf>
    <xf applyAlignment="true" applyBorder="false" applyFill="true" applyFont="true" applyNumberFormat="true" borderId="0" fillId="5" fontId="2" numFmtId="1001" quotePrefix="false">
      <alignment horizontal="center" vertical="center" wrapText="true"/>
    </xf>
    <xf applyAlignment="true" applyBorder="true" applyFill="true" applyFont="true" applyNumberFormat="true" borderId="2" fillId="2" fontId="5" numFmtId="1001" quotePrefix="false">
      <alignment vertical="center" wrapText="true"/>
    </xf>
    <xf applyBorder="true" applyFill="false" applyFont="true" applyNumberFormat="true" borderId="2" fillId="0" fontId="3" numFmtId="1003" quotePrefix="false"/>
    <xf applyAlignment="true" applyBorder="false" applyFill="false" applyFont="true" applyNumberFormat="true" borderId="0" fillId="0" fontId="2" numFmtId="1000" quotePrefix="false">
      <alignment horizontal="center" vertical="center" wrapText="true"/>
    </xf>
    <xf applyAlignment="true" applyBorder="true" applyFill="true" applyFont="true" applyNumberFormat="true" borderId="84" fillId="5" fontId="5" numFmtId="1001" quotePrefix="false">
      <alignment vertical="center" wrapText="true"/>
    </xf>
    <xf applyAlignment="true" applyBorder="true" applyFill="false" applyFont="true" applyNumberFormat="true" borderId="1" fillId="0" fontId="2" numFmtId="1000" quotePrefix="false">
      <alignment vertical="center"/>
    </xf>
    <xf applyAlignment="true" applyBorder="true" applyFill="false" applyFont="true" applyNumberFormat="true" borderId="2" fillId="0" fontId="2" numFmtId="1006" quotePrefix="false">
      <alignment vertical="center"/>
    </xf>
    <xf applyAlignment="true" applyBorder="true" applyFill="true" applyFont="true" applyNumberFormat="true" borderId="4" fillId="6" fontId="3" numFmtId="1003" quotePrefix="false">
      <alignment vertical="center"/>
    </xf>
    <xf applyAlignment="true" applyBorder="true" applyFill="false" applyFont="true" applyNumberFormat="true" borderId="2" fillId="0" fontId="5" numFmtId="1003" quotePrefix="false">
      <alignment vertical="center"/>
    </xf>
    <xf applyAlignment="true" applyBorder="true" applyFill="true" applyFont="true" applyNumberFormat="true" borderId="81" fillId="2" fontId="3" numFmtId="1001" quotePrefix="false">
      <alignment vertical="center"/>
    </xf>
    <xf applyAlignment="true" applyBorder="true" applyFill="false" applyFont="true" applyNumberFormat="true" borderId="2" fillId="0" fontId="3" numFmtId="1002" quotePrefix="false">
      <alignment vertical="center"/>
    </xf>
    <xf applyAlignment="true" applyBorder="true" applyFill="false" applyFont="true" applyNumberFormat="true" borderId="2" fillId="0" fontId="3" numFmtId="1007" quotePrefix="false">
      <alignment vertical="center"/>
    </xf>
    <xf applyAlignment="true" applyBorder="true" applyFill="false" applyFont="true" applyNumberFormat="true" borderId="2" fillId="0" fontId="3" numFmtId="1008" quotePrefix="false">
      <alignment vertical="center"/>
    </xf>
    <xf applyAlignment="true" applyBorder="true" applyFill="false" applyFont="true" applyNumberFormat="true" borderId="2" fillId="0" fontId="2" numFmtId="1008" quotePrefix="false">
      <alignment vertical="center"/>
    </xf>
    <xf applyAlignment="true" applyBorder="true" applyFill="true" applyFont="true" applyNumberFormat="true" borderId="4" fillId="4" fontId="3" numFmtId="1008" quotePrefix="false">
      <alignment vertical="center"/>
    </xf>
    <xf applyAlignment="true" applyBorder="true" applyFill="false" applyFont="true" applyNumberFormat="true" borderId="2" fillId="0" fontId="3" numFmtId="1000" quotePrefix="false">
      <alignment horizontal="center" vertical="center"/>
    </xf>
    <xf applyAlignment="true" applyBorder="true" applyFill="false" applyFont="true" applyNumberFormat="true" borderId="2" fillId="0" fontId="3" numFmtId="1005" quotePrefix="false">
      <alignment vertical="center"/>
    </xf>
    <xf applyAlignment="true" applyBorder="false" applyFill="true" applyFont="true" applyNumberFormat="true" borderId="0" fillId="5" fontId="2" numFmtId="1000" quotePrefix="false">
      <alignment vertical="center"/>
    </xf>
    <xf applyAlignment="true" applyBorder="true" applyFill="true" applyFont="true" applyNumberFormat="true" borderId="85" fillId="5" fontId="5" numFmtId="1000" quotePrefix="false">
      <alignment horizontal="center" vertical="center"/>
    </xf>
    <xf applyAlignment="true" applyBorder="true" applyFill="true" applyFont="true" applyNumberFormat="true" borderId="2" fillId="5" fontId="2" numFmtId="1000" quotePrefix="false">
      <alignment horizontal="center" vertical="center"/>
    </xf>
    <xf applyAlignment="true" applyBorder="true" applyFill="true" applyFont="true" applyNumberFormat="true" borderId="86" fillId="5" fontId="5" numFmtId="1003" quotePrefix="false">
      <alignment vertical="center"/>
    </xf>
    <xf applyAlignment="true" applyBorder="true" applyFill="true" applyFont="true" applyNumberFormat="true" borderId="2" fillId="5" fontId="5" numFmtId="1001" quotePrefix="false">
      <alignment vertical="center"/>
    </xf>
    <xf applyAlignment="true" applyBorder="true" applyFill="true" applyFont="true" applyNumberFormat="true" borderId="2" fillId="5" fontId="2" numFmtId="1003" quotePrefix="false">
      <alignment vertical="center"/>
    </xf>
    <xf applyAlignment="true" applyBorder="true" applyFill="true" applyFont="true" applyNumberFormat="true" borderId="4" fillId="5" fontId="2" numFmtId="1000" quotePrefix="false">
      <alignment horizontal="center" vertical="center"/>
    </xf>
    <xf applyAlignment="true" applyBorder="false" applyFill="true" applyFont="true" applyNumberFormat="true" borderId="0" fillId="5" fontId="2" numFmtId="1001" quotePrefix="false">
      <alignment vertical="center"/>
    </xf>
    <xf applyAlignment="true" applyBorder="true" applyFill="true" applyFont="true" applyNumberFormat="true" borderId="4" fillId="5" fontId="5" numFmtId="1001" quotePrefix="false">
      <alignment vertical="center"/>
    </xf>
    <xf applyAlignment="true" applyBorder="false" applyFill="true" applyFont="true" applyNumberFormat="true" borderId="0" fillId="7" fontId="2" numFmtId="1000" quotePrefix="false">
      <alignment vertical="center"/>
    </xf>
    <xf applyAlignment="true" applyBorder="false" applyFill="true" applyFont="true" applyNumberFormat="true" borderId="0" fillId="8" fontId="5" numFmtId="1000" quotePrefix="false">
      <alignment horizontal="center" vertical="center"/>
    </xf>
    <xf applyAlignment="true" applyBorder="true" applyFill="true" applyFont="true" applyNumberFormat="true" borderId="2" fillId="7" fontId="2" numFmtId="1000" quotePrefix="false">
      <alignment horizontal="center" vertical="center"/>
    </xf>
    <xf applyAlignment="true" applyBorder="true" applyFill="true" applyFont="true" applyNumberFormat="true" borderId="2" fillId="7" fontId="5" numFmtId="1003" quotePrefix="false">
      <alignment vertical="center"/>
    </xf>
    <xf applyAlignment="true" applyBorder="true" applyFill="true" applyFont="true" applyNumberFormat="true" borderId="2" fillId="7" fontId="5" numFmtId="1001" quotePrefix="false">
      <alignment vertical="center"/>
    </xf>
    <xf applyAlignment="true" applyBorder="true" applyFill="true" applyFont="true" applyNumberFormat="true" borderId="2" fillId="7" fontId="2" numFmtId="1003" quotePrefix="false">
      <alignment vertical="center"/>
    </xf>
    <xf applyAlignment="true" applyBorder="true" applyFill="true" applyFont="true" applyNumberFormat="true" borderId="4" fillId="7" fontId="2" numFmtId="1000" quotePrefix="false">
      <alignment horizontal="center" vertical="center"/>
    </xf>
    <xf applyAlignment="true" applyBorder="true" applyFill="true" applyFont="true" applyNumberFormat="true" borderId="2" fillId="2" fontId="5" numFmtId="1001" quotePrefix="false">
      <alignment vertical="center"/>
    </xf>
    <xf applyAlignment="true" applyBorder="false" applyFill="true" applyFont="true" applyNumberFormat="true" borderId="0" fillId="5" fontId="5" numFmtId="1001" quotePrefix="false">
      <alignment vertical="center"/>
    </xf>
    <xf applyAlignment="true" applyBorder="false" applyFill="false" applyFont="true" applyNumberFormat="true" borderId="0" fillId="0" fontId="12" numFmtId="1000" quotePrefix="false">
      <alignment vertical="center"/>
    </xf>
    <xf applyAlignment="true" applyBorder="true" applyFill="false" applyFont="true" applyNumberFormat="true" borderId="4" fillId="0" fontId="13" numFmtId="1003" quotePrefix="false">
      <alignment vertical="center"/>
    </xf>
    <xf applyAlignment="true" applyBorder="false" applyFill="false" applyFont="true" applyNumberFormat="true" borderId="0" fillId="0" fontId="14" numFmtId="1009" quotePrefix="false">
      <alignment horizontal="center"/>
    </xf>
    <xf applyAlignment="true" applyBorder="false" applyFill="false" applyFont="true" applyNumberFormat="true" borderId="0" fillId="0" fontId="12" numFmtId="1001" quotePrefix="false">
      <alignment vertical="center"/>
    </xf>
    <xf applyAlignment="true" applyBorder="true" applyFill="false" applyFont="true" applyNumberFormat="true" borderId="4" fillId="0" fontId="2" numFmtId="1003" quotePrefix="false">
      <alignment vertical="center"/>
    </xf>
    <xf applyAlignment="true" applyBorder="true" applyFill="false" applyFont="true" applyNumberFormat="true" borderId="2" fillId="0" fontId="13" numFmtId="1003" quotePrefix="false">
      <alignment vertical="center"/>
    </xf>
    <xf applyAlignment="true" applyBorder="false" applyFill="false" applyFont="true" applyNumberFormat="true" borderId="0" fillId="0" fontId="11" numFmtId="1001" quotePrefix="false">
      <alignment horizontal="right" vertical="center" wrapText="true"/>
    </xf>
    <xf applyAlignment="true" applyBorder="true" applyFill="false" applyFont="true" applyNumberFormat="true" borderId="4" fillId="0" fontId="3" numFmtId="1003" quotePrefix="false">
      <alignment vertical="center"/>
    </xf>
    <xf applyAlignment="true" applyBorder="false" applyFill="false" applyFont="true" applyNumberFormat="true" borderId="0" fillId="0" fontId="12" numFmtId="1003" quotePrefix="false">
      <alignment vertical="center"/>
    </xf>
    <xf applyAlignment="true" applyBorder="true" applyFill="true" applyFont="true" applyNumberFormat="true" borderId="4" fillId="9" fontId="3" numFmtId="1003" quotePrefix="false">
      <alignment vertical="center"/>
    </xf>
    <xf applyAlignment="true" applyBorder="true" applyFill="true" applyFont="true" applyNumberFormat="true" borderId="2" fillId="4" fontId="3" numFmtId="1001" quotePrefix="false">
      <alignment vertical="center"/>
    </xf>
    <xf applyAlignment="true" applyBorder="true" applyFill="true" applyFont="true" applyNumberFormat="true" borderId="2" fillId="10" fontId="2" numFmtId="1003" quotePrefix="false">
      <alignment vertical="center"/>
    </xf>
    <xf applyAlignment="true" applyBorder="true" applyFill="false" applyFont="true" applyNumberFormat="true" borderId="81" fillId="0" fontId="2" numFmtId="1000" quotePrefix="false">
      <alignment vertical="center"/>
    </xf>
    <xf applyAlignment="true" applyBorder="true" applyFill="false" applyFont="true" applyNumberFormat="true" borderId="81" fillId="0" fontId="2" numFmtId="1000" quotePrefix="false">
      <alignment horizontal="center" vertical="center"/>
    </xf>
    <xf applyAlignment="true" applyBorder="true" applyFill="false" applyFont="true" applyNumberFormat="true" borderId="81" fillId="0" fontId="2" numFmtId="1003" quotePrefix="false">
      <alignment vertical="center"/>
    </xf>
    <xf applyAlignment="true" applyBorder="true" applyFill="false" applyFont="true" applyNumberFormat="true" borderId="81" fillId="0" fontId="2" numFmtId="1005" quotePrefix="false">
      <alignment vertical="center"/>
    </xf>
    <xf applyAlignment="true" applyBorder="true" applyFill="false" applyFont="true" applyNumberFormat="true" borderId="81" fillId="0" fontId="3" numFmtId="1003" quotePrefix="false">
      <alignment vertical="center"/>
    </xf>
    <xf applyAlignment="true" applyBorder="false" applyFill="true" applyFont="true" applyNumberFormat="true" borderId="0" fillId="10" fontId="2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horizontal="center" vertical="center" wrapText="true"/>
    </xf>
    <xf applyAlignment="true" applyBorder="true" applyFill="false" applyFont="true" applyNumberFormat="true" borderId="81" fillId="0" fontId="3" numFmtId="1001" quotePrefix="false">
      <alignment vertical="center"/>
    </xf>
    <xf applyAlignment="true" applyBorder="true" applyFill="false" applyFont="true" applyNumberFormat="true" borderId="3" fillId="0" fontId="2" numFmtId="1003" quotePrefix="false">
      <alignment horizontal="center" vertical="center"/>
    </xf>
    <xf applyAlignment="true" applyBorder="true" applyFill="false" applyFont="true" applyNumberFormat="true" borderId="3" fillId="0" fontId="2" numFmtId="1001" quotePrefix="false">
      <alignment vertical="center"/>
    </xf>
    <xf applyAlignment="true" applyBorder="true" applyFill="true" applyFont="true" applyNumberFormat="true" borderId="86" fillId="2" fontId="3" numFmtId="1001" quotePrefix="false">
      <alignment vertical="center"/>
    </xf>
    <xf applyAlignment="true" applyBorder="true" applyFill="false" applyFont="true" applyNumberFormat="true" borderId="86" fillId="0" fontId="2" numFmtId="1003" quotePrefix="false">
      <alignment vertical="center"/>
    </xf>
    <xf applyAlignment="true" applyBorder="true" applyFill="true" applyFont="true" applyNumberFormat="true" borderId="86" fillId="10" fontId="2" numFmtId="1003" quotePrefix="false">
      <alignment vertical="center"/>
    </xf>
    <xf applyAlignment="true" applyBorder="true" applyFill="true" applyFont="true" applyNumberFormat="true" borderId="2" fillId="5" fontId="3" numFmtId="1003" quotePrefix="false">
      <alignment vertical="center"/>
    </xf>
    <xf applyAlignment="true" applyBorder="true" applyFill="true" applyFont="true" applyNumberFormat="true" borderId="86" fillId="2" fontId="15" numFmtId="1001" quotePrefix="false">
      <alignment vertical="center"/>
    </xf>
    <xf applyAlignment="true" applyBorder="true" applyFill="true" applyFont="true" applyNumberFormat="true" borderId="86" fillId="5" fontId="15" numFmtId="1001" quotePrefix="false">
      <alignment vertical="center"/>
    </xf>
    <xf applyAlignment="true" applyBorder="true" applyFill="false" applyFont="true" applyNumberFormat="true" borderId="4" fillId="0" fontId="3" numFmtId="1000" quotePrefix="false">
      <alignment horizontal="center" vertical="center"/>
    </xf>
    <xf applyAlignment="true" applyBorder="false" applyFill="false" applyFont="true" applyNumberFormat="true" borderId="0" fillId="0" fontId="3" numFmtId="1000" quotePrefix="false">
      <alignment vertical="center"/>
    </xf>
    <xf applyAlignment="true" applyBorder="true" applyFill="false" applyFont="true" applyNumberFormat="true" borderId="6" fillId="0" fontId="16" numFmtId="1001" quotePrefix="false">
      <alignment horizontal="right" vertical="center" wrapText="true"/>
    </xf>
    <xf applyAlignment="true" applyBorder="false" applyFill="false" applyFont="true" applyNumberFormat="true" borderId="0" fillId="0" fontId="3" numFmtId="1001" quotePrefix="false">
      <alignment vertical="center"/>
    </xf>
    <xf applyAlignment="true" applyBorder="true" applyFill="false" applyFont="true" applyNumberFormat="true" borderId="86" fillId="0" fontId="3" numFmtId="1003" quotePrefix="false">
      <alignment vertical="center"/>
    </xf>
    <xf applyAlignment="true" applyBorder="true" applyFill="false" applyFont="true" applyNumberFormat="true" borderId="84" fillId="0" fontId="3" numFmtId="1003" quotePrefix="false">
      <alignment vertical="center"/>
    </xf>
    <xf applyAlignment="true" applyBorder="true" applyFill="false" applyFont="true" applyNumberFormat="true" borderId="87" fillId="0" fontId="3" numFmtId="1003" quotePrefix="false">
      <alignment vertical="center"/>
    </xf>
    <xf applyAlignment="true" applyBorder="true" applyFill="false" applyFont="true" applyNumberFormat="true" borderId="86" fillId="0" fontId="2" numFmtId="1000" quotePrefix="false">
      <alignment vertical="center"/>
    </xf>
    <xf applyAlignment="true" applyBorder="true" applyFill="false" applyFont="true" applyNumberFormat="true" borderId="86" fillId="0" fontId="2" numFmtId="1000" quotePrefix="false">
      <alignment horizontal="center" vertical="center"/>
    </xf>
    <xf applyAlignment="true" applyBorder="true" applyFill="false" applyFont="true" applyNumberFormat="true" borderId="86" fillId="0" fontId="2" numFmtId="1005" quotePrefix="false">
      <alignment vertical="center"/>
    </xf>
    <xf applyAlignment="true" applyBorder="true" applyFill="false" applyFont="true" applyNumberFormat="true" borderId="88" fillId="0" fontId="2" numFmtId="1000" quotePrefix="false">
      <alignment horizontal="center" vertical="center"/>
    </xf>
    <xf applyAlignment="true" applyBorder="true" applyFill="true" applyFont="true" applyNumberFormat="true" borderId="89" fillId="11" fontId="2" numFmtId="1000" quotePrefix="false">
      <alignment vertical="center"/>
    </xf>
    <xf applyAlignment="true" applyBorder="true" applyFill="true" applyFont="true" applyNumberFormat="true" borderId="89" fillId="11" fontId="5" numFmtId="1000" quotePrefix="false">
      <alignment horizontal="center" vertical="center"/>
    </xf>
    <xf applyAlignment="true" applyBorder="true" applyFill="true" applyFont="true" applyNumberFormat="true" borderId="89" fillId="11" fontId="5" numFmtId="1000" quotePrefix="false">
      <alignment vertical="center"/>
    </xf>
    <xf applyAlignment="true" applyBorder="true" applyFill="true" applyFont="true" applyNumberFormat="true" borderId="89" fillId="11" fontId="5" numFmtId="1007" quotePrefix="false">
      <alignment vertical="center"/>
    </xf>
    <xf applyAlignment="true" applyBorder="true" applyFill="true" applyFont="true" applyNumberFormat="true" borderId="4" fillId="11" fontId="2" numFmtId="1000" quotePrefix="false">
      <alignment vertical="center"/>
    </xf>
    <xf applyAlignment="true" applyBorder="true" applyFill="false" applyFont="true" applyNumberFormat="true" borderId="81" fillId="0" fontId="15" numFmtId="1001" quotePrefix="false">
      <alignment vertical="center"/>
    </xf>
    <xf applyAlignment="true" applyBorder="false" applyFill="false" applyFont="true" applyNumberFormat="true" borderId="0" fillId="0" fontId="5" numFmtId="1001" quotePrefix="false">
      <alignment vertical="center"/>
    </xf>
    <xf applyBorder="true" applyFill="false" applyFont="true" applyNumberFormat="true" borderId="2" fillId="0" fontId="3" numFmtId="1001" quotePrefix="false"/>
    <xf applyAlignment="true" applyBorder="true" applyFill="true" applyFont="true" applyNumberFormat="true" borderId="1" fillId="7" fontId="3" numFmtId="1002" quotePrefix="false">
      <alignment vertical="center"/>
    </xf>
    <xf applyAlignment="true" applyBorder="true" applyFill="true" applyFont="true" applyNumberFormat="true" borderId="2" fillId="7" fontId="3" numFmtId="1000" quotePrefix="false">
      <alignment vertical="center"/>
    </xf>
    <xf applyAlignment="true" applyBorder="true" applyFill="true" applyFont="true" applyNumberFormat="true" borderId="89" fillId="7" fontId="2" numFmtId="1000" quotePrefix="false">
      <alignment vertical="center"/>
    </xf>
    <xf applyAlignment="true" applyBorder="true" applyFill="true" applyFont="true" applyNumberFormat="true" borderId="86" fillId="7" fontId="2" numFmtId="1000" quotePrefix="false">
      <alignment horizontal="center" vertical="center"/>
    </xf>
    <xf applyAlignment="true" applyBorder="true" applyFill="true" applyFont="true" applyNumberFormat="true" borderId="86" fillId="7" fontId="5" numFmtId="1003" quotePrefix="false">
      <alignment vertical="center"/>
    </xf>
    <xf applyAlignment="true" applyBorder="true" applyFill="true" applyFont="true" applyNumberFormat="true" borderId="86" fillId="7" fontId="5" numFmtId="1001" quotePrefix="false">
      <alignment vertical="center"/>
    </xf>
    <xf applyAlignment="true" applyBorder="true" applyFill="true" applyFont="true" applyNumberFormat="true" borderId="86" fillId="11" fontId="5" numFmtId="1001" quotePrefix="false">
      <alignment vertical="center"/>
    </xf>
    <xf applyAlignment="true" applyBorder="true" applyFill="true" applyFont="true" applyNumberFormat="true" borderId="88" fillId="7" fontId="2" numFmtId="1000" quotePrefix="false">
      <alignment horizontal="center" vertical="center"/>
    </xf>
    <xf applyAlignment="true" applyBorder="true" applyFill="true" applyFont="true" applyNumberFormat="true" borderId="81" fillId="7" fontId="15" numFmtId="1001" quotePrefix="false">
      <alignment vertical="center"/>
    </xf>
    <xf applyAlignment="true" applyBorder="true" applyFill="false" applyFont="true" applyNumberFormat="true" borderId="1" fillId="0" fontId="2" numFmtId="1002" quotePrefix="false">
      <alignment vertical="center"/>
    </xf>
    <xf applyAlignment="true" applyBorder="false" applyFill="false" applyFont="true" applyNumberFormat="true" borderId="0" fillId="0" fontId="17" numFmtId="1009" quotePrefix="false">
      <alignment horizontal="center"/>
    </xf>
    <xf applyAlignment="true" applyBorder="false" applyFill="false" applyFont="true" applyNumberFormat="true" borderId="0" fillId="0" fontId="2" numFmtId="1007" quotePrefix="false">
      <alignment vertical="center"/>
    </xf>
    <xf applyBorder="true" applyFill="false" applyFont="true" applyNumberFormat="true" borderId="2" fillId="0" fontId="2" numFmtId="1003" quotePrefix="false"/>
    <xf applyAlignment="true" applyBorder="true" applyFill="false" applyFont="true" applyNumberFormat="true" borderId="3" fillId="0" fontId="3" numFmtId="1002" quotePrefix="false">
      <alignment vertical="center"/>
    </xf>
    <xf applyAlignment="true" applyBorder="true" applyFill="false" applyFont="true" applyNumberFormat="true" borderId="3" fillId="0" fontId="3" numFmtId="1000" quotePrefix="false">
      <alignment vertical="center"/>
    </xf>
    <xf applyAlignment="true" applyBorder="true" applyFill="false" applyFont="true" applyNumberFormat="true" borderId="2" fillId="0" fontId="18" numFmtId="1003" quotePrefix="false">
      <alignment vertical="center"/>
    </xf>
    <xf applyAlignment="true" applyBorder="false" applyFill="true" applyFont="true" applyNumberFormat="true" borderId="0" fillId="12" fontId="2" numFmtId="1001" quotePrefix="false">
      <alignment vertical="center"/>
    </xf>
    <xf applyAlignment="true" applyBorder="true" applyFill="false" applyFont="true" applyNumberFormat="true" borderId="2" fillId="0" fontId="8" numFmtId="1001" quotePrefix="false">
      <alignment vertical="center"/>
    </xf>
    <xf applyAlignment="true" applyBorder="true" applyFill="false" applyFont="true" applyNumberFormat="true" borderId="86" fillId="0" fontId="5" numFmtId="1001" quotePrefix="false">
      <alignment vertical="center"/>
    </xf>
    <xf applyAlignment="true" applyBorder="true" applyFill="false" applyFont="true" applyNumberFormat="true" borderId="86" fillId="0" fontId="2" numFmtId="1001" quotePrefix="false">
      <alignment vertical="center"/>
    </xf>
    <xf applyAlignment="true" applyBorder="true" applyFill="false" applyFont="true" applyNumberFormat="true" borderId="83" fillId="0" fontId="15" numFmtId="1001" quotePrefix="false">
      <alignment vertical="center"/>
    </xf>
    <xf applyAlignment="true" applyBorder="true" applyFill="false" applyFont="true" applyNumberFormat="true" borderId="86" fillId="0" fontId="3" numFmtId="1008" quotePrefix="false">
      <alignment vertical="center"/>
    </xf>
    <xf applyBorder="true" applyFill="false" applyFont="true" applyNumberFormat="true" borderId="86" fillId="0" fontId="3" numFmtId="1001" quotePrefix="false"/>
    <xf applyAlignment="true" applyBorder="true" applyFill="false" applyFont="true" applyNumberFormat="true" borderId="90" fillId="0" fontId="3" numFmtId="1003" quotePrefix="false">
      <alignment vertical="center"/>
    </xf>
    <xf applyAlignment="true" applyBorder="true" applyFill="true" applyFont="true" applyNumberFormat="true" borderId="2" fillId="7" fontId="15" numFmtId="1000" quotePrefix="false">
      <alignment horizontal="center" vertical="center" wrapText="true"/>
    </xf>
    <xf applyAlignment="true" applyBorder="true" applyFill="true" applyFont="true" applyNumberFormat="true" borderId="91" fillId="7" fontId="15" numFmtId="1000" quotePrefix="false">
      <alignment horizontal="center" vertical="center" wrapText="true"/>
    </xf>
    <xf applyAlignment="true" applyBorder="true" applyFill="true" applyFont="true" applyNumberFormat="true" borderId="2" fillId="7" fontId="3" numFmtId="1000" quotePrefix="false">
      <alignment horizontal="center" vertical="center"/>
    </xf>
    <xf applyAlignment="true" applyBorder="true" applyFill="true" applyFont="true" applyNumberFormat="true" borderId="2" fillId="7" fontId="15" numFmtId="1003" quotePrefix="false">
      <alignment vertical="center"/>
    </xf>
    <xf applyAlignment="true" applyBorder="false" applyFill="true" applyFont="true" applyNumberFormat="true" borderId="0" fillId="7" fontId="11" numFmtId="1001" quotePrefix="false">
      <alignment horizontal="right" vertical="center" wrapText="true"/>
    </xf>
    <xf applyAlignment="true" applyBorder="false" applyFill="true" applyFont="true" applyNumberFormat="true" borderId="0" fillId="7" fontId="2" numFmtId="1001" quotePrefix="false">
      <alignment vertical="center"/>
    </xf>
    <xf applyAlignment="true" applyBorder="true" applyFill="true" applyFont="true" applyNumberFormat="true" borderId="4" fillId="7" fontId="15" numFmtId="1001" quotePrefix="false">
      <alignment vertical="center"/>
    </xf>
    <xf applyAlignment="true" applyBorder="true" applyFill="false" applyFont="true" applyNumberFormat="true" borderId="92" fillId="0" fontId="3" numFmtId="1002" quotePrefix="false">
      <alignment vertical="center"/>
    </xf>
    <xf applyAlignment="true" applyBorder="true" applyFill="false" applyFont="true" applyNumberFormat="true" borderId="93" fillId="0" fontId="3" numFmtId="1000" quotePrefix="false">
      <alignment vertical="center"/>
    </xf>
    <xf applyAlignment="true" applyBorder="true" applyFill="false" applyFont="true" applyNumberFormat="true" borderId="93" fillId="0" fontId="2" numFmtId="1000" quotePrefix="false">
      <alignment horizontal="center" vertical="center"/>
    </xf>
    <xf applyAlignment="true" applyBorder="true" applyFill="false" applyFont="true" applyNumberFormat="true" borderId="93" fillId="0" fontId="2" numFmtId="1003" quotePrefix="false">
      <alignment vertical="center"/>
    </xf>
    <xf applyAlignment="true" applyBorder="true" applyFill="false" applyFont="true" applyNumberFormat="true" borderId="93" fillId="0" fontId="2" numFmtId="1005" quotePrefix="false">
      <alignment vertical="center"/>
    </xf>
    <xf applyAlignment="true" applyBorder="true" applyFill="false" applyFont="true" applyNumberFormat="true" borderId="93" fillId="0" fontId="3" numFmtId="1003" quotePrefix="false">
      <alignment vertical="center"/>
    </xf>
    <xf applyAlignment="true" applyBorder="true" applyFill="false" applyFont="true" applyNumberFormat="true" borderId="93" fillId="0" fontId="3" numFmtId="1001" quotePrefix="false">
      <alignment vertical="center"/>
    </xf>
    <xf applyAlignment="true" applyBorder="true" applyFill="false" applyFont="true" applyNumberFormat="true" borderId="94" fillId="0" fontId="3" numFmtId="1003" quotePrefix="false">
      <alignment vertical="center"/>
    </xf>
    <xf applyAlignment="true" applyBorder="true" applyFill="false" applyFont="true" applyNumberFormat="true" borderId="95" fillId="0" fontId="2" numFmtId="1000" quotePrefix="false">
      <alignment horizontal="center" vertical="center"/>
    </xf>
    <xf applyAlignment="true" applyBorder="true" applyFill="false" applyFont="true" applyNumberFormat="true" borderId="95" fillId="0" fontId="2" numFmtId="1003" quotePrefix="false">
      <alignment vertical="center"/>
    </xf>
    <xf applyAlignment="true" applyBorder="false" applyFill="false" applyFont="true" applyNumberFormat="true" borderId="0" fillId="0" fontId="19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5" numFmtId="1000" quotePrefix="false">
      <alignment vertical="center"/>
    </xf>
    <xf applyAlignment="true" applyBorder="true" applyFill="false" applyFont="true" applyNumberFormat="true" borderId="3" fillId="0" fontId="19" numFmtId="1003" quotePrefix="false">
      <alignment vertical="center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false" applyFont="true" applyNumberFormat="true" borderId="6" fillId="0" fontId="5" numFmtId="1000" quotePrefix="false">
      <alignment horizontal="center" vertical="center"/>
    </xf>
    <xf applyAlignment="true" applyBorder="true" applyFill="false" applyFont="true" applyNumberFormat="true" borderId="96" fillId="0" fontId="5" numFmtId="1001" quotePrefix="false">
      <alignment horizontal="center" vertical="center" wrapText="true"/>
    </xf>
    <xf applyAlignment="true" applyBorder="true" applyFill="false" applyFont="true" applyNumberFormat="true" borderId="97" fillId="0" fontId="5" numFmtId="1001" quotePrefix="false">
      <alignment horizontal="center" vertical="center" wrapText="true"/>
    </xf>
    <xf applyAlignment="true" applyBorder="true" applyFill="false" applyFont="true" applyNumberFormat="true" borderId="98" fillId="0" fontId="5" numFmtId="1001" quotePrefix="false">
      <alignment horizontal="center" vertical="center" wrapText="true"/>
    </xf>
    <xf applyAlignment="true" applyBorder="true" applyFill="false" applyFont="true" applyNumberFormat="true" borderId="99" fillId="0" fontId="5" numFmtId="1001" quotePrefix="false">
      <alignment horizontal="center" vertical="center" wrapText="true"/>
    </xf>
    <xf applyAlignment="true" applyBorder="true" applyFill="false" applyFont="true" applyNumberFormat="true" borderId="100" fillId="0" fontId="5" numFmtId="1001" quotePrefix="false">
      <alignment horizontal="center" vertical="center" wrapText="true"/>
    </xf>
    <xf applyAlignment="true" applyBorder="true" applyFill="false" applyFont="true" applyNumberFormat="true" borderId="101" fillId="0" fontId="5" numFmtId="1001" quotePrefix="false">
      <alignment horizontal="center" vertical="center" wrapText="true"/>
    </xf>
    <xf applyAlignment="true" applyBorder="true" applyFill="false" applyFont="true" applyNumberFormat="true" borderId="102" fillId="0" fontId="5" numFmtId="1001" quotePrefix="false">
      <alignment horizontal="center" vertical="center" wrapText="true"/>
    </xf>
    <xf applyAlignment="true" applyBorder="true" applyFill="false" applyFont="true" applyNumberFormat="true" borderId="103" fillId="0" fontId="5" numFmtId="1001" quotePrefix="false">
      <alignment horizontal="center" vertical="center" wrapText="true"/>
    </xf>
    <xf applyAlignment="true" applyBorder="true" applyFill="false" applyFont="true" applyNumberFormat="true" borderId="104" fillId="0" fontId="5" numFmtId="1001" quotePrefix="false">
      <alignment horizontal="center" vertical="center" wrapText="true"/>
    </xf>
    <xf applyAlignment="true" applyBorder="true" applyFill="false" applyFont="true" applyNumberFormat="true" borderId="105" fillId="0" fontId="5" numFmtId="1001" quotePrefix="false">
      <alignment horizontal="center" vertical="center" wrapText="true"/>
    </xf>
    <xf applyAlignment="true" applyBorder="true" applyFill="false" applyFont="true" applyNumberFormat="true" borderId="106" fillId="0" fontId="5" numFmtId="1001" quotePrefix="false">
      <alignment horizontal="center" vertical="center" wrapText="true"/>
    </xf>
    <xf applyAlignment="true" applyBorder="true" applyFill="false" applyFont="true" applyNumberFormat="true" borderId="107" fillId="0" fontId="5" numFmtId="1001" quotePrefix="false">
      <alignment horizontal="center" vertical="center" wrapText="true"/>
    </xf>
    <xf applyAlignment="true" applyBorder="true" applyFill="false" applyFont="true" applyNumberFormat="true" borderId="108" fillId="0" fontId="5" numFmtId="1001" quotePrefix="false">
      <alignment horizontal="center" vertical="center" wrapText="true"/>
    </xf>
    <xf applyAlignment="true" applyBorder="true" applyFill="false" applyFont="true" applyNumberFormat="true" borderId="109" fillId="0" fontId="5" numFmtId="1001" quotePrefix="false">
      <alignment horizontal="center" vertical="center" wrapText="true"/>
    </xf>
    <xf applyAlignment="true" applyBorder="false" applyFill="false" applyFont="true" applyNumberFormat="true" borderId="0" fillId="0" fontId="20" numFmtId="1000" quotePrefix="false">
      <alignment horizontal="center" vertical="center"/>
    </xf>
    <xf applyAlignment="true" applyBorder="true" applyFill="false" applyFont="true" applyNumberFormat="true" borderId="110" fillId="0" fontId="5" numFmtId="1000" quotePrefix="false">
      <alignment horizontal="center" vertical="center"/>
    </xf>
    <xf applyAlignment="true" applyBorder="true" applyFill="false" applyFont="true" applyNumberFormat="true" borderId="111" fillId="0" fontId="5" numFmtId="1000" quotePrefix="false">
      <alignment horizontal="center" vertical="center"/>
    </xf>
    <xf applyAlignment="true" applyBorder="true" applyFill="false" applyFont="true" applyNumberFormat="true" borderId="112" fillId="0" fontId="5" numFmtId="1000" quotePrefix="false">
      <alignment horizontal="center" vertical="center" wrapText="true"/>
    </xf>
    <xf applyAlignment="true" applyBorder="true" applyFill="false" applyFont="true" applyNumberFormat="true" borderId="113" fillId="0" fontId="5" numFmtId="1000" quotePrefix="false">
      <alignment horizontal="center" vertical="center" wrapText="true"/>
    </xf>
    <xf applyAlignment="true" applyBorder="true" applyFill="false" applyFont="true" applyNumberFormat="true" borderId="114" fillId="0" fontId="5" numFmtId="1001" quotePrefix="false">
      <alignment horizontal="center" vertical="center" wrapText="true"/>
    </xf>
    <xf applyAlignment="true" applyBorder="true" applyFill="false" applyFont="true" applyNumberFormat="true" borderId="6" fillId="0" fontId="5" numFmtId="1001" quotePrefix="false">
      <alignment horizontal="center"/>
    </xf>
    <xf applyAlignment="true" applyBorder="true" applyFill="false" applyFont="true" applyNumberFormat="true" borderId="115" fillId="0" fontId="5" numFmtId="1001" quotePrefix="false">
      <alignment horizontal="center"/>
    </xf>
    <xf applyAlignment="true" applyBorder="true" applyFill="false" applyFont="true" applyNumberFormat="true" borderId="116" fillId="0" fontId="5" numFmtId="1001" quotePrefix="false">
      <alignment horizontal="center"/>
    </xf>
    <xf applyAlignment="true" applyBorder="true" applyFill="false" applyFont="true" applyNumberFormat="true" borderId="117" fillId="0" fontId="5" numFmtId="1001" quotePrefix="false">
      <alignment horizontal="center"/>
    </xf>
    <xf applyAlignment="true" applyBorder="true" applyFill="false" applyFont="true" applyNumberFormat="true" borderId="118" fillId="0" fontId="5" numFmtId="1001" quotePrefix="false">
      <alignment horizontal="center"/>
    </xf>
    <xf applyAlignment="true" applyBorder="true" applyFill="false" applyFont="true" applyNumberFormat="true" borderId="119" fillId="0" fontId="5" numFmtId="1001" quotePrefix="false">
      <alignment horizontal="center"/>
    </xf>
    <xf applyAlignment="true" applyBorder="true" applyFill="false" applyFont="true" applyNumberFormat="true" borderId="120" fillId="0" fontId="5" numFmtId="1001" quotePrefix="false">
      <alignment horizontal="center"/>
    </xf>
    <xf applyAlignment="true" applyBorder="true" applyFill="false" applyFont="true" applyNumberFormat="true" borderId="121" fillId="0" fontId="5" numFmtId="1000" quotePrefix="false">
      <alignment horizontal="center" vertical="center"/>
    </xf>
    <xf applyAlignment="true" applyBorder="true" applyFill="false" applyFont="true" applyNumberFormat="true" borderId="122" fillId="0" fontId="5" numFmtId="1000" quotePrefix="false">
      <alignment horizontal="center" vertical="center"/>
    </xf>
    <xf applyAlignment="true" applyBorder="true" applyFill="false" applyFont="true" applyNumberFormat="true" borderId="123" fillId="0" fontId="5" numFmtId="1000" quotePrefix="false">
      <alignment horizontal="center" vertical="center" wrapText="true"/>
    </xf>
    <xf applyAlignment="true" applyBorder="true" applyFill="false" applyFont="true" applyNumberFormat="true" borderId="124" fillId="0" fontId="5" numFmtId="1000" quotePrefix="false">
      <alignment horizontal="center" vertical="center" wrapText="true"/>
    </xf>
    <xf applyAlignment="true" applyBorder="true" applyFill="false" applyFont="true" applyNumberFormat="true" borderId="125" fillId="0" fontId="5" numFmtId="1001" quotePrefix="false">
      <alignment horizontal="center" vertical="center" wrapText="true"/>
    </xf>
    <xf applyAlignment="true" applyBorder="true" applyFill="false" applyFont="true" applyNumberFormat="true" borderId="126" fillId="0" fontId="5" numFmtId="1001" quotePrefix="false">
      <alignment horizontal="center" vertical="center" wrapText="true"/>
    </xf>
    <xf applyAlignment="true" applyBorder="true" applyFill="false" applyFont="true" applyNumberFormat="true" borderId="127" fillId="0" fontId="5" numFmtId="1001" quotePrefix="false">
      <alignment horizontal="center" vertical="center" wrapText="true"/>
    </xf>
    <xf applyAlignment="true" applyBorder="true" applyFill="false" applyFont="true" applyNumberFormat="true" borderId="128" fillId="0" fontId="5" numFmtId="1001" quotePrefix="false">
      <alignment horizontal="center" vertical="center" wrapText="true"/>
    </xf>
    <xf applyAlignment="true" applyBorder="true" applyFill="false" applyFont="true" applyNumberFormat="true" borderId="129" fillId="0" fontId="5" numFmtId="1001" quotePrefix="false">
      <alignment horizontal="center" vertical="center" wrapText="true"/>
    </xf>
    <xf applyAlignment="true" applyBorder="true" applyFill="false" applyFont="true" applyNumberFormat="true" borderId="130" fillId="0" fontId="5" numFmtId="1001" quotePrefix="false">
      <alignment horizontal="center" vertical="center" wrapText="true"/>
    </xf>
    <xf applyAlignment="true" applyBorder="true" applyFill="false" applyFont="true" applyNumberFormat="true" borderId="131" fillId="0" fontId="5" numFmtId="1001" quotePrefix="false">
      <alignment horizontal="center" vertical="center" wrapText="true"/>
    </xf>
    <xf applyAlignment="true" applyBorder="true" applyFill="false" applyFont="true" applyNumberFormat="true" borderId="132" fillId="0" fontId="5" numFmtId="1001" quotePrefix="false">
      <alignment horizontal="center" vertical="center" wrapText="true"/>
    </xf>
    <xf applyAlignment="true" applyBorder="true" applyFill="false" applyFont="true" applyNumberFormat="true" borderId="133" fillId="0" fontId="5" numFmtId="1001" quotePrefix="false">
      <alignment horizontal="center" vertical="center" wrapText="true"/>
    </xf>
    <xf applyAlignment="true" applyBorder="true" applyFill="false" applyFont="true" applyNumberFormat="true" borderId="134" fillId="0" fontId="5" numFmtId="1000" quotePrefix="false">
      <alignment horizontal="center" vertical="center"/>
    </xf>
    <xf applyAlignment="true" applyBorder="true" applyFill="false" applyFont="true" applyNumberFormat="true" borderId="135" fillId="0" fontId="5" numFmtId="1000" quotePrefix="false">
      <alignment horizontal="center" vertical="center"/>
    </xf>
    <xf applyAlignment="true" applyBorder="true" applyFill="false" applyFont="true" applyNumberFormat="true" borderId="136" fillId="0" fontId="5" numFmtId="1000" quotePrefix="false">
      <alignment horizontal="center" vertical="center" wrapText="true"/>
    </xf>
    <xf applyAlignment="true" applyBorder="true" applyFill="false" applyFont="true" applyNumberFormat="true" borderId="137" fillId="0" fontId="5" numFmtId="1000" quotePrefix="false">
      <alignment horizontal="center" vertical="center" wrapText="true"/>
    </xf>
    <xf applyAlignment="true" applyBorder="false" applyFill="true" applyFont="true" applyNumberFormat="true" borderId="0" fillId="10" fontId="5" numFmtId="1000" quotePrefix="false">
      <alignment horizontal="center" vertical="center"/>
    </xf>
    <xf applyAlignment="true" applyBorder="false" applyFill="true" applyFont="true" applyNumberFormat="true" borderId="0" fillId="10" fontId="20" numFmtId="1000" quotePrefix="false">
      <alignment horizontal="center" vertical="center"/>
    </xf>
    <xf applyAlignment="true" applyBorder="true" applyFill="true" applyFont="true" applyNumberFormat="true" borderId="81" fillId="5" fontId="5" numFmtId="1001" quotePrefix="false">
      <alignment horizontal="right" vertical="center" wrapText="true"/>
    </xf>
    <xf applyAlignment="true" applyBorder="false" applyFill="true" applyFont="true" applyNumberFormat="true" borderId="0" fillId="10" fontId="2" numFmtId="1000" quotePrefix="false">
      <alignment horizontal="center" vertical="center" wrapText="true"/>
    </xf>
    <xf applyAlignment="true" applyBorder="false" applyFill="true" applyFont="true" applyNumberFormat="true" borderId="0" fillId="10" fontId="4" numFmtId="1000" quotePrefix="false">
      <alignment horizontal="center" vertical="center" wrapText="true"/>
    </xf>
    <xf applyAlignment="true" applyBorder="true" applyFill="true" applyFont="true" applyNumberFormat="true" borderId="87" fillId="5" fontId="5" numFmtId="1000" quotePrefix="false">
      <alignment horizontal="center" vertical="center" wrapText="true"/>
    </xf>
    <xf applyAlignment="true" applyBorder="true" applyFill="true" applyFont="true" applyNumberFormat="true" borderId="84" fillId="5" fontId="5" numFmtId="1001" quotePrefix="false">
      <alignment horizontal="right" vertical="center" wrapText="true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false" applyFill="true" applyFont="true" applyNumberFormat="true" borderId="0" fillId="10" fontId="4" numFmtId="1000" quotePrefix="false">
      <alignment horizontal="center" vertical="center"/>
    </xf>
    <xf applyAlignment="true" applyBorder="false" applyFill="false" applyFont="true" applyNumberFormat="true" borderId="0" fillId="0" fontId="21" numFmtId="1000" quotePrefix="false">
      <alignment horizontal="center"/>
    </xf>
    <xf applyAlignment="true" applyBorder="true" applyFill="false" applyFont="true" applyNumberFormat="true" borderId="4" fillId="0" fontId="15" numFmtId="1003" quotePrefix="false">
      <alignment vertical="center"/>
    </xf>
    <xf applyAlignment="true" applyBorder="true" applyFill="false" applyFont="true" applyNumberFormat="true" borderId="4" fillId="0" fontId="3" numFmtId="1008" quotePrefix="false">
      <alignment vertical="center"/>
    </xf>
    <xf applyAlignment="true" applyBorder="true" applyFill="true" applyFont="true" applyNumberFormat="true" borderId="1" fillId="5" fontId="3" numFmtId="1000" quotePrefix="false">
      <alignment vertical="center"/>
    </xf>
    <xf applyAlignment="true" applyBorder="true" applyFill="true" applyFont="true" applyNumberFormat="true" borderId="2" fillId="5" fontId="2" numFmtId="1000" quotePrefix="false">
      <alignment vertical="center"/>
    </xf>
    <xf applyAlignment="true" applyBorder="true" applyFill="true" applyFont="true" applyNumberFormat="true" borderId="2" fillId="5" fontId="5" numFmtId="1000" quotePrefix="false">
      <alignment horizontal="center" vertical="center"/>
    </xf>
    <xf applyAlignment="true" applyBorder="true" applyFill="true" applyFont="true" applyNumberFormat="true" borderId="1" fillId="7" fontId="3" numFmtId="1000" quotePrefix="false">
      <alignment vertical="center"/>
    </xf>
    <xf applyAlignment="true" applyBorder="true" applyFill="true" applyFont="true" applyNumberFormat="true" borderId="2" fillId="7" fontId="2" numFmtId="1000" quotePrefix="false">
      <alignment vertical="center"/>
    </xf>
    <xf applyBorder="false" applyFill="false" applyFont="true" applyNumberFormat="true" borderId="0" fillId="0" fontId="22" numFmtId="1000" quotePrefix="false"/>
    <xf applyAlignment="true" applyBorder="true" applyFill="false" applyFont="true" applyNumberFormat="true" borderId="81" fillId="0" fontId="2" numFmtId="1001" quotePrefix="false">
      <alignment vertical="center"/>
    </xf>
    <xf applyAlignment="true" applyBorder="true" applyFill="false" applyFont="true" applyNumberFormat="true" borderId="138" fillId="0" fontId="3" numFmtId="1000" quotePrefix="false">
      <alignment vertical="center"/>
    </xf>
    <xf applyAlignment="true" applyBorder="true" applyFill="false" applyFont="true" applyNumberFormat="true" borderId="86" fillId="0" fontId="3" numFmtId="1000" quotePrefix="false">
      <alignment vertical="center"/>
    </xf>
    <xf applyAlignment="true" applyBorder="true" applyFill="false" applyFont="true" applyNumberFormat="true" borderId="86" fillId="0" fontId="3" numFmtId="1001" quotePrefix="false">
      <alignment vertical="center"/>
    </xf>
    <xf applyAlignment="true" applyBorder="true" applyFill="true" applyFont="true" applyNumberFormat="true" borderId="85" fillId="5" fontId="3" numFmtId="1000" quotePrefix="false">
      <alignment vertical="center"/>
    </xf>
    <xf applyAlignment="true" applyBorder="true" applyFill="true" applyFont="true" applyNumberFormat="true" borderId="86" fillId="5" fontId="3" numFmtId="1000" quotePrefix="false">
      <alignment vertical="center"/>
    </xf>
    <xf applyAlignment="true" applyBorder="true" applyFill="true" applyFont="true" applyNumberFormat="true" borderId="86" fillId="5" fontId="5" numFmtId="1000" quotePrefix="false">
      <alignment horizontal="center" vertical="center"/>
    </xf>
    <xf applyAlignment="true" applyBorder="true" applyFill="false" applyFont="true" applyNumberFormat="true" borderId="139" fillId="0" fontId="2" numFmtId="1000" quotePrefix="false">
      <alignment vertical="center"/>
    </xf>
    <xf applyAlignment="true" applyBorder="true" applyFill="true" applyFont="true" applyNumberFormat="true" borderId="81" fillId="7" fontId="15" numFmtId="1001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vertical="center"/>
    </xf>
    <xf applyAlignment="true" applyBorder="true" applyFill="true" applyFont="true" applyNumberFormat="true" borderId="2" fillId="7" fontId="23" numFmtId="1000" quotePrefix="false">
      <alignment horizontal="center"/>
    </xf>
    <xf applyAlignment="true" applyBorder="false" applyFill="false" applyFont="true" applyNumberFormat="true" borderId="0" fillId="0" fontId="24" numFmtId="1003" quotePrefix="false">
      <alignment vertical="center"/>
    </xf>
    <xf applyBorder="false" applyFill="false" applyFont="true" applyNumberFormat="true" borderId="0" fillId="0" fontId="25" numFmtId="1009" quotePrefix="false"/>
    <xf applyAlignment="true" applyBorder="false" applyFill="false" applyFont="true" applyNumberFormat="true" borderId="0" fillId="0" fontId="2" numFmtId="1009" quotePrefix="false">
      <alignment vertical="center"/>
    </xf>
    <xf applyAlignment="true" applyBorder="false" applyFill="false" applyFont="true" applyNumberFormat="true" borderId="0" fillId="0" fontId="2" numFmtId="1002" quotePrefix="false">
      <alignment horizontal="center" vertical="center" wrapText="true"/>
    </xf>
    <xf applyAlignment="true" applyBorder="false" applyFill="false" applyFont="true" applyNumberFormat="true" borderId="0" fillId="0" fontId="2" numFmtId="1002" quotePrefix="false">
      <alignment vertical="center"/>
    </xf>
    <xf applyBorder="true" applyFill="false" applyFont="true" applyNumberFormat="true" borderId="2" fillId="0" fontId="2" numFmtId="1000" quotePrefix="false"/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3.xml" Type="http://schemas.openxmlformats.org/officeDocument/2006/relationships/externalLink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8" Target="styles.xml" Type="http://schemas.openxmlformats.org/officeDocument/2006/relationships/styles"/>
  <Relationship Id="rId4" Target="externalLinks/externalLink1.xml" Type="http://schemas.openxmlformats.org/officeDocument/2006/relationships/externalLink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externalLinks/externalLink2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1/Desktop/&#1059;&#1078;&#1080;&#1085;&#1089;&#1082;&#1072;&#1103;/&#1059;&#1078;&#1080;&#1085;&#1089;&#1082;&#1072;&#1103;/&#1056;&#1055;&#1050;&#1056; &#1050;&#1055;&#1050;&#1056;/&#1050;&#1055;&#1050;&#1056; &#1085;&#1072; 2022-2024/13. &#1055;&#1088;&#1080;&#1082;&#1072;&#1079; &#1052;&#1046;&#1050;&#1061; 454-&#1054;&#1044; &#1086;&#1090; 15.10.2024&#1075;. 2022-2024&#1075;&#1075;/&#1054;&#1090;&#1095;&#1077;&#1090; &#1086; &#1076;&#1074;&#1080;&#1078;&#1077;&#1085;&#1080;&#1080; &#1089;&#1088;&#1077;&#1076;&#1089;&#1090;&#1074; - 2024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C: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 &#1050;&#1055;&#1050;&#1056;/&#1055;&#1088;&#1080;&#1082;&#1072;&#1079; 67&#1086;&#1076;/&#1042;&#1085;&#1077;&#1089; &#1080;&#1079;&#1084;/&#1055;&#1088;&#1086;&#1077;&#1082;&#1090; &#1050;&#1055;&#1050;&#1056; 2019-2021 &#1074; &#1052;&#1046;&#1050;&#1061;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C:/fkrserver2/&#1054;&#1040;&#1055;/Users/&#1042;&#1080;&#1085;&#1086;&#1082;&#1091;&#1088;&#1086;&#1074;&#1072;_&#1042;&#1042;/AppData/Local/Microsoft/fkrserver2/&#1054;&#1040;&#1055;/Users/&#1042;&#1072;&#1089;&#1080;&#1083;&#1080;&#1081;/Desktop/&#1059;&#1078;&#1080;&#1085;&#1089;&#1082;&#1072;&#1103;/&#1056;&#1055;&#1050;&#1056; &#1050;&#1055;&#1050;&#1056;/&#1055;&#1088;&#1080;&#1082;&#1072;&#1079; 67&#1086;&#1076;/&#1055;&#1088;&#1086;&#1077;&#1082;&#1090; &#1050;&#1055;&#1050;&#1056; 2019-2021 04.02.22_&#1087;&#1086;&#1089;&#1083;&#1077;&#1076;&#1085;&#1080;&#1081;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22">
          <cell r="AQ322" t="n" vm="0">
            <v>10318155.05</v>
          </cell>
        </row>
        <row r="323">
          <cell r="AQ323" t="n" vm="0">
            <v>5917907.43</v>
          </cell>
        </row>
        <row r="325">
          <cell r="AQ325" t="n" vm="0">
            <v>5064237.34</v>
          </cell>
        </row>
        <row r="326">
          <cell r="AQ326" t="n" vm="0">
            <v>7296669.81</v>
          </cell>
        </row>
        <row r="327">
          <cell r="AQ327" t="n" vm="0">
            <v>14198801.34</v>
          </cell>
        </row>
        <row r="135">
          <cell r="AQ135" t="n" vm="0">
            <v>7145845.8</v>
          </cell>
        </row>
        <row r="329">
          <cell r="AQ329" t="n" vm="0">
            <v>1372210.89</v>
          </cell>
        </row>
        <row r="137">
          <cell r="AQ137" t="n" vm="0">
            <v>303111.6</v>
          </cell>
        </row>
        <row r="330">
          <cell r="AQ330" t="n" vm="0">
            <v>10571697.07</v>
          </cell>
        </row>
        <row r="139">
          <cell r="AQ139" t="n" vm="0">
            <v>46387</v>
          </cell>
        </row>
        <row r="332">
          <cell r="AQ332" t="n" vm="0">
            <v>3884523.35</v>
          </cell>
        </row>
        <row r="140">
          <cell r="AQ140" t="n" vm="0">
            <v>2632114.16</v>
          </cell>
        </row>
        <row r="334">
          <cell r="AQ334" t="n" vm="0">
            <v>14339287.82</v>
          </cell>
        </row>
        <row r="142">
          <cell r="AQ142" t="n" vm="0">
            <v>12678894.95</v>
          </cell>
        </row>
        <row r="335">
          <cell r="AQ335" t="n" vm="0">
            <v>19669001.86</v>
          </cell>
        </row>
        <row r="143">
          <cell r="AQ143" t="n" vm="0">
            <v>432667.76</v>
          </cell>
        </row>
        <row r="336">
          <cell r="AQ336" t="n" vm="0">
            <v>20005818.15</v>
          </cell>
        </row>
        <row r="144">
          <cell r="AQ144" t="n" vm="0">
            <v>1914011.42</v>
          </cell>
        </row>
        <row r="337">
          <cell r="AQ337" t="n" vm="0">
            <v>19891383.8</v>
          </cell>
        </row>
        <row r="338">
          <cell r="AQ338" t="n" vm="0">
            <v>23089531.38</v>
          </cell>
        </row>
        <row r="145">
          <cell r="BC145" t="n" vm="0">
            <v>2820894.2</v>
          </cell>
        </row>
        <row r="339">
          <cell r="AQ339" t="n" vm="0">
            <v>5568483.64</v>
          </cell>
        </row>
        <row r="148">
          <cell r="AQ148" t="n" vm="0">
            <v>4310443.32</v>
          </cell>
        </row>
        <row r="149">
          <cell r="BC149" t="n" vm="0">
            <v>468663.01</v>
          </cell>
        </row>
        <row r="150">
          <cell r="AQ150" t="n" vm="0">
            <v>13019223.8</v>
          </cell>
        </row>
        <row r="343">
          <cell r="AQ343" t="n" vm="0">
            <v>2955407.27</v>
          </cell>
        </row>
        <row r="344">
          <cell r="AQ344" t="n" vm="0">
            <v>10981237.31</v>
          </cell>
        </row>
        <row r="151">
          <cell r="AQ151" t="n" vm="0">
            <v>11023791.14</v>
          </cell>
        </row>
        <row r="152">
          <cell r="AQ152" t="n" vm="0">
            <v>6313279.94</v>
          </cell>
        </row>
        <row r="345">
          <cell r="AQ345" t="n" vm="0">
            <v>4584674.3</v>
          </cell>
        </row>
        <row r="153">
          <cell r="AQ153" t="n" vm="0">
            <v>4461045.8</v>
          </cell>
        </row>
        <row r="346">
          <cell r="AQ346" t="n" vm="0">
            <v>3253642.8</v>
          </cell>
        </row>
        <row r="154">
          <cell r="AQ154" t="n" vm="0">
            <v>6137883.54</v>
          </cell>
        </row>
        <row r="347">
          <cell r="AQ347" t="n" vm="0">
            <v>3313717.2</v>
          </cell>
        </row>
        <row r="348">
          <cell r="AQ348" t="n" vm="0">
            <v>239463.3</v>
          </cell>
        </row>
        <row r="156">
          <cell r="AQ156" t="n" vm="0">
            <v>2599774.96</v>
          </cell>
        </row>
        <row r="159">
          <cell r="AQ159" t="n" vm="0">
            <v>8249286.13</v>
          </cell>
        </row>
        <row r="160">
          <cell r="AQ160" t="n" vm="0">
            <v>4284306.56</v>
          </cell>
        </row>
        <row r="162">
          <cell r="AQ162" t="n" vm="0">
            <v>572646.13</v>
          </cell>
        </row>
        <row r="166">
          <cell r="AQ166" t="n" vm="0">
            <v>2292875.74</v>
          </cell>
        </row>
        <row r="167">
          <cell r="AQ167" t="n" vm="0">
            <v>9496638.71</v>
          </cell>
        </row>
        <row r="168">
          <cell r="AQ168" t="n" vm="0">
            <v>10840071.27</v>
          </cell>
        </row>
        <row r="170">
          <cell r="AQ170" t="n" vm="0">
            <v>3361436.88</v>
          </cell>
        </row>
        <row r="171">
          <cell r="AQ171" t="n" vm="0">
            <v>1491863.12</v>
          </cell>
        </row>
        <row r="172">
          <cell r="AQ172" t="n" vm="0">
            <v>3452425.1</v>
          </cell>
        </row>
        <row r="173">
          <cell r="AQ173" t="n" vm="0">
            <v>3891599.37</v>
          </cell>
        </row>
        <row r="175">
          <cell r="AQ175" t="n" vm="0">
            <v>739212.5</v>
          </cell>
        </row>
        <row r="182">
          <cell r="AQ182" t="n" vm="0">
            <v>6495368.57</v>
          </cell>
        </row>
        <row r="183">
          <cell r="AQ183" t="n" vm="0">
            <v>4099363.34</v>
          </cell>
        </row>
        <row r="184">
          <cell r="AQ184" t="n" vm="0">
            <v>7446961.8</v>
          </cell>
        </row>
        <row r="185">
          <cell r="AQ185" t="n" vm="0">
            <v>3262126.09</v>
          </cell>
        </row>
        <row r="186">
          <cell r="AQ186" t="n" vm="0">
            <v>6929107.96</v>
          </cell>
        </row>
        <row r="187">
          <cell r="AQ187" t="n" vm="0">
            <v>7536853.85</v>
          </cell>
        </row>
        <row r="194">
          <cell r="AQ194" t="n" vm="0">
            <v>4714852.09</v>
          </cell>
        </row>
        <row r="196">
          <cell r="BC196" t="n" vm="0">
            <v>2073222.36</v>
          </cell>
        </row>
        <row r="197">
          <cell r="AQ197" t="n" vm="0">
            <v>1705317.69</v>
          </cell>
        </row>
        <row r="203">
          <cell r="AQ203" t="n" vm="0">
            <v>5805292.39</v>
          </cell>
        </row>
        <row r="11">
          <cell r="AQ11" t="n" vm="0">
            <v>1427296.36</v>
          </cell>
        </row>
        <row r="204">
          <cell r="AQ204" t="n" vm="0">
            <v>17226575.7</v>
          </cell>
        </row>
        <row r="205">
          <cell r="AQ205" t="n" vm="0">
            <v>3819024.81</v>
          </cell>
        </row>
        <row r="13">
          <cell r="AQ13" t="n" vm="0">
            <v>330702.87</v>
          </cell>
        </row>
        <row r="16">
          <cell r="AQ16" t="n" vm="0">
            <v>877990.46</v>
          </cell>
        </row>
        <row r="210">
          <cell r="AQ210" t="n" vm="0">
            <v>1414144.83</v>
          </cell>
        </row>
        <row r="17">
          <cell r="AQ17" t="n" vm="0">
            <v>261846.71</v>
          </cell>
        </row>
        <row r="211">
          <cell r="AQ211" t="n" vm="0">
            <v>8430467.67</v>
          </cell>
        </row>
        <row r="19">
          <cell r="AQ19" t="n" vm="0">
            <v>1011069.82</v>
          </cell>
        </row>
        <row r="20">
          <cell r="AP20" t="n" vm="0">
            <v>974240.73</v>
          </cell>
        </row>
        <row r="21">
          <cell r="AQ21" t="n" vm="0">
            <v>2350928.29</v>
          </cell>
        </row>
        <row r="22">
          <cell r="AQ22" t="n" vm="0">
            <v>1138306.87</v>
          </cell>
        </row>
        <row r="23">
          <cell r="AQ23" t="n" vm="0">
            <v>712630.73</v>
          </cell>
        </row>
        <row r="24">
          <cell r="AQ24" t="n" vm="0">
            <v>1081940.96</v>
          </cell>
        </row>
        <row r="220">
          <cell r="AQ220" t="n" vm="0">
            <v>2590822.91</v>
          </cell>
        </row>
        <row r="221">
          <cell r="AQ221" t="n" vm="0">
            <v>1126433.84</v>
          </cell>
        </row>
        <row r="28">
          <cell r="AQ28" t="n" vm="0">
            <v>184024.5</v>
          </cell>
        </row>
        <row r="223">
          <cell r="AQ223" t="n" vm="0">
            <v>5532177.59</v>
          </cell>
        </row>
        <row r="32">
          <cell r="BC32" t="n" vm="0">
            <v>646471.07</v>
          </cell>
        </row>
        <row r="34">
          <cell r="AQ34" t="n" vm="0">
            <v>754595.44</v>
          </cell>
        </row>
        <row r="39">
          <cell r="AQ39" t="n" vm="0">
            <v>279379.4</v>
          </cell>
        </row>
        <row r="45">
          <cell r="AQ45" t="n" vm="0">
            <v>61259.75</v>
          </cell>
        </row>
        <row r="239">
          <cell r="AQ239" t="n" vm="0">
            <v>766015.77</v>
          </cell>
        </row>
        <row r="47">
          <cell r="AQ47" t="n" vm="0">
            <v>3138078.39</v>
          </cell>
        </row>
        <row r="242">
          <cell r="AQ242" t="n" vm="0">
            <v>331346.99</v>
          </cell>
        </row>
        <row r="49">
          <cell r="AQ49" t="n" vm="0">
            <v>721387.79</v>
          </cell>
        </row>
        <row r="243">
          <cell r="AQ243" t="n" vm="0">
            <v>1051052.94</v>
          </cell>
        </row>
        <row r="50">
          <cell r="AQ50" t="n" vm="0">
            <v>4653992.55</v>
          </cell>
        </row>
        <row r="244">
          <cell r="AQ244" t="n" vm="0">
            <v>618595.75</v>
          </cell>
        </row>
        <row r="245">
          <cell r="AQ245" t="n" vm="0">
            <v>592912.56</v>
          </cell>
        </row>
        <row r="56">
          <cell r="AQ56" t="n" vm="0">
            <v>4014803.38</v>
          </cell>
        </row>
        <row r="254">
          <cell r="AQ254" t="n" vm="0">
            <v>1282175.44</v>
          </cell>
        </row>
        <row r="255">
          <cell r="AQ255" t="n" vm="0">
            <v>4301198.35</v>
          </cell>
        </row>
        <row r="64">
          <cell r="AQ64" t="n" vm="0">
            <v>2758393.44</v>
          </cell>
        </row>
        <row r="257">
          <cell r="AQ257" t="n" vm="0">
            <v>158652.38</v>
          </cell>
        </row>
        <row r="67">
          <cell r="AQ67" t="n" vm="0">
            <v>1067596.87</v>
          </cell>
        </row>
        <row r="260">
          <cell r="AQ260" t="n" vm="0">
            <v>12359996.74</v>
          </cell>
        </row>
        <row r="69">
          <cell r="AQ69" t="n" vm="0">
            <v>29563996.28</v>
          </cell>
        </row>
        <row r="71">
          <cell r="AQ71" t="n" vm="0">
            <v>187317.64</v>
          </cell>
        </row>
        <row r="264">
          <cell r="AQ264" t="n" vm="0">
            <v>19055874.25</v>
          </cell>
        </row>
        <row r="72">
          <cell r="AQ72" t="n" vm="0">
            <v>254349.57</v>
          </cell>
        </row>
        <row r="265">
          <cell r="AQ265" t="n" vm="0">
            <v>19553295.69</v>
          </cell>
        </row>
        <row r="73">
          <cell r="AQ73" t="n" vm="0">
            <v>2131913.84</v>
          </cell>
        </row>
        <row r="266">
          <cell r="AQ266" t="n" vm="0">
            <v>14193901.19</v>
          </cell>
        </row>
        <row r="270">
          <cell r="AQ270" t="n" vm="0">
            <v>8962836.42</v>
          </cell>
        </row>
        <row r="271">
          <cell r="AQ271" t="n" vm="0">
            <v>7241651.58</v>
          </cell>
        </row>
        <row r="275">
          <cell r="AQ275" t="n" vm="0">
            <v>5675433.78</v>
          </cell>
        </row>
        <row r="276">
          <cell r="AQ276" t="n" vm="0">
            <v>3978885.99</v>
          </cell>
        </row>
        <row r="277">
          <cell r="AQ277" t="n" vm="0">
            <v>4784106.34</v>
          </cell>
        </row>
        <row r="278">
          <cell r="AQ278" t="n" vm="0">
            <v>14447109.52</v>
          </cell>
        </row>
        <row r="87">
          <cell r="AQ87" t="n" vm="0">
            <v>2550060.15</v>
          </cell>
        </row>
        <row r="280">
          <cell r="BC280" t="n" vm="0">
            <v>59734.07</v>
          </cell>
        </row>
        <row r="284">
          <cell r="AQ284" t="n" vm="0">
            <v>13437107.82</v>
          </cell>
        </row>
        <row r="92">
          <cell r="AQ92" t="n" vm="0">
            <v>363574.43</v>
          </cell>
        </row>
        <row r="94">
          <cell r="AQ94" t="n" vm="0">
            <v>1522087.74</v>
          </cell>
        </row>
        <row r="287">
          <cell r="AQ287" t="n" vm="0">
            <v>3495110.32</v>
          </cell>
        </row>
        <row r="95">
          <cell r="AQ95" t="n" vm="0">
            <v>1734003.69</v>
          </cell>
        </row>
        <row r="97">
          <cell r="BC97" t="n" vm="0">
            <v>203289.13</v>
          </cell>
        </row>
        <row r="291">
          <cell r="AQ291" t="n" vm="0">
            <v>489644.57</v>
          </cell>
        </row>
        <row r="99">
          <cell r="AQ99" t="n" vm="0"/>
        </row>
        <row r="293">
          <cell r="AQ293" t="n" vm="0">
            <v>4691677.09</v>
          </cell>
        </row>
        <row r="294">
          <cell r="AQ294" t="n" vm="0">
            <v>3921696.03</v>
          </cell>
        </row>
        <row r="302">
          <cell r="AQ302" t="n" vm="0">
            <v>17398372.78</v>
          </cell>
        </row>
        <row r="112">
          <cell r="AQ112" t="n" vm="0">
            <v>11718221</v>
          </cell>
        </row>
        <row r="113">
          <cell r="AQ113" t="n" vm="0">
            <v>11917803.3</v>
          </cell>
        </row>
        <row r="306">
          <cell r="AQ306" t="n" vm="0">
            <v>2601916.24</v>
          </cell>
        </row>
        <row r="115">
          <cell r="AQ115" t="n" vm="0">
            <v>4958926.66</v>
          </cell>
        </row>
        <row r="308">
          <cell r="AQ308" t="n" vm="0">
            <v>3495300.18</v>
          </cell>
        </row>
        <row r="313">
          <cell r="AQ313" t="n" vm="0">
            <v>5305764.45</v>
          </cell>
        </row>
        <row r="121">
          <cell r="AQ121" t="n" vm="0">
            <v>8582569.3</v>
          </cell>
        </row>
        <row r="314">
          <cell r="AQ314" t="n" vm="0">
            <v>4548461.87</v>
          </cell>
        </row>
        <row r="123">
          <cell r="AQ123" t="n" vm="0">
            <v>291033.01</v>
          </cell>
        </row>
        <row r="316">
          <cell r="AQ316" t="n" vm="0">
            <v>6143184.07</v>
          </cell>
        </row>
        <row r="126">
          <cell r="AQ126" t="n" vm="0">
            <v>6463970.17</v>
          </cell>
        </row>
        <row r="319">
          <cell r="AQ319" t="n" vm="0">
            <v>5330333.55</v>
          </cell>
        </row>
        <row r="321">
          <cell r="AQ321" t="n" vm="0">
            <v>8590695.74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Приложение №1"/>
    </sheetNames>
    <sheetDataSet>
      <sheetData refreshError="false" sheetId="0">
        <row r="346">
          <cell r="R346" t="n" vm="0"/>
          <cell r="S346" t="n" vm="0"/>
        </row>
        <row r="23">
          <cell r="R23" t="n" vm="0"/>
          <cell r="S23" t="n" vm="0"/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Приложение №1"/>
    </sheetNames>
    <sheetDataSet>
      <sheetData refreshError="false" sheetId="0">
        <row r="83">
          <cell r="R83" t="n" vm="0"/>
          <cell r="S83" t="n" vm="0"/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vmlDrawing1.vml" Type="http://schemas.openxmlformats.org/officeDocument/2006/relationships/vmlDrawing"/>
  <Relationship Id="rId2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U881"/>
  <sheetViews>
    <sheetView showZeros="false" workbookViewId="0">
      <pane activePane="bottomRight" state="frozen" topLeftCell="E13" xSplit="4" ySplit="12"/>
    </sheetView>
  </sheetViews>
  <sheetFormatPr baseColWidth="8" customHeight="false" defaultColWidth="9.14062530925693" defaultRowHeight="15" zeroHeight="false"/>
  <cols>
    <col customWidth="true" max="1" min="1" outlineLevel="0" style="1" width="8.14062514009074"/>
    <col customWidth="true" max="2" min="2" outlineLevel="0" style="1" width="10.0000003383324"/>
    <col customWidth="true" max="3" min="3" outlineLevel="0" style="1" width="33.5703114704652"/>
    <col customWidth="true" max="4" min="4" outlineLevel="0" style="1" width="68.4257824824021"/>
    <col customWidth="true" max="5" min="5" outlineLevel="0" style="2" width="12.4257811290726"/>
    <col customWidth="true" max="6" min="6" outlineLevel="0" style="2" width="12.7109371180545"/>
    <col customWidth="true" max="7" min="7" outlineLevel="0" style="2" width="16.2851559889819"/>
    <col customWidth="true" max="8" min="8" outlineLevel="0" style="2" width="9.00000016916618"/>
    <col customWidth="true" max="9" min="9" outlineLevel="0" style="2" width="8.71093779471921"/>
    <col customWidth="true" max="10" min="10" outlineLevel="0" style="1" width="13.9999996616676"/>
    <col customWidth="true" max="11" min="11" outlineLevel="0" style="1" width="17.1406253092569"/>
    <col customWidth="true" max="12" min="12" outlineLevel="0" style="1" width="16.7109377947192"/>
    <col customWidth="true" max="13" min="13" outlineLevel="0" style="1" width="16.8554693202751"/>
    <col customWidth="true" max="14" min="14" outlineLevel="0" style="1" width="21.0000001691662"/>
    <col customWidth="true" max="15" min="15" outlineLevel="0" style="1" width="18.855468305278"/>
    <col customWidth="true" max="16" min="16" outlineLevel="0" style="1" width="22.425781467405"/>
    <col customWidth="true" max="17" min="17" outlineLevel="0" style="1" width="19.4257816365712"/>
    <col customWidth="true" max="18" min="18" outlineLevel="0" style="1" width="21.7109379638854"/>
    <col customWidth="true" max="20" min="19" outlineLevel="0" style="1" width="22.2851556506495"/>
    <col customWidth="true" max="22" min="21" outlineLevel="0" style="1" width="17.1406253092569"/>
    <col customWidth="true" max="23" min="23" outlineLevel="0" style="2" width="14.5703129929608"/>
    <col customWidth="true" hidden="true" max="24" min="24" outlineLevel="0" style="1" width="17.1406253092569"/>
    <col customWidth="true" hidden="true" max="25" min="25" outlineLevel="0" style="3" width="13.8554681361118"/>
    <col customWidth="true" hidden="true" max="27" min="26" outlineLevel="0" style="3" width="17.2851568348128"/>
    <col customWidth="true" hidden="true" max="28" min="28" outlineLevel="0" style="4" width="20.1406251400907"/>
    <col customWidth="true" hidden="true" max="29" min="29" outlineLevel="0" style="1" width="19.1406256475893"/>
    <col customWidth="true" hidden="true" max="43" min="30" outlineLevel="0" style="1" width="16.2851559889819"/>
    <col customWidth="true" hidden="true" max="44" min="44" outlineLevel="0" style="1" width="17.8554688127765"/>
    <col customWidth="true" hidden="true" max="45" min="45" outlineLevel="0" style="1" width="23.2851564964804"/>
    <col customWidth="true" max="46" min="46" outlineLevel="0" style="3" width="15.8554684744441"/>
    <col customWidth="true" max="47" min="47" outlineLevel="0" style="1" width="15.1406249709246"/>
    <col bestFit="true" customWidth="true" max="16384" min="48" outlineLevel="0" style="1" width="9.14062530925693"/>
  </cols>
  <sheetData>
    <row hidden="true" ht="15.75" outlineLevel="0" r="1">
      <c r="R1" s="3" t="e">
        <f aca="false" ca="false" dt2D="false" dtr="false" t="normal">N491-#REF!</f>
        <v>#REF!</v>
      </c>
      <c r="S1" s="3" t="n"/>
      <c r="T1" s="3" t="n"/>
      <c r="W1" s="8" t="s">
        <v>1</v>
      </c>
    </row>
    <row hidden="true" ht="15.75" outlineLevel="0" r="2">
      <c r="N2" s="3" t="n"/>
      <c r="P2" s="10" t="n">
        <v>444755619.9976</v>
      </c>
      <c r="Q2" s="3" t="e">
        <f aca="false" ca="false" dt2D="false" dtr="false" t="normal">#REF!-N655</f>
        <v>#REF!</v>
      </c>
      <c r="R2" s="11" t="e">
        <f aca="false" ca="false" dt2D="false" dtr="false" t="normal">#REF!-N757</f>
        <v>#REF!</v>
      </c>
      <c r="S2" s="12" t="n"/>
      <c r="T2" s="12" t="n"/>
      <c r="W2" s="8" t="s">
        <v>6</v>
      </c>
    </row>
    <row hidden="true" ht="18.75" outlineLevel="0" r="3">
      <c r="N3" s="3" t="n"/>
      <c r="P3" s="3" t="e">
        <f aca="false" ca="false" dt2D="false" dtr="false" t="normal">P2-#REF!</f>
        <v>#REF!</v>
      </c>
      <c r="Q3" s="13" t="e">
        <f aca="false" ca="false" dt2D="false" dtr="false" t="normal">N583-#REF!</f>
        <v>#REF!</v>
      </c>
      <c r="R3" s="14" t="n"/>
      <c r="S3" s="12" t="e">
        <f aca="false" ca="false" dt2D="false" dtr="false" t="normal">#REF!-N590</f>
        <v>#REF!</v>
      </c>
      <c r="T3" s="12" t="n"/>
      <c r="W3" s="8" t="n"/>
    </row>
    <row hidden="true" ht="15" outlineLevel="0" r="4">
      <c r="P4" s="15" t="s">
        <v>7</v>
      </c>
      <c r="Q4" s="3" t="n"/>
      <c r="R4" s="3" t="n"/>
      <c r="S4" s="3" t="n"/>
      <c r="T4" s="3" t="n"/>
    </row>
    <row outlineLevel="0" r="5">
      <c r="P5" s="3" t="n"/>
      <c r="R5" s="3" t="n"/>
      <c r="S5" s="3" t="n"/>
      <c r="T5" s="3" t="n"/>
      <c r="U5" s="3" t="n"/>
      <c r="V5" s="3" t="n"/>
      <c r="X5" s="3" t="n"/>
    </row>
    <row ht="20.25" outlineLevel="0" r="6">
      <c r="A6" s="20" t="s">
        <v>8</v>
      </c>
      <c r="B6" s="20" t="s"/>
      <c r="C6" s="20" t="s"/>
      <c r="D6" s="20" t="s"/>
      <c r="E6" s="20" t="s"/>
      <c r="F6" s="20" t="s"/>
      <c r="G6" s="20" t="s"/>
      <c r="H6" s="20" t="s"/>
      <c r="I6" s="20" t="s"/>
      <c r="J6" s="20" t="s"/>
      <c r="K6" s="20" t="s"/>
      <c r="L6" s="20" t="s"/>
      <c r="M6" s="20" t="s"/>
      <c r="N6" s="20" t="s"/>
      <c r="O6" s="20" t="s"/>
      <c r="P6" s="20" t="s"/>
      <c r="Q6" s="20" t="s"/>
      <c r="R6" s="20" t="s"/>
      <c r="S6" s="20" t="s"/>
      <c r="T6" s="20" t="s"/>
      <c r="U6" s="20" t="s"/>
      <c r="V6" s="20" t="s"/>
      <c r="W6" s="20" t="s"/>
      <c r="X6" s="3" t="n"/>
      <c r="AA6" s="22" t="n"/>
      <c r="AC6" s="3" t="n">
        <f aca="false" ca="false" dt2D="false" dtr="false" t="normal">N22-AB22</f>
        <v>0</v>
      </c>
      <c r="AD6" s="12" t="n"/>
    </row>
    <row ht="16.5" outlineLevel="0" r="7">
      <c r="A7" s="25" t="n"/>
      <c r="B7" s="25" t="n"/>
      <c r="C7" s="25" t="n"/>
      <c r="D7" s="25" t="n"/>
      <c r="E7" s="25" t="n"/>
      <c r="F7" s="25" t="n"/>
      <c r="G7" s="25" t="n"/>
      <c r="H7" s="25" t="n"/>
      <c r="I7" s="25" t="n"/>
      <c r="J7" s="25" t="n"/>
      <c r="K7" s="25" t="n"/>
      <c r="L7" s="25" t="n"/>
      <c r="M7" s="25" t="n"/>
      <c r="N7" s="26" t="n"/>
      <c r="O7" s="26" t="n"/>
      <c r="P7" s="26" t="n"/>
      <c r="Q7" s="26" t="n"/>
      <c r="R7" s="26" t="n"/>
      <c r="S7" s="26" t="n"/>
      <c r="T7" s="26" t="n"/>
      <c r="U7" s="27" t="n"/>
      <c r="V7" s="25" t="n"/>
      <c r="W7" s="28" t="n"/>
      <c r="X7" s="3" t="n"/>
      <c r="AC7" s="12" t="n"/>
    </row>
    <row outlineLevel="0" r="8">
      <c r="A8" s="29" t="n"/>
      <c r="B8" s="29" t="n"/>
      <c r="C8" s="29" t="n"/>
      <c r="D8" s="29" t="n"/>
      <c r="I8" s="30" t="n"/>
      <c r="J8" s="31" t="n"/>
      <c r="K8" s="31" t="n"/>
      <c r="L8" s="31" t="n"/>
      <c r="M8" s="32" t="n"/>
      <c r="N8" s="33" t="n"/>
      <c r="O8" s="33" t="n"/>
      <c r="P8" s="33" t="n"/>
      <c r="Q8" s="33" t="n"/>
      <c r="R8" s="33" t="n"/>
      <c r="S8" s="33" t="n"/>
      <c r="T8" s="33" t="n"/>
      <c r="U8" s="34" t="n"/>
      <c r="V8" s="34" t="n"/>
      <c r="X8" s="3" t="n"/>
    </row>
    <row customFormat="true" customHeight="true" ht="14.25" outlineLevel="0" r="9" s="35">
      <c r="A9" s="36" t="s">
        <v>11</v>
      </c>
      <c r="B9" s="36" t="s">
        <v>11</v>
      </c>
      <c r="C9" s="37" t="s">
        <v>12</v>
      </c>
      <c r="D9" s="37" t="s">
        <v>13</v>
      </c>
      <c r="E9" s="38" t="s">
        <v>14</v>
      </c>
      <c r="F9" s="39" t="s"/>
      <c r="G9" s="37" t="s">
        <v>15</v>
      </c>
      <c r="H9" s="37" t="s">
        <v>16</v>
      </c>
      <c r="I9" s="40" t="s">
        <v>17</v>
      </c>
      <c r="J9" s="41" t="s">
        <v>18</v>
      </c>
      <c r="K9" s="41" t="s">
        <v>19</v>
      </c>
      <c r="L9" s="42" t="s"/>
      <c r="M9" s="43" t="s">
        <v>20</v>
      </c>
      <c r="N9" s="44" t="s">
        <v>21</v>
      </c>
      <c r="O9" s="45" t="s"/>
      <c r="P9" s="46" t="s"/>
      <c r="Q9" s="47" t="s"/>
      <c r="R9" s="48" t="s"/>
      <c r="S9" s="49" t="s"/>
      <c r="T9" s="50" t="s"/>
      <c r="U9" s="51" t="s">
        <v>22</v>
      </c>
      <c r="V9" s="51" t="s">
        <v>23</v>
      </c>
      <c r="W9" s="37" t="s">
        <v>24</v>
      </c>
      <c r="Y9" s="52" t="n"/>
      <c r="Z9" s="52" t="n"/>
      <c r="AA9" s="52" t="n"/>
      <c r="AB9" s="53" t="s">
        <v>25</v>
      </c>
      <c r="AC9" s="54" t="s">
        <v>26</v>
      </c>
      <c r="AD9" s="55" t="n"/>
      <c r="AE9" s="55" t="n"/>
      <c r="AF9" s="55" t="n"/>
      <c r="AG9" s="55" t="n"/>
      <c r="AH9" s="55" t="n"/>
      <c r="AI9" s="55" t="n"/>
      <c r="AJ9" s="55" t="n"/>
      <c r="AK9" s="55" t="n"/>
      <c r="AL9" s="55" t="n"/>
      <c r="AM9" s="55" t="n"/>
      <c r="AN9" s="55" t="n"/>
      <c r="AO9" s="55" t="n"/>
      <c r="AP9" s="55" t="n"/>
      <c r="AQ9" s="56" t="n"/>
      <c r="AT9" s="52" t="n"/>
    </row>
    <row customFormat="true" customHeight="true" ht="14.25" outlineLevel="0" r="10" s="35">
      <c r="A10" s="57" t="s"/>
      <c r="B10" s="58" t="s"/>
      <c r="C10" s="59" t="s"/>
      <c r="D10" s="60" t="s"/>
      <c r="E10" s="37" t="s">
        <v>29</v>
      </c>
      <c r="F10" s="37" t="s">
        <v>30</v>
      </c>
      <c r="G10" s="61" t="s"/>
      <c r="H10" s="62" t="s"/>
      <c r="I10" s="63" t="s"/>
      <c r="J10" s="64" t="s"/>
      <c r="K10" s="41" t="s">
        <v>31</v>
      </c>
      <c r="L10" s="41" t="s">
        <v>32</v>
      </c>
      <c r="M10" s="65" t="s"/>
      <c r="N10" s="66" t="s">
        <v>33</v>
      </c>
      <c r="O10" s="67" t="s">
        <v>34</v>
      </c>
      <c r="P10" s="68" t="s"/>
      <c r="Q10" s="69" t="s"/>
      <c r="R10" s="70" t="s"/>
      <c r="S10" s="71" t="s"/>
      <c r="T10" s="72" t="s"/>
      <c r="U10" s="73" t="s"/>
      <c r="V10" s="74" t="s"/>
      <c r="W10" s="75" t="s"/>
      <c r="X10" s="52" t="n"/>
      <c r="Y10" s="52" t="n"/>
      <c r="Z10" s="52" t="n"/>
      <c r="AA10" s="52" t="n"/>
      <c r="AB10" s="76" t="s"/>
      <c r="AC10" s="77" t="s">
        <v>35</v>
      </c>
      <c r="AD10" s="78" t="s"/>
      <c r="AE10" s="79" t="s"/>
      <c r="AF10" s="80" t="s"/>
      <c r="AG10" s="81" t="s"/>
      <c r="AH10" s="82" t="s"/>
      <c r="AI10" s="83" t="s"/>
      <c r="AJ10" s="51" t="s">
        <v>36</v>
      </c>
      <c r="AK10" s="51" t="s">
        <v>37</v>
      </c>
      <c r="AL10" s="51" t="s">
        <v>38</v>
      </c>
      <c r="AM10" s="51" t="s">
        <v>39</v>
      </c>
      <c r="AN10" s="51" t="s">
        <v>40</v>
      </c>
      <c r="AO10" s="51" t="s">
        <v>41</v>
      </c>
      <c r="AP10" s="51" t="s">
        <v>43</v>
      </c>
      <c r="AQ10" s="51" t="s">
        <v>45</v>
      </c>
      <c r="AT10" s="52" t="n"/>
    </row>
    <row customFormat="true" customHeight="true" ht="78.75" outlineLevel="0" r="11" s="35">
      <c r="A11" s="84" t="s"/>
      <c r="B11" s="85" t="s"/>
      <c r="C11" s="86" t="s"/>
      <c r="D11" s="87" t="s"/>
      <c r="E11" s="89" t="s"/>
      <c r="F11" s="90" t="s"/>
      <c r="G11" s="91" t="s"/>
      <c r="H11" s="92" t="s"/>
      <c r="I11" s="93" t="s"/>
      <c r="J11" s="94" t="s"/>
      <c r="K11" s="96" t="s"/>
      <c r="L11" s="97" t="s"/>
      <c r="M11" s="98" t="s"/>
      <c r="N11" s="99" t="s"/>
      <c r="O11" s="51" t="s">
        <v>46</v>
      </c>
      <c r="P11" s="44" t="s">
        <v>47</v>
      </c>
      <c r="Q11" s="51" t="s">
        <v>48</v>
      </c>
      <c r="R11" s="51" t="s">
        <v>49</v>
      </c>
      <c r="S11" s="51" t="s">
        <v>50</v>
      </c>
      <c r="T11" s="44" t="s">
        <v>51</v>
      </c>
      <c r="U11" s="101" t="s"/>
      <c r="V11" s="102" t="s"/>
      <c r="W11" s="104" t="s"/>
      <c r="X11" s="35" t="s">
        <v>52</v>
      </c>
      <c r="Y11" s="52" t="s">
        <v>53</v>
      </c>
      <c r="Z11" s="52" t="s">
        <v>54</v>
      </c>
      <c r="AA11" s="52" t="n"/>
      <c r="AB11" s="105" t="s"/>
      <c r="AC11" s="51" t="s">
        <v>55</v>
      </c>
      <c r="AD11" s="51" t="s">
        <v>56</v>
      </c>
      <c r="AE11" s="51" t="s">
        <v>57</v>
      </c>
      <c r="AF11" s="51" t="s">
        <v>58</v>
      </c>
      <c r="AG11" s="51" t="s">
        <v>59</v>
      </c>
      <c r="AH11" s="51" t="s">
        <v>60</v>
      </c>
      <c r="AI11" s="51" t="s">
        <v>61</v>
      </c>
      <c r="AJ11" s="106" t="s"/>
      <c r="AK11" s="107" t="s"/>
      <c r="AL11" s="108" t="s"/>
      <c r="AM11" s="109" t="s"/>
      <c r="AN11" s="110" t="s"/>
      <c r="AO11" s="111" t="s"/>
      <c r="AP11" s="112" t="s"/>
      <c r="AQ11" s="113" t="s"/>
      <c r="AT11" s="52" t="n"/>
    </row>
    <row customFormat="true" customHeight="true" ht="33" outlineLevel="0" r="12" s="35">
      <c r="A12" s="114" t="s"/>
      <c r="B12" s="115" t="s"/>
      <c r="C12" s="116" t="s"/>
      <c r="D12" s="117" t="s"/>
      <c r="E12" s="118" t="s"/>
      <c r="F12" s="119" t="s"/>
      <c r="G12" s="120" t="s"/>
      <c r="H12" s="121" t="s"/>
      <c r="I12" s="122" t="s"/>
      <c r="J12" s="123" t="s">
        <v>62</v>
      </c>
      <c r="K12" s="123" t="s">
        <v>62</v>
      </c>
      <c r="L12" s="123" t="s">
        <v>62</v>
      </c>
      <c r="M12" s="40" t="s">
        <v>63</v>
      </c>
      <c r="N12" s="124" t="s">
        <v>64</v>
      </c>
      <c r="O12" s="124" t="s">
        <v>64</v>
      </c>
      <c r="P12" s="124" t="s">
        <v>64</v>
      </c>
      <c r="Q12" s="124" t="s">
        <v>64</v>
      </c>
      <c r="R12" s="124" t="s">
        <v>64</v>
      </c>
      <c r="S12" s="124" t="s">
        <v>64</v>
      </c>
      <c r="T12" s="124" t="s">
        <v>64</v>
      </c>
      <c r="U12" s="124" t="s">
        <v>66</v>
      </c>
      <c r="V12" s="124" t="s">
        <v>66</v>
      </c>
      <c r="W12" s="125" t="s"/>
      <c r="Y12" s="52" t="n"/>
      <c r="Z12" s="52" t="n"/>
      <c r="AA12" s="52" t="n"/>
      <c r="AB12" s="53" t="s">
        <v>64</v>
      </c>
      <c r="AC12" s="51" t="s">
        <v>64</v>
      </c>
      <c r="AD12" s="51" t="s">
        <v>64</v>
      </c>
      <c r="AE12" s="51" t="s">
        <v>64</v>
      </c>
      <c r="AF12" s="51" t="s">
        <v>64</v>
      </c>
      <c r="AG12" s="51" t="s">
        <v>64</v>
      </c>
      <c r="AH12" s="51" t="s">
        <v>64</v>
      </c>
      <c r="AI12" s="51" t="s">
        <v>64</v>
      </c>
      <c r="AJ12" s="51" t="s">
        <v>64</v>
      </c>
      <c r="AK12" s="51" t="s">
        <v>64</v>
      </c>
      <c r="AL12" s="51" t="s">
        <v>64</v>
      </c>
      <c r="AM12" s="51" t="s">
        <v>64</v>
      </c>
      <c r="AN12" s="51" t="s">
        <v>64</v>
      </c>
      <c r="AO12" s="51" t="s">
        <v>64</v>
      </c>
      <c r="AP12" s="51" t="s">
        <v>64</v>
      </c>
      <c r="AQ12" s="51" t="s">
        <v>64</v>
      </c>
      <c r="AT12" s="52" t="n"/>
    </row>
    <row customFormat="true" customHeight="true" ht="15" outlineLevel="0" r="13" s="126">
      <c r="A13" s="127" t="n"/>
      <c r="B13" s="128" t="n"/>
      <c r="C13" s="129" t="n"/>
      <c r="D13" s="130" t="s">
        <v>67</v>
      </c>
      <c r="E13" s="131" t="n"/>
      <c r="F13" s="130" t="n"/>
      <c r="G13" s="132" t="n"/>
      <c r="H13" s="132" t="n"/>
      <c r="I13" s="133" t="n"/>
      <c r="J13" s="134" t="n"/>
      <c r="K13" s="135" t="n"/>
      <c r="L13" s="135" t="n"/>
      <c r="M13" s="136" t="n"/>
      <c r="N13" s="137" t="n">
        <f aca="false" ca="false" dt2D="false" dtr="false" t="normal">N14+N206+N479</f>
        <v>7050090018.398396</v>
      </c>
      <c r="O13" s="137" t="n">
        <f aca="false" ca="false" dt2D="false" dtr="false" t="normal">O14+O206+O479</f>
        <v>0</v>
      </c>
      <c r="P13" s="137" t="n">
        <f aca="false" ca="false" dt2D="false" dtr="false" t="normal">P14+P206+P479</f>
        <v>1871817002.015305</v>
      </c>
      <c r="Q13" s="137" t="n">
        <f aca="false" ca="false" dt2D="false" dtr="false" t="normal">Q14+Q206+Q479</f>
        <v>125814414.41</v>
      </c>
      <c r="R13" s="137" t="n">
        <f aca="false" ca="false" dt2D="false" dtr="false" t="normal">R14+R206+R479</f>
        <v>1043351521.3178351</v>
      </c>
      <c r="S13" s="137" t="n">
        <f aca="false" ca="false" dt2D="false" dtr="false" t="normal">S14+S206+S479</f>
        <v>3110760787.333933</v>
      </c>
      <c r="T13" s="137" t="n">
        <f aca="false" ca="false" dt2D="false" dtr="false" t="normal">T14+T206+T479</f>
        <v>898346293.3213236</v>
      </c>
      <c r="U13" s="141" t="n"/>
      <c r="V13" s="141" t="n"/>
      <c r="W13" s="132" t="n"/>
      <c r="Y13" s="142" t="n"/>
      <c r="Z13" s="142" t="n"/>
      <c r="AA13" s="142" t="n"/>
      <c r="AB13" s="143" t="e">
        <f aca="false" ca="false" dt2D="false" dtr="false" t="normal">+(+AB14+AB206)+AB479</f>
        <v>#REF!</v>
      </c>
      <c r="AC13" s="144" t="e">
        <f aca="false" ca="false" dt2D="false" dtr="false" t="normal">+(+AC14+AC206)+AC479</f>
        <v>#REF!</v>
      </c>
      <c r="AD13" s="144" t="e">
        <f aca="false" ca="false" dt2D="false" dtr="false" t="normal">+(+AD14+AD206)+AD479</f>
        <v>#REF!</v>
      </c>
      <c r="AE13" s="144" t="e">
        <f aca="false" ca="false" dt2D="false" dtr="false" t="normal">+(+AE14+AE206)+AE479</f>
        <v>#REF!</v>
      </c>
      <c r="AF13" s="144" t="e">
        <f aca="false" ca="false" dt2D="false" dtr="false" t="normal">+(+AF14+AF206)+AF479</f>
        <v>#REF!</v>
      </c>
      <c r="AG13" s="144" t="e">
        <f aca="false" ca="false" dt2D="false" dtr="false" t="normal">+(+AG14+AG206)+AG479</f>
        <v>#REF!</v>
      </c>
      <c r="AH13" s="144" t="e">
        <f aca="false" ca="false" dt2D="false" dtr="false" t="normal">+(+AH14+AH206)+AH479</f>
        <v>#REF!</v>
      </c>
      <c r="AI13" s="144" t="e">
        <f aca="false" ca="false" dt2D="false" dtr="false" t="normal">+(+AI14+AI206)+AI479</f>
        <v>#REF!</v>
      </c>
      <c r="AJ13" s="144" t="e">
        <f aca="false" ca="false" dt2D="false" dtr="false" t="normal">+(+AJ14+AJ206)+AJ479</f>
        <v>#REF!</v>
      </c>
      <c r="AK13" s="144" t="e">
        <f aca="false" ca="false" dt2D="false" dtr="false" t="normal">+(+AK14+AK206)+AK479</f>
        <v>#REF!</v>
      </c>
      <c r="AL13" s="144" t="e">
        <f aca="false" ca="false" dt2D="false" dtr="false" t="normal">+(+AL14+AL206)+AL479</f>
        <v>#REF!</v>
      </c>
      <c r="AM13" s="144" t="e">
        <f aca="false" ca="false" dt2D="false" dtr="false" t="normal">+(+AM14+AM206)+AM479</f>
        <v>#REF!</v>
      </c>
      <c r="AN13" s="144" t="e">
        <f aca="false" ca="false" dt2D="false" dtr="false" t="normal">+(+AN14+AN206)+AN479</f>
        <v>#REF!</v>
      </c>
      <c r="AO13" s="144" t="e">
        <f aca="false" ca="false" dt2D="false" dtr="false" t="normal">+(+AO14+AO206)+AO479</f>
        <v>#REF!</v>
      </c>
      <c r="AP13" s="144" t="e">
        <f aca="false" ca="false" dt2D="false" dtr="false" t="normal">+(+AP14+AP206)+AP479</f>
        <v>#REF!</v>
      </c>
      <c r="AQ13" s="144" t="e">
        <f aca="false" ca="false" dt2D="false" dtr="false" t="normal">+(+AQ14+AQ206)+AQ479</f>
        <v>#REF!</v>
      </c>
      <c r="AR13" s="35" t="n"/>
      <c r="AT13" s="142" t="n"/>
    </row>
    <row customFormat="true" customHeight="true" ht="18.75" outlineLevel="0" r="14" s="145">
      <c r="A14" s="146" t="n"/>
      <c r="B14" s="147" t="n"/>
      <c r="C14" s="147" t="n"/>
      <c r="D14" s="147" t="s">
        <v>71</v>
      </c>
      <c r="E14" s="147" t="n"/>
      <c r="F14" s="147" t="n"/>
      <c r="G14" s="147" t="n"/>
      <c r="H14" s="147" t="n"/>
      <c r="I14" s="147" t="n"/>
      <c r="J14" s="148" t="n">
        <f aca="false" ca="false" dt2D="false" dtr="false" t="normal">SUM(J18:J205)</f>
        <v>737192.31</v>
      </c>
      <c r="K14" s="148" t="n">
        <f aca="false" ca="false" dt2D="false" dtr="false" t="normal">SUM(K18:K205)</f>
        <v>609716.5900000002</v>
      </c>
      <c r="L14" s="148" t="n">
        <f aca="false" ca="false" dt2D="false" dtr="false" t="normal">SUM(L18:L205)</f>
        <v>49272.189999999995</v>
      </c>
      <c r="M14" s="148" t="n">
        <f aca="false" ca="false" dt2D="false" dtr="false" t="normal">SUM(M18:M205)</f>
        <v>26756</v>
      </c>
      <c r="N14" s="137" t="n">
        <f aca="false" ca="false" dt2D="false" dtr="false" t="normal">N15+N16+N17</f>
        <v>1841173018.2494566</v>
      </c>
      <c r="O14" s="137" t="n">
        <f aca="false" ca="false" dt2D="false" dtr="false" t="normal">O15+O16+O17</f>
        <v>0</v>
      </c>
      <c r="P14" s="137" t="n">
        <f aca="false" ca="false" dt2D="false" dtr="false" t="normal">P15+P16+P17</f>
        <v>542902980.4173492</v>
      </c>
      <c r="Q14" s="137" t="n">
        <f aca="false" ca="false" dt2D="false" dtr="false" t="normal">Q15+Q16+Q17</f>
        <v>2000000</v>
      </c>
      <c r="R14" s="137" t="n">
        <f aca="false" ca="false" dt2D="false" dtr="false" t="normal">R15+R16+R17</f>
        <v>261070337.1034685</v>
      </c>
      <c r="S14" s="137" t="n">
        <f aca="false" ca="false" dt2D="false" dtr="false" t="normal">S15+S16+S17</f>
        <v>835237074.2210221</v>
      </c>
      <c r="T14" s="137" t="n">
        <f aca="false" ca="false" dt2D="false" dtr="false" t="normal">T15+T16+T17</f>
        <v>199962626.50761688</v>
      </c>
      <c r="U14" s="148" t="n"/>
      <c r="V14" s="148" t="n"/>
      <c r="W14" s="148" t="n"/>
      <c r="Y14" s="149" t="n"/>
      <c r="Z14" s="149" t="n"/>
      <c r="AA14" s="149" t="n"/>
      <c r="AB14" s="150" t="n">
        <f aca="false" ca="false" dt2D="false" dtr="false" t="normal">SUM(AC14:AQ14)+AB15+AB16</f>
        <v>1841171471.989457</v>
      </c>
      <c r="AC14" s="148" t="n">
        <f aca="false" ca="false" dt2D="false" dtr="false" t="normal">+AC15+AC17</f>
        <v>261418719.91</v>
      </c>
      <c r="AD14" s="148" t="n">
        <f aca="false" ca="false" dt2D="false" dtr="false" t="normal">+AD15+AD17</f>
        <v>92211687.10999997</v>
      </c>
      <c r="AE14" s="148" t="n">
        <f aca="false" ca="false" dt2D="false" dtr="false" t="normal">+AE15+AE17</f>
        <v>91010822.59000003</v>
      </c>
      <c r="AF14" s="148" t="n">
        <f aca="false" ca="false" dt2D="false" dtr="false" t="normal">+AF15+AF17</f>
        <v>100780746.21000001</v>
      </c>
      <c r="AG14" s="148" t="n">
        <f aca="false" ca="false" dt2D="false" dtr="false" t="normal">+AG15+AG17</f>
        <v>20726332.382262</v>
      </c>
      <c r="AH14" s="148" t="n">
        <f aca="false" ca="false" dt2D="false" dtr="false" t="normal">+AH15+AH17</f>
        <v>0</v>
      </c>
      <c r="AI14" s="148" t="n">
        <f aca="false" ca="false" dt2D="false" dtr="false" t="normal">+AI15+AI17</f>
        <v>0</v>
      </c>
      <c r="AJ14" s="148" t="n">
        <f aca="false" ca="false" dt2D="false" dtr="false" t="normal">+AJ15+AJ17</f>
        <v>28694966.41</v>
      </c>
      <c r="AK14" s="148" t="n">
        <f aca="false" ca="false" dt2D="false" dtr="false" t="normal">+AK15+AK17</f>
        <v>417243389.468066</v>
      </c>
      <c r="AL14" s="148" t="n">
        <f aca="false" ca="false" dt2D="false" dtr="false" t="normal">+AL15+AL17</f>
        <v>79372152.85999998</v>
      </c>
      <c r="AM14" s="148" t="n">
        <f aca="false" ca="false" dt2D="false" dtr="false" t="normal">+AM15+AM17</f>
        <v>386032575.02000004</v>
      </c>
      <c r="AN14" s="148" t="n">
        <f aca="false" ca="false" dt2D="false" dtr="false" t="normal">+AN15+AN17</f>
        <v>162824150.39</v>
      </c>
      <c r="AO14" s="148" t="n">
        <f aca="false" ca="false" dt2D="false" dtr="false" t="normal">+AO15+AO17</f>
        <v>44622520.01096848</v>
      </c>
      <c r="AP14" s="148" t="n">
        <f aca="false" ca="false" dt2D="false" dtr="false" t="normal">+AP15+AP17</f>
        <v>3686982.528160488</v>
      </c>
      <c r="AQ14" s="148" t="n">
        <f aca="false" ca="false" dt2D="false" dtr="false" t="normal">+AQ15+AQ17</f>
        <v>5237742.060000001</v>
      </c>
      <c r="AR14" s="152" t="n"/>
      <c r="AT14" s="149" t="n"/>
    </row>
    <row customFormat="true" customHeight="true" ht="19.5" outlineLevel="0" r="15" s="145">
      <c r="A15" s="146" t="n"/>
      <c r="B15" s="147" t="n"/>
      <c r="C15" s="147" t="n"/>
      <c r="D15" s="147" t="s">
        <v>74</v>
      </c>
      <c r="E15" s="147" t="n"/>
      <c r="F15" s="147" t="n"/>
      <c r="G15" s="147" t="n"/>
      <c r="H15" s="147" t="n"/>
      <c r="I15" s="147" t="n"/>
      <c r="J15" s="148" t="n"/>
      <c r="K15" s="148" t="n"/>
      <c r="L15" s="148" t="n"/>
      <c r="M15" s="148" t="n"/>
      <c r="N15" s="137" t="n">
        <v>147308685.04</v>
      </c>
      <c r="O15" s="137" t="n"/>
      <c r="P15" s="137" t="n">
        <v>147308685.04</v>
      </c>
      <c r="Q15" s="137" t="n"/>
      <c r="R15" s="137" t="n"/>
      <c r="S15" s="137" t="n"/>
      <c r="T15" s="137" t="n"/>
      <c r="U15" s="148" t="n"/>
      <c r="V15" s="148" t="n"/>
      <c r="W15" s="153" t="n"/>
      <c r="Y15" s="149" t="n"/>
      <c r="Z15" s="149" t="n"/>
      <c r="AA15" s="149" t="n"/>
      <c r="AB15" s="150" t="n">
        <v>147308685.04</v>
      </c>
      <c r="AC15" s="148" t="n"/>
      <c r="AD15" s="148" t="n"/>
      <c r="AE15" s="148" t="n"/>
      <c r="AF15" s="148" t="n"/>
      <c r="AG15" s="148" t="n"/>
      <c r="AH15" s="148" t="n"/>
      <c r="AI15" s="148" t="n"/>
      <c r="AJ15" s="148" t="n"/>
      <c r="AK15" s="148" t="n"/>
      <c r="AL15" s="148" t="n"/>
      <c r="AM15" s="148" t="n"/>
      <c r="AN15" s="148" t="n"/>
      <c r="AO15" s="148" t="n"/>
      <c r="AP15" s="148" t="n"/>
      <c r="AQ15" s="153" t="n"/>
      <c r="AR15" s="152" t="n"/>
      <c r="AT15" s="149" t="n"/>
    </row>
    <row customFormat="true" customHeight="true" ht="15.75" outlineLevel="0" r="16" s="145">
      <c r="A16" s="147" t="n"/>
      <c r="B16" s="147" t="n"/>
      <c r="C16" s="147" t="n"/>
      <c r="D16" s="147" t="s">
        <v>75</v>
      </c>
      <c r="E16" s="147" t="n"/>
      <c r="F16" s="147" t="n"/>
      <c r="G16" s="147" t="n"/>
      <c r="H16" s="147" t="n"/>
      <c r="I16" s="147" t="n"/>
      <c r="J16" s="148" t="n"/>
      <c r="K16" s="148" t="n"/>
      <c r="L16" s="148" t="n"/>
      <c r="M16" s="148" t="n"/>
      <c r="N16" s="137" t="n">
        <f aca="false" ca="false" dt2D="false" dtr="false" t="normal">4547441.6-4547441.6</f>
        <v>0</v>
      </c>
      <c r="O16" s="137" t="n">
        <f aca="false" ca="false" dt2D="false" dtr="false" t="normal">4547441.6-4547441.6</f>
        <v>0</v>
      </c>
      <c r="P16" s="137" t="n">
        <f aca="false" ca="false" dt2D="false" dtr="false" t="normal">4547441.6-4547441.6</f>
        <v>0</v>
      </c>
      <c r="Q16" s="137" t="n">
        <f aca="false" ca="false" dt2D="false" dtr="false" t="normal">4547441.6-4547441.6</f>
        <v>0</v>
      </c>
      <c r="R16" s="137" t="n">
        <f aca="false" ca="false" dt2D="false" dtr="false" t="normal">4547441.6-4547441.6</f>
        <v>0</v>
      </c>
      <c r="S16" s="137" t="n">
        <f aca="false" ca="false" dt2D="false" dtr="false" t="normal">4547441.6-4547441.6</f>
        <v>0</v>
      </c>
      <c r="T16" s="137" t="n"/>
      <c r="U16" s="148" t="n"/>
      <c r="V16" s="148" t="n"/>
      <c r="W16" s="148" t="n"/>
      <c r="Y16" s="149" t="n"/>
      <c r="Z16" s="149" t="n"/>
      <c r="AA16" s="149" t="n"/>
      <c r="AB16" s="150" t="n">
        <f aca="false" ca="false" dt2D="false" dtr="false" t="normal">4547441.6-4547441.6</f>
        <v>0</v>
      </c>
      <c r="AC16" s="148" t="n"/>
      <c r="AD16" s="148" t="n"/>
      <c r="AE16" s="148" t="n"/>
      <c r="AF16" s="148" t="n"/>
      <c r="AG16" s="148" t="n"/>
      <c r="AH16" s="148" t="n"/>
      <c r="AI16" s="148" t="n"/>
      <c r="AJ16" s="148" t="n"/>
      <c r="AK16" s="148" t="n"/>
      <c r="AL16" s="148" t="n"/>
      <c r="AM16" s="148" t="n"/>
      <c r="AN16" s="148" t="n"/>
      <c r="AO16" s="148" t="n"/>
      <c r="AP16" s="148" t="n"/>
      <c r="AQ16" s="153" t="n"/>
      <c r="AR16" s="152" t="n"/>
      <c r="AT16" s="149" t="n"/>
    </row>
    <row customFormat="true" ht="15" outlineLevel="0" r="17" s="145">
      <c r="A17" s="147" t="n"/>
      <c r="B17" s="147" t="n"/>
      <c r="C17" s="147" t="n"/>
      <c r="D17" s="147" t="n"/>
      <c r="E17" s="147" t="n"/>
      <c r="F17" s="147" t="n"/>
      <c r="G17" s="147" t="n"/>
      <c r="H17" s="147" t="n"/>
      <c r="I17" s="147" t="n"/>
      <c r="J17" s="148" t="n"/>
      <c r="K17" s="148" t="n"/>
      <c r="L17" s="148" t="n"/>
      <c r="M17" s="148" t="n"/>
      <c r="N17" s="137" t="n">
        <f aca="false" ca="false" dt2D="false" dtr="false" t="normal">SUM(N18:N205)</f>
        <v>1693864333.2094567</v>
      </c>
      <c r="O17" s="137" t="n">
        <f aca="false" ca="false" dt2D="false" dtr="false" t="normal">SUM(O18:O205)</f>
        <v>0</v>
      </c>
      <c r="P17" s="137" t="n">
        <f aca="false" ca="false" dt2D="false" dtr="false" t="normal">SUM(P18:P205)</f>
        <v>395594295.3773492</v>
      </c>
      <c r="Q17" s="137" t="n">
        <f aca="false" ca="false" dt2D="false" dtr="false" t="normal">SUM(Q18:Q205)</f>
        <v>2000000</v>
      </c>
      <c r="R17" s="137" t="n">
        <f aca="false" ca="false" dt2D="false" dtr="false" t="normal">SUM(R18:R205)</f>
        <v>261070337.1034685</v>
      </c>
      <c r="S17" s="137" t="n">
        <f aca="false" ca="false" dt2D="false" dtr="false" t="normal">SUM(S18:S205)</f>
        <v>835237074.2210221</v>
      </c>
      <c r="T17" s="137" t="n">
        <f aca="false" ca="false" dt2D="false" dtr="false" t="normal">SUM(T18:T205)</f>
        <v>199962626.50761688</v>
      </c>
      <c r="U17" s="148" t="n"/>
      <c r="V17" s="148" t="n"/>
      <c r="W17" s="148" t="n"/>
      <c r="Y17" s="149" t="n"/>
      <c r="Z17" s="149" t="n"/>
      <c r="AA17" s="149" t="n"/>
      <c r="AB17" s="150" t="n">
        <f aca="false" ca="false" dt2D="false" dtr="false" t="normal">SUM(AB18:AB205)</f>
        <v>1693862786.949457</v>
      </c>
      <c r="AC17" s="148" t="n">
        <f aca="false" ca="false" dt2D="false" dtr="false" t="normal">SUM(AC18:AC205)</f>
        <v>261418719.91</v>
      </c>
      <c r="AD17" s="148" t="n">
        <f aca="false" ca="false" dt2D="false" dtr="false" t="normal">SUM(AD18:AD205)</f>
        <v>92211687.10999997</v>
      </c>
      <c r="AE17" s="148" t="n">
        <f aca="false" ca="false" dt2D="false" dtr="false" t="normal">SUM(AE18:AE205)</f>
        <v>91010822.59000003</v>
      </c>
      <c r="AF17" s="148" t="n">
        <f aca="false" ca="false" dt2D="false" dtr="false" t="normal">SUM(AF18:AF205)</f>
        <v>100780746.21000001</v>
      </c>
      <c r="AG17" s="148" t="n">
        <f aca="false" ca="false" dt2D="false" dtr="false" t="normal">SUM(AG18:AG205)</f>
        <v>20726332.382262</v>
      </c>
      <c r="AH17" s="148" t="n">
        <f aca="false" ca="false" dt2D="false" dtr="false" t="normal">SUM(AH18:AH205)</f>
        <v>0</v>
      </c>
      <c r="AI17" s="148" t="n">
        <f aca="false" ca="false" dt2D="false" dtr="false" t="normal">SUM(AI18:AI205)</f>
        <v>0</v>
      </c>
      <c r="AJ17" s="148" t="n">
        <f aca="false" ca="false" dt2D="false" dtr="false" t="normal">SUM(AJ18:AJ205)</f>
        <v>28694966.41</v>
      </c>
      <c r="AK17" s="148" t="n">
        <f aca="false" ca="false" dt2D="false" dtr="false" t="normal">SUM(AK18:AK205)</f>
        <v>417243389.468066</v>
      </c>
      <c r="AL17" s="148" t="n">
        <f aca="false" ca="false" dt2D="false" dtr="false" t="normal">SUM(AL18:AL205)</f>
        <v>79372152.85999998</v>
      </c>
      <c r="AM17" s="148" t="n">
        <f aca="false" ca="false" dt2D="false" dtr="false" t="normal">SUM(AM18:AM205)</f>
        <v>386032575.02000004</v>
      </c>
      <c r="AN17" s="148" t="n">
        <f aca="false" ca="false" dt2D="false" dtr="false" t="normal">SUM(AN18:AN205)</f>
        <v>162824150.39</v>
      </c>
      <c r="AO17" s="148" t="n">
        <f aca="false" ca="false" dt2D="false" dtr="false" t="normal">SUM(AO18:AO205)</f>
        <v>44622520.01096848</v>
      </c>
      <c r="AP17" s="148" t="n">
        <f aca="false" ca="false" dt2D="false" dtr="false" t="normal">SUM(AP18:AP205)</f>
        <v>3686982.528160488</v>
      </c>
      <c r="AQ17" s="148" t="n">
        <f aca="false" ca="false" dt2D="false" dtr="false" t="normal">SUM(AQ18:AQ205)</f>
        <v>5237742.060000001</v>
      </c>
      <c r="AR17" s="152" t="n"/>
      <c r="AT17" s="149" t="n"/>
    </row>
    <row outlineLevel="0" r="18">
      <c r="A18" s="154" t="n">
        <v>1</v>
      </c>
      <c r="B18" s="138" t="n">
        <v>1</v>
      </c>
      <c r="C18" s="138" t="s">
        <v>80</v>
      </c>
      <c r="D18" s="138" t="s">
        <v>81</v>
      </c>
      <c r="E18" s="139" t="n">
        <v>1981</v>
      </c>
      <c r="F18" s="139" t="n">
        <v>2011</v>
      </c>
      <c r="G18" s="139" t="s">
        <v>4</v>
      </c>
      <c r="H18" s="139" t="n">
        <v>5</v>
      </c>
      <c r="I18" s="139" t="n">
        <v>6</v>
      </c>
      <c r="J18" s="17" t="n">
        <v>5474.4</v>
      </c>
      <c r="K18" s="17" t="n">
        <v>4591</v>
      </c>
      <c r="L18" s="17" t="n">
        <v>74.8</v>
      </c>
      <c r="M18" s="140" t="n">
        <v>142</v>
      </c>
      <c r="N18" s="16" t="n">
        <f aca="false" ca="false" dt2D="false" dtr="false" t="normal">SUM(P18:T18)</f>
        <v>35047609.42999999</v>
      </c>
      <c r="O18" s="155" t="n"/>
      <c r="P18" s="17" t="n">
        <v>6584690.76946667</v>
      </c>
      <c r="Q18" s="17" t="n">
        <v>1000000</v>
      </c>
      <c r="R18" s="17" t="n">
        <v>2702980.26946667</v>
      </c>
      <c r="S18" s="17" t="n">
        <v>21119848.48</v>
      </c>
      <c r="T18" s="17" t="n">
        <v>3640089.91106665</v>
      </c>
      <c r="U18" s="17" t="n">
        <v>7690.7327580823</v>
      </c>
      <c r="V18" s="17" t="n">
        <v>7690.7327580823</v>
      </c>
      <c r="W18" s="21" t="n">
        <v>2022</v>
      </c>
      <c r="X18" s="1" t="n">
        <v>2359832.72</v>
      </c>
      <c r="Y18" s="3" t="n">
        <f aca="false" ca="false" dt2D="false" dtr="false" t="normal">+(K18*10+L18*20)*12*0.85</f>
        <v>483541.2</v>
      </c>
      <c r="Z18" s="3" t="n">
        <f aca="false" ca="false" dt2D="false" dtr="false" t="normal">+(K18*10+L18*20)*12*30</f>
        <v>17066160</v>
      </c>
      <c r="AB18" s="23" t="n">
        <f aca="false" ca="true" dt2D="false" dtr="false" t="normal">SUBTOTAL(9, AC18:AQ18)</f>
        <v>35047609.43</v>
      </c>
      <c r="AC18" s="17" t="n">
        <v>11937105.2</v>
      </c>
      <c r="AD18" s="17" t="n">
        <v>7031659.74</v>
      </c>
      <c r="AE18" s="17" t="n"/>
      <c r="AF18" s="17" t="n">
        <v>2917316.85</v>
      </c>
      <c r="AG18" s="17" t="n">
        <v>0</v>
      </c>
      <c r="AH18" s="17" t="n"/>
      <c r="AI18" s="17" t="n"/>
      <c r="AJ18" s="17" t="n">
        <v>0</v>
      </c>
      <c r="AK18" s="17" t="n">
        <v>4693934.4</v>
      </c>
      <c r="AL18" s="17" t="n">
        <v>8467593.24</v>
      </c>
      <c r="AM18" s="17" t="n">
        <v>0</v>
      </c>
      <c r="AN18" s="17" t="n">
        <v>0</v>
      </c>
      <c r="AO18" s="17" t="n"/>
      <c r="AP18" s="18" t="n"/>
      <c r="AQ18" s="156" t="n">
        <v>0</v>
      </c>
    </row>
    <row outlineLevel="0" r="19">
      <c r="A19" s="154" t="n">
        <f aca="false" ca="false" dt2D="false" dtr="false" t="normal">+A18+1</f>
        <v>2</v>
      </c>
      <c r="B19" s="138" t="n">
        <f aca="false" ca="false" dt2D="false" dtr="false" t="normal">+B18+1</f>
        <v>2</v>
      </c>
      <c r="C19" s="138" t="s">
        <v>80</v>
      </c>
      <c r="D19" s="138" t="s">
        <v>84</v>
      </c>
      <c r="E19" s="139" t="n">
        <v>1982</v>
      </c>
      <c r="F19" s="139" t="n">
        <v>2011</v>
      </c>
      <c r="G19" s="139" t="s">
        <v>4</v>
      </c>
      <c r="H19" s="139" t="n">
        <v>5</v>
      </c>
      <c r="I19" s="139" t="n">
        <v>6</v>
      </c>
      <c r="J19" s="17" t="n">
        <v>4657</v>
      </c>
      <c r="K19" s="17" t="n">
        <v>4657</v>
      </c>
      <c r="L19" s="17" t="n">
        <v>0</v>
      </c>
      <c r="M19" s="140" t="n">
        <v>172</v>
      </c>
      <c r="N19" s="16" t="n">
        <f aca="false" ca="false" dt2D="false" dtr="false" t="normal">SUM(P19:T19)</f>
        <v>33206648.36</v>
      </c>
      <c r="O19" s="155" t="n"/>
      <c r="P19" s="17" t="n">
        <v>4521209.81</v>
      </c>
      <c r="Q19" s="17" t="n">
        <v>1000000</v>
      </c>
      <c r="R19" s="17" t="n">
        <v>2932021.84</v>
      </c>
      <c r="S19" s="17" t="n">
        <v>16765200</v>
      </c>
      <c r="T19" s="17" t="n">
        <v>7988216.71</v>
      </c>
      <c r="U19" s="17" t="n">
        <v>7330.55647412497</v>
      </c>
      <c r="V19" s="17" t="n">
        <v>7330.55647412497</v>
      </c>
      <c r="W19" s="21" t="n">
        <v>2022</v>
      </c>
      <c r="X19" s="1" t="n">
        <v>2457007.84</v>
      </c>
      <c r="Y19" s="3" t="n">
        <f aca="false" ca="false" dt2D="false" dtr="false" t="normal">+(K19*10+L19*20)*12*0.85</f>
        <v>475014</v>
      </c>
      <c r="Z19" s="3" t="n">
        <f aca="false" ca="false" dt2D="false" dtr="false" t="normal">+(K19*10+L19*20)*12*30</f>
        <v>16765200</v>
      </c>
      <c r="AB19" s="23" t="n">
        <f aca="false" ca="true" dt2D="false" dtr="false" t="normal">SUBTOTAL(9, AC19:AQ19)</f>
        <v>33206648.360000003</v>
      </c>
      <c r="AC19" s="17" t="n">
        <v>10136488.12</v>
      </c>
      <c r="AD19" s="17" t="n">
        <v>6838744.34</v>
      </c>
      <c r="AE19" s="17" t="n"/>
      <c r="AF19" s="17" t="n">
        <v>2920060.1</v>
      </c>
      <c r="AG19" s="17" t="n">
        <v>0</v>
      </c>
      <c r="AH19" s="17" t="n"/>
      <c r="AI19" s="17" t="n"/>
      <c r="AJ19" s="17" t="n">
        <v>0</v>
      </c>
      <c r="AK19" s="17" t="n">
        <v>4839492</v>
      </c>
      <c r="AL19" s="17" t="n">
        <v>8471863.8</v>
      </c>
      <c r="AM19" s="17" t="n">
        <v>0</v>
      </c>
      <c r="AN19" s="17" t="n">
        <v>0</v>
      </c>
      <c r="AO19" s="17" t="n"/>
      <c r="AP19" s="18" t="n"/>
      <c r="AQ19" s="156" t="n">
        <v>0</v>
      </c>
    </row>
    <row outlineLevel="0" r="20">
      <c r="A20" s="154" t="n">
        <f aca="false" ca="false" dt2D="false" dtr="false" t="normal">+A19+1</f>
        <v>3</v>
      </c>
      <c r="B20" s="138" t="n">
        <f aca="false" ca="false" dt2D="false" dtr="false" t="normal">+B19+1</f>
        <v>3</v>
      </c>
      <c r="C20" s="138" t="s">
        <v>80</v>
      </c>
      <c r="D20" s="138" t="s">
        <v>86</v>
      </c>
      <c r="E20" s="139" t="n">
        <v>1983</v>
      </c>
      <c r="F20" s="139" t="n">
        <v>2011</v>
      </c>
      <c r="G20" s="139" t="s">
        <v>4</v>
      </c>
      <c r="H20" s="139" t="n">
        <v>5</v>
      </c>
      <c r="I20" s="139" t="n">
        <v>4</v>
      </c>
      <c r="J20" s="17" t="n">
        <v>3725.7</v>
      </c>
      <c r="K20" s="17" t="n">
        <v>3170.6</v>
      </c>
      <c r="L20" s="17" t="n">
        <v>0</v>
      </c>
      <c r="M20" s="140" t="n">
        <v>120</v>
      </c>
      <c r="N20" s="16" t="n">
        <f aca="false" ca="false" dt2D="false" dtr="false" t="normal">SUM(P20:T20)</f>
        <v>21470844.819999997</v>
      </c>
      <c r="O20" s="155" t="n"/>
      <c r="P20" s="18" t="n">
        <v>4188632.37</v>
      </c>
      <c r="Q20" s="18" t="n">
        <v>0</v>
      </c>
      <c r="R20" s="18" t="n">
        <v>1877886.64</v>
      </c>
      <c r="S20" s="18" t="n">
        <v>11414160</v>
      </c>
      <c r="T20" s="17" t="n">
        <v>3990165.81</v>
      </c>
      <c r="U20" s="18" t="n">
        <v>6877.08374022438</v>
      </c>
      <c r="V20" s="18" t="n">
        <v>6877.08374022438</v>
      </c>
      <c r="W20" s="21" t="n">
        <v>2022</v>
      </c>
      <c r="X20" s="1" t="n">
        <v>1554485.44</v>
      </c>
      <c r="Y20" s="3" t="n">
        <f aca="false" ca="false" dt2D="false" dtr="false" t="normal">+(K20*10+L20*20)*12*0.85</f>
        <v>323401.2</v>
      </c>
      <c r="Z20" s="3" t="n">
        <f aca="false" ca="false" dt2D="false" dtr="false" t="normal">+(K20*10+L20*20)*12*30</f>
        <v>11414160</v>
      </c>
      <c r="AB20" s="23" t="n">
        <f aca="false" ca="true" dt2D="false" dtr="false" t="normal">SUBTOTAL(9, AC20:AQ20)</f>
        <v>21470844.82</v>
      </c>
      <c r="AC20" s="17" t="n">
        <v>8693551.24</v>
      </c>
      <c r="AD20" s="17" t="n">
        <v>2539728.97</v>
      </c>
      <c r="AE20" s="17" t="n"/>
      <c r="AF20" s="17" t="n">
        <v>1744090.12</v>
      </c>
      <c r="AG20" s="17" t="n">
        <v>0</v>
      </c>
      <c r="AH20" s="17" t="n"/>
      <c r="AI20" s="17" t="n"/>
      <c r="AJ20" s="17" t="n">
        <v>0</v>
      </c>
      <c r="AK20" s="17" t="n">
        <v>2720365.2</v>
      </c>
      <c r="AL20" s="17" t="n">
        <v>5773109.29</v>
      </c>
      <c r="AM20" s="17" t="n">
        <v>0</v>
      </c>
      <c r="AN20" s="17" t="n">
        <v>0</v>
      </c>
      <c r="AO20" s="17" t="n"/>
      <c r="AP20" s="18" t="n"/>
      <c r="AQ20" s="156" t="n">
        <v>0</v>
      </c>
    </row>
    <row customHeight="true" ht="15" outlineLevel="0" r="21">
      <c r="A21" s="154" t="n">
        <f aca="false" ca="false" dt2D="false" dtr="false" t="normal">+A20+1</f>
        <v>4</v>
      </c>
      <c r="B21" s="138" t="n">
        <f aca="false" ca="false" dt2D="false" dtr="false" t="normal">+B20+1</f>
        <v>4</v>
      </c>
      <c r="C21" s="138" t="s">
        <v>88</v>
      </c>
      <c r="D21" s="138" t="s">
        <v>89</v>
      </c>
      <c r="E21" s="139" t="n">
        <v>1995</v>
      </c>
      <c r="F21" s="139" t="n">
        <v>2013</v>
      </c>
      <c r="G21" s="139" t="s">
        <v>4</v>
      </c>
      <c r="H21" s="139" t="n">
        <v>3</v>
      </c>
      <c r="I21" s="139" t="n">
        <v>4</v>
      </c>
      <c r="J21" s="17" t="n">
        <v>2740.5</v>
      </c>
      <c r="K21" s="17" t="n">
        <v>1849.2</v>
      </c>
      <c r="L21" s="17" t="n">
        <v>0</v>
      </c>
      <c r="M21" s="140" t="n">
        <v>67</v>
      </c>
      <c r="N21" s="16" t="n">
        <f aca="false" ca="false" dt2D="false" dtr="false" t="normal">SUM(P21:T21)</f>
        <v>6419657.159999999</v>
      </c>
      <c r="O21" s="17" t="n"/>
      <c r="P21" s="18" t="n"/>
      <c r="Q21" s="18" t="n"/>
      <c r="R21" s="18" t="n">
        <v>1097135.09</v>
      </c>
      <c r="S21" s="18" t="n">
        <v>5320975.81</v>
      </c>
      <c r="T21" s="157" t="n">
        <v>1546.26</v>
      </c>
      <c r="U21" s="18" t="n">
        <v>3614.27744914558</v>
      </c>
      <c r="V21" s="18" t="n">
        <v>3614.27744914558</v>
      </c>
      <c r="W21" s="21" t="n">
        <v>2022</v>
      </c>
      <c r="X21" s="103" t="n">
        <v>908516.69</v>
      </c>
      <c r="Y21" s="3" t="n">
        <f aca="false" ca="false" dt2D="false" dtr="false" t="normal">+(K21*10+L21*20)*12*0.85</f>
        <v>188618.4</v>
      </c>
      <c r="Z21" s="3" t="n">
        <f aca="false" ca="false" dt2D="false" dtr="false" t="normal">+(K21*10+L21*20)*12*30</f>
        <v>6657120</v>
      </c>
      <c r="AB21" s="23" t="n">
        <f aca="false" ca="true" dt2D="false" dtr="false" t="normal">SUBTOTAL(9, AC21:AQ21)</f>
        <v>6418110.9</v>
      </c>
      <c r="AC21" s="17" t="n">
        <v>0</v>
      </c>
      <c r="AD21" s="17" t="n">
        <v>0</v>
      </c>
      <c r="AE21" s="17" t="n">
        <v>0</v>
      </c>
      <c r="AF21" s="17" t="n">
        <v>0</v>
      </c>
      <c r="AG21" s="17" t="n">
        <v>0</v>
      </c>
      <c r="AH21" s="17" t="n"/>
      <c r="AI21" s="17" t="n"/>
      <c r="AJ21" s="17" t="n">
        <v>0</v>
      </c>
      <c r="AK21" s="17" t="n">
        <v>6340797.94</v>
      </c>
      <c r="AL21" s="17" t="n">
        <v>0</v>
      </c>
      <c r="AM21" s="17" t="n">
        <v>0</v>
      </c>
      <c r="AN21" s="17" t="n">
        <v>0</v>
      </c>
      <c r="AO21" s="17" t="n"/>
      <c r="AP21" s="18" t="n"/>
      <c r="AQ21" s="156" t="n">
        <f aca="false" ca="false" dt2D="false" dtr="false" t="normal">77312.96</f>
        <v>77312.96</v>
      </c>
    </row>
    <row customHeight="true" ht="15" outlineLevel="0" r="22">
      <c r="A22" s="154" t="n">
        <f aca="false" ca="false" dt2D="false" dtr="false" t="normal">+A21+1</f>
        <v>5</v>
      </c>
      <c r="B22" s="138" t="n">
        <f aca="false" ca="false" dt2D="false" dtr="false" t="normal">+B21+1</f>
        <v>5</v>
      </c>
      <c r="C22" s="138" t="s">
        <v>88</v>
      </c>
      <c r="D22" s="138" t="s">
        <v>92</v>
      </c>
      <c r="E22" s="139" t="n">
        <v>1994</v>
      </c>
      <c r="F22" s="139" t="n">
        <v>2013</v>
      </c>
      <c r="G22" s="139" t="s">
        <v>4</v>
      </c>
      <c r="H22" s="139" t="n">
        <v>3</v>
      </c>
      <c r="I22" s="139" t="n">
        <v>2</v>
      </c>
      <c r="J22" s="17" t="n">
        <v>1781.6</v>
      </c>
      <c r="K22" s="17" t="n">
        <v>1210.6</v>
      </c>
      <c r="L22" s="17" t="n">
        <v>0</v>
      </c>
      <c r="M22" s="140" t="n">
        <v>67</v>
      </c>
      <c r="N22" s="16" t="n">
        <f aca="false" ca="false" dt2D="false" dtr="false" t="normal">SUM(P22:T22)</f>
        <v>1311120.1400000001</v>
      </c>
      <c r="O22" s="17" t="n"/>
      <c r="P22" s="18" t="n"/>
      <c r="Q22" s="18" t="n"/>
      <c r="R22" s="18" t="n">
        <v>428000.15</v>
      </c>
      <c r="S22" s="18" t="n">
        <v>883119.99</v>
      </c>
      <c r="T22" s="157" t="n">
        <v>0</v>
      </c>
      <c r="U22" s="18" t="n">
        <v>1140.34017456659</v>
      </c>
      <c r="V22" s="18" t="n">
        <v>1140.34017456659</v>
      </c>
      <c r="W22" s="21" t="n">
        <v>2022</v>
      </c>
      <c r="X22" s="103" t="n">
        <v>581248.33</v>
      </c>
      <c r="Y22" s="3" t="n">
        <f aca="false" ca="false" dt2D="false" dtr="false" t="normal">+(K22*10+L22*20)*12*0.85</f>
        <v>123481.2</v>
      </c>
      <c r="Z22" s="3" t="n">
        <f aca="false" ca="false" dt2D="false" dtr="false" t="normal">+(K22*10+L22*20)*12*30</f>
        <v>4358160</v>
      </c>
      <c r="AB22" s="23" t="n">
        <f aca="false" ca="true" dt2D="false" dtr="false" t="normal">SUBTOTAL(9, AC22:AQ22)</f>
        <v>1311120.14</v>
      </c>
      <c r="AC22" s="17" t="n">
        <v>1272491.4</v>
      </c>
      <c r="AD22" s="17" t="n">
        <v>0</v>
      </c>
      <c r="AE22" s="17" t="n">
        <v>0</v>
      </c>
      <c r="AF22" s="17" t="n">
        <v>0</v>
      </c>
      <c r="AG22" s="17" t="n">
        <v>0</v>
      </c>
      <c r="AH22" s="17" t="n"/>
      <c r="AI22" s="17" t="n"/>
      <c r="AJ22" s="17" t="n">
        <v>0</v>
      </c>
      <c r="AK22" s="17" t="n">
        <v>0</v>
      </c>
      <c r="AL22" s="17" t="n">
        <v>0</v>
      </c>
      <c r="AM22" s="17" t="n">
        <v>0</v>
      </c>
      <c r="AN22" s="17" t="n">
        <v>0</v>
      </c>
      <c r="AO22" s="17" t="n"/>
      <c r="AP22" s="18" t="n"/>
      <c r="AQ22" s="156" t="n">
        <v>38628.74</v>
      </c>
      <c r="AR22" s="3" t="n">
        <f aca="false" ca="false" dt2D="false" dtr="false" t="normal">N22-AB22</f>
        <v>0</v>
      </c>
    </row>
    <row customHeight="true" ht="15" outlineLevel="0" r="23">
      <c r="A23" s="154" t="n">
        <f aca="false" ca="false" dt2D="false" dtr="false" t="normal">+A22+1</f>
        <v>6</v>
      </c>
      <c r="B23" s="138" t="n">
        <f aca="false" ca="false" dt2D="false" dtr="false" t="normal">+B22+1</f>
        <v>6</v>
      </c>
      <c r="C23" s="138" t="s">
        <v>88</v>
      </c>
      <c r="D23" s="138" t="s">
        <v>95</v>
      </c>
      <c r="E23" s="139" t="n">
        <v>1993</v>
      </c>
      <c r="F23" s="139" t="n">
        <v>2013</v>
      </c>
      <c r="G23" s="139" t="s">
        <v>4</v>
      </c>
      <c r="H23" s="139" t="n">
        <v>2</v>
      </c>
      <c r="I23" s="139" t="n">
        <v>0</v>
      </c>
      <c r="J23" s="17" t="n">
        <v>868.3</v>
      </c>
      <c r="K23" s="17" t="n">
        <v>868.3</v>
      </c>
      <c r="L23" s="17" t="n">
        <v>0</v>
      </c>
      <c r="M23" s="140" t="n">
        <v>31</v>
      </c>
      <c r="N23" s="16" t="n">
        <f aca="false" ca="false" dt2D="false" dtr="false" t="normal">SUM(P23:T23)</f>
        <v>2472986.52</v>
      </c>
      <c r="O23" s="17" t="n"/>
      <c r="P23" s="19" t="n"/>
      <c r="Q23" s="18" t="n"/>
      <c r="R23" s="18" t="n">
        <v>505278.46</v>
      </c>
      <c r="S23" s="18" t="n">
        <v>1967708.06</v>
      </c>
      <c r="T23" s="17" t="n">
        <v>0</v>
      </c>
      <c r="U23" s="18" t="n">
        <v>2848.07845214788</v>
      </c>
      <c r="V23" s="18" t="n">
        <v>2848.07845214788</v>
      </c>
      <c r="W23" s="21" t="n">
        <v>2022</v>
      </c>
      <c r="X23" s="103" t="n">
        <v>416711.86</v>
      </c>
      <c r="Y23" s="3" t="n">
        <f aca="false" ca="false" dt2D="false" dtr="false" t="normal">+(K23*10+L23*20)*12*0.85</f>
        <v>88566.59999999999</v>
      </c>
      <c r="Z23" s="3" t="n">
        <f aca="false" ca="false" dt2D="false" dtr="false" t="normal">+(K23*10+L23*20)*12*30</f>
        <v>3125880</v>
      </c>
      <c r="AB23" s="23" t="n">
        <f aca="false" ca="true" dt2D="false" dtr="false" t="normal">SUBTOTAL(9, AC23:AQ23)</f>
        <v>2472986.52</v>
      </c>
      <c r="AC23" s="17" t="n">
        <v>2428165.69</v>
      </c>
      <c r="AD23" s="17" t="n">
        <v>0</v>
      </c>
      <c r="AE23" s="17" t="n">
        <v>0</v>
      </c>
      <c r="AF23" s="17" t="n">
        <v>0</v>
      </c>
      <c r="AG23" s="17" t="n">
        <v>0</v>
      </c>
      <c r="AH23" s="17" t="n"/>
      <c r="AI23" s="17" t="n"/>
      <c r="AJ23" s="17" t="n">
        <v>0</v>
      </c>
      <c r="AK23" s="17" t="n">
        <v>0</v>
      </c>
      <c r="AL23" s="17" t="n">
        <v>0</v>
      </c>
      <c r="AM23" s="17" t="n">
        <v>0</v>
      </c>
      <c r="AN23" s="17" t="n">
        <v>0</v>
      </c>
      <c r="AO23" s="17" t="n"/>
      <c r="AP23" s="18" t="n"/>
      <c r="AQ23" s="156" t="n">
        <f aca="false" ca="false" dt2D="false" dtr="false" t="normal">44820.83</f>
        <v>44820.83</v>
      </c>
      <c r="AR23" s="3" t="n">
        <f aca="false" ca="false" dt2D="false" dtr="false" t="normal">N23-AB23</f>
        <v>0</v>
      </c>
    </row>
    <row customHeight="true" ht="15" outlineLevel="0" r="24">
      <c r="A24" s="154" t="n">
        <f aca="false" ca="false" dt2D="false" dtr="false" t="normal">+A23+1</f>
        <v>7</v>
      </c>
      <c r="B24" s="138" t="n">
        <f aca="false" ca="false" dt2D="false" dtr="false" t="normal">+B23+1</f>
        <v>7</v>
      </c>
      <c r="C24" s="138" t="s">
        <v>97</v>
      </c>
      <c r="D24" s="138" t="s">
        <v>98</v>
      </c>
      <c r="E24" s="139" t="n">
        <v>1993</v>
      </c>
      <c r="F24" s="139" t="n">
        <v>2012</v>
      </c>
      <c r="G24" s="139" t="s">
        <v>4</v>
      </c>
      <c r="H24" s="139" t="n">
        <v>3</v>
      </c>
      <c r="I24" s="139" t="n">
        <v>1</v>
      </c>
      <c r="J24" s="17" t="n">
        <v>1090</v>
      </c>
      <c r="K24" s="17" t="n">
        <v>942.47</v>
      </c>
      <c r="L24" s="17" t="n">
        <v>0</v>
      </c>
      <c r="M24" s="140" t="n">
        <v>33</v>
      </c>
      <c r="N24" s="16" t="n">
        <f aca="false" ca="false" dt2D="false" dtr="false" t="normal">SUM(P24:T24)</f>
        <v>105901.14</v>
      </c>
      <c r="O24" s="155" t="n"/>
      <c r="P24" s="18" t="n"/>
      <c r="Q24" s="18" t="n"/>
      <c r="R24" s="18" t="n">
        <v>105901.14</v>
      </c>
      <c r="S24" s="18" t="n">
        <v>0</v>
      </c>
      <c r="T24" s="17" t="n">
        <v>0</v>
      </c>
      <c r="U24" s="18" t="n">
        <v>119.980757665483</v>
      </c>
      <c r="V24" s="18" t="n">
        <v>119.980757665483</v>
      </c>
      <c r="W24" s="21" t="n">
        <v>2022</v>
      </c>
      <c r="X24" s="1" t="n">
        <v>502001.62</v>
      </c>
      <c r="Y24" s="3" t="n">
        <f aca="false" ca="false" dt2D="false" dtr="false" t="normal">+(K24*10+L24*20)*12*0.85</f>
        <v>96131.94</v>
      </c>
      <c r="Z24" s="3" t="n">
        <f aca="false" ca="false" dt2D="false" dtr="false" t="normal">+(K24*10+L24*20)*12*30</f>
        <v>3392892.0000000005</v>
      </c>
      <c r="AB24" s="23" t="n">
        <f aca="false" ca="true" dt2D="false" dtr="false" t="normal">SUBTOTAL(9, AC24:AQ24)</f>
        <v>105901.14</v>
      </c>
      <c r="AC24" s="17" t="n">
        <v>0</v>
      </c>
      <c r="AD24" s="17" t="n">
        <v>0</v>
      </c>
      <c r="AE24" s="17" t="n"/>
      <c r="AF24" s="17" t="n">
        <v>104364.26</v>
      </c>
      <c r="AG24" s="17" t="n">
        <v>0</v>
      </c>
      <c r="AH24" s="17" t="n"/>
      <c r="AI24" s="17" t="n"/>
      <c r="AJ24" s="17" t="n">
        <v>0</v>
      </c>
      <c r="AK24" s="17" t="n">
        <v>0</v>
      </c>
      <c r="AL24" s="17" t="n">
        <v>0</v>
      </c>
      <c r="AM24" s="17" t="n">
        <v>0</v>
      </c>
      <c r="AN24" s="17" t="n">
        <v>0</v>
      </c>
      <c r="AO24" s="17" t="n"/>
      <c r="AP24" s="18" t="n"/>
      <c r="AQ24" s="156" t="n">
        <v>1536.88</v>
      </c>
      <c r="AR24" s="3" t="n">
        <f aca="false" ca="false" dt2D="false" dtr="false" t="normal">N24-AB24</f>
        <v>0</v>
      </c>
    </row>
    <row customHeight="true" ht="15" outlineLevel="0" r="25">
      <c r="A25" s="154" t="n">
        <f aca="false" ca="false" dt2D="false" dtr="false" t="normal">+A24+1</f>
        <v>8</v>
      </c>
      <c r="B25" s="138" t="n">
        <f aca="false" ca="false" dt2D="false" dtr="false" t="normal">+B24+1</f>
        <v>8</v>
      </c>
      <c r="C25" s="138" t="s">
        <v>97</v>
      </c>
      <c r="D25" s="138" t="s">
        <v>100</v>
      </c>
      <c r="E25" s="139" t="n">
        <v>1990</v>
      </c>
      <c r="F25" s="139" t="n">
        <v>1990</v>
      </c>
      <c r="G25" s="139" t="s">
        <v>4</v>
      </c>
      <c r="H25" s="139" t="n">
        <v>5</v>
      </c>
      <c r="I25" s="139" t="n">
        <v>6</v>
      </c>
      <c r="J25" s="17" t="n">
        <v>5208.7</v>
      </c>
      <c r="K25" s="17" t="n">
        <v>4621.34</v>
      </c>
      <c r="L25" s="17" t="n">
        <v>0</v>
      </c>
      <c r="M25" s="140" t="n">
        <v>157</v>
      </c>
      <c r="N25" s="16" t="n">
        <f aca="false" ca="false" dt2D="false" dtr="false" t="normal">SUM(P25:T25)</f>
        <v>5195773.5</v>
      </c>
      <c r="O25" s="17" t="n"/>
      <c r="P25" s="18" t="n"/>
      <c r="Q25" s="18" t="n"/>
      <c r="R25" s="18" t="n">
        <v>1998629.62</v>
      </c>
      <c r="S25" s="18" t="n">
        <v>3197143.88</v>
      </c>
      <c r="T25" s="17" t="n">
        <v>0</v>
      </c>
      <c r="U25" s="18" t="n">
        <v>1161.20292716748</v>
      </c>
      <c r="V25" s="18" t="n">
        <v>1161.20292716748</v>
      </c>
      <c r="W25" s="21" t="n">
        <v>2022</v>
      </c>
      <c r="X25" s="1" t="n">
        <v>2233749.27</v>
      </c>
      <c r="Y25" s="3" t="n">
        <f aca="false" ca="false" dt2D="false" dtr="false" t="normal">+(K25*10+L25*20)*12*0.85</f>
        <v>471376.68000000005</v>
      </c>
      <c r="Z25" s="3" t="n">
        <f aca="false" ca="false" dt2D="false" dtr="false" t="normal">+(K25*10+L25*20)*12*30</f>
        <v>16636824.000000002</v>
      </c>
      <c r="AB25" s="23" t="n">
        <f aca="false" ca="true" dt2D="false" dtr="false" t="normal">SUBTOTAL(9, AC25:AQ25)</f>
        <v>5195773.5</v>
      </c>
      <c r="AC25" s="17" t="n">
        <v>0</v>
      </c>
      <c r="AD25" s="17" t="n">
        <v>0</v>
      </c>
      <c r="AE25" s="17" t="n">
        <v>0</v>
      </c>
      <c r="AF25" s="17" t="n">
        <v>0</v>
      </c>
      <c r="AG25" s="17" t="n">
        <v>0</v>
      </c>
      <c r="AH25" s="17" t="n"/>
      <c r="AI25" s="17" t="n"/>
      <c r="AJ25" s="17" t="n">
        <v>0</v>
      </c>
      <c r="AK25" s="17" t="n">
        <v>0</v>
      </c>
      <c r="AL25" s="17" t="n">
        <v>5195773.5</v>
      </c>
      <c r="AM25" s="17" t="n"/>
      <c r="AN25" s="17" t="n"/>
      <c r="AO25" s="17" t="n"/>
      <c r="AP25" s="18" t="n"/>
      <c r="AQ25" s="24" t="n"/>
      <c r="AR25" s="3" t="n"/>
    </row>
    <row customHeight="true" ht="15" outlineLevel="0" r="26">
      <c r="A26" s="154" t="n">
        <f aca="false" ca="false" dt2D="false" dtr="false" t="normal">+A25+1</f>
        <v>9</v>
      </c>
      <c r="B26" s="138" t="n">
        <f aca="false" ca="false" dt2D="false" dtr="false" t="normal">+B25+1</f>
        <v>9</v>
      </c>
      <c r="C26" s="138" t="s">
        <v>97</v>
      </c>
      <c r="D26" s="138" t="s">
        <v>102</v>
      </c>
      <c r="E26" s="139" t="n">
        <v>1985</v>
      </c>
      <c r="F26" s="139" t="n">
        <v>1985</v>
      </c>
      <c r="G26" s="139" t="s">
        <v>4</v>
      </c>
      <c r="H26" s="139" t="n">
        <v>4</v>
      </c>
      <c r="I26" s="139" t="n">
        <v>2</v>
      </c>
      <c r="J26" s="17" t="n">
        <v>1511.1</v>
      </c>
      <c r="K26" s="17" t="n">
        <v>1366.85</v>
      </c>
      <c r="L26" s="17" t="n">
        <v>0</v>
      </c>
      <c r="M26" s="140" t="n">
        <v>62</v>
      </c>
      <c r="N26" s="16" t="n">
        <f aca="false" ca="false" dt2D="false" dtr="false" t="normal">SUM(P26:T26)</f>
        <v>3656105.716722621</v>
      </c>
      <c r="O26" s="17" t="n"/>
      <c r="P26" s="18" t="n"/>
      <c r="Q26" s="18" t="n"/>
      <c r="R26" s="18" t="n">
        <v>399040.09</v>
      </c>
      <c r="S26" s="18" t="n">
        <v>3206331.25923534</v>
      </c>
      <c r="T26" s="17" t="n">
        <v>50734.3674872811</v>
      </c>
      <c r="U26" s="18" t="n">
        <v>2704.85448237578</v>
      </c>
      <c r="V26" s="18" t="n">
        <v>2704.85448237578</v>
      </c>
      <c r="W26" s="21" t="n">
        <v>2022</v>
      </c>
      <c r="X26" s="1" t="n">
        <v>593500.14</v>
      </c>
      <c r="Y26" s="3" t="n">
        <f aca="false" ca="false" dt2D="false" dtr="false" t="normal">+(K26*10+L26*20)*12*0.85</f>
        <v>139418.69999999998</v>
      </c>
      <c r="Z26" s="3" t="n">
        <f aca="false" ca="false" dt2D="false" dtr="false" t="normal">+(K26*10+L26*20)*12*30</f>
        <v>4920660</v>
      </c>
      <c r="AB26" s="23" t="n">
        <f aca="false" ca="true" dt2D="false" dtr="false" t="normal">SUBTOTAL(9, AC26:AQ26)</f>
        <v>3656105.716722621</v>
      </c>
      <c r="AC26" s="17" t="n">
        <v>0</v>
      </c>
      <c r="AD26" s="17" t="n">
        <v>0</v>
      </c>
      <c r="AE26" s="17" t="n">
        <v>0</v>
      </c>
      <c r="AF26" s="17" t="n">
        <v>0</v>
      </c>
      <c r="AG26" s="17" t="n">
        <v>0</v>
      </c>
      <c r="AH26" s="17" t="n"/>
      <c r="AI26" s="17" t="n"/>
      <c r="AJ26" s="17" t="n">
        <v>0</v>
      </c>
      <c r="AK26" s="17" t="n">
        <v>0</v>
      </c>
      <c r="AL26" s="17" t="n">
        <v>2388753.41</v>
      </c>
      <c r="AM26" s="17" t="n"/>
      <c r="AN26" s="17" t="n">
        <v>815005.58</v>
      </c>
      <c r="AO26" s="17" t="n">
        <v>392917.040656928</v>
      </c>
      <c r="AP26" s="18" t="n">
        <v>18562.6260656928</v>
      </c>
      <c r="AQ26" s="156" t="n">
        <f aca="false" ca="false" dt2D="false" dtr="false" t="normal">12130.9+28736.16</f>
        <v>40867.06</v>
      </c>
      <c r="AR26" s="3" t="n">
        <f aca="false" ca="false" dt2D="false" dtr="false" t="normal">N26-AB26</f>
        <v>0</v>
      </c>
    </row>
    <row customHeight="true" ht="15" outlineLevel="0" r="27">
      <c r="A27" s="154" t="n">
        <f aca="false" ca="false" dt2D="false" dtr="false" t="normal">+A26+1</f>
        <v>10</v>
      </c>
      <c r="B27" s="138" t="n">
        <f aca="false" ca="false" dt2D="false" dtr="false" t="normal">+B26+1</f>
        <v>10</v>
      </c>
      <c r="C27" s="138" t="s">
        <v>104</v>
      </c>
      <c r="D27" s="138" t="s">
        <v>105</v>
      </c>
      <c r="E27" s="139" t="n">
        <v>1991</v>
      </c>
      <c r="F27" s="139" t="n">
        <v>1992</v>
      </c>
      <c r="G27" s="139" t="s">
        <v>4</v>
      </c>
      <c r="H27" s="139" t="n">
        <v>5</v>
      </c>
      <c r="I27" s="139" t="n">
        <v>6</v>
      </c>
      <c r="J27" s="17" t="n">
        <v>5213.3</v>
      </c>
      <c r="K27" s="17" t="n">
        <v>4504.4</v>
      </c>
      <c r="L27" s="17" t="n">
        <v>150</v>
      </c>
      <c r="M27" s="140" t="n">
        <v>215</v>
      </c>
      <c r="N27" s="16" t="n">
        <f aca="false" ca="false" dt2D="false" dtr="false" t="normal">SUM(P27:T27)</f>
        <v>3272026.074273</v>
      </c>
      <c r="O27" s="17" t="n"/>
      <c r="P27" s="18" t="n"/>
      <c r="Q27" s="18" t="n"/>
      <c r="R27" s="18" t="n">
        <v>458250.55</v>
      </c>
      <c r="S27" s="18" t="n">
        <v>2813775.524273</v>
      </c>
      <c r="T27" s="17" t="n">
        <v>0</v>
      </c>
      <c r="U27" s="18" t="n">
        <v>797.542439231479</v>
      </c>
      <c r="V27" s="18" t="n">
        <v>797.542439231479</v>
      </c>
      <c r="W27" s="21" t="n">
        <v>2022</v>
      </c>
      <c r="X27" s="1" t="n">
        <f aca="false" ca="false" dt2D="false" dtr="false" t="normal">2134189.71-1374751.67</f>
        <v>759438.04</v>
      </c>
      <c r="Y27" s="3" t="n">
        <f aca="false" ca="false" dt2D="false" dtr="false" t="normal">+(K27*10+L27*20)*12*0.85</f>
        <v>490048.8</v>
      </c>
      <c r="Z27" s="3" t="n">
        <f aca="false" ca="false" dt2D="false" dtr="false" t="normal">+(K27*10+L27*20)*12*30-2680584.06</f>
        <v>14615255.94</v>
      </c>
      <c r="AB27" s="23" t="n">
        <f aca="false" ca="true" dt2D="false" dtr="false" t="normal">SUBTOTAL(9, AC27:AQ27)</f>
        <v>3272026.074273002</v>
      </c>
      <c r="AC27" s="17" t="n"/>
      <c r="AD27" s="17" t="n"/>
      <c r="AE27" s="17" t="n">
        <v>878254.94</v>
      </c>
      <c r="AF27" s="17" t="n"/>
      <c r="AG27" s="17" t="n">
        <v>0</v>
      </c>
      <c r="AH27" s="17" t="n"/>
      <c r="AI27" s="17" t="n"/>
      <c r="AJ27" s="17" t="n">
        <v>0</v>
      </c>
      <c r="AK27" s="17" t="n">
        <v>0</v>
      </c>
      <c r="AL27" s="17" t="n">
        <v>0</v>
      </c>
      <c r="AM27" s="17" t="n">
        <v>0</v>
      </c>
      <c r="AN27" s="17" t="n">
        <v>0</v>
      </c>
      <c r="AO27" s="17" t="n">
        <f aca="false" ca="false" dt2D="false" dtr="false" t="normal">2191683.42279663-27761</f>
        <v>2163922.42279663</v>
      </c>
      <c r="AP27" s="18" t="n">
        <v>229848.711476372</v>
      </c>
      <c r="AQ27" s="24" t="n"/>
      <c r="AR27" s="3" t="n">
        <f aca="false" ca="false" dt2D="false" dtr="false" t="normal">N27-AB27</f>
        <v>0</v>
      </c>
    </row>
    <row customHeight="true" ht="15" outlineLevel="0" r="28">
      <c r="A28" s="154" t="n">
        <f aca="false" ca="false" dt2D="false" dtr="false" t="normal">+A27+1</f>
        <v>11</v>
      </c>
      <c r="B28" s="138" t="n">
        <f aca="false" ca="false" dt2D="false" dtr="false" t="normal">+B27+1</f>
        <v>11</v>
      </c>
      <c r="C28" s="138" t="s">
        <v>104</v>
      </c>
      <c r="D28" s="138" t="s">
        <v>108</v>
      </c>
      <c r="E28" s="139" t="n">
        <v>1996</v>
      </c>
      <c r="F28" s="139" t="n">
        <v>1996</v>
      </c>
      <c r="G28" s="139" t="s">
        <v>4</v>
      </c>
      <c r="H28" s="139" t="n">
        <v>9</v>
      </c>
      <c r="I28" s="139" t="n">
        <v>2</v>
      </c>
      <c r="J28" s="17" t="n">
        <v>5868.8</v>
      </c>
      <c r="K28" s="17" t="n">
        <v>4891.1</v>
      </c>
      <c r="L28" s="17" t="n">
        <v>103.4</v>
      </c>
      <c r="M28" s="140" t="n">
        <v>176</v>
      </c>
      <c r="N28" s="16" t="n">
        <f aca="false" ca="false" dt2D="false" dtr="false" t="normal">SUM(P28:T28)</f>
        <v>5807146.38</v>
      </c>
      <c r="O28" s="17" t="n"/>
      <c r="P28" s="18" t="n">
        <v>0</v>
      </c>
      <c r="Q28" s="18" t="n"/>
      <c r="R28" s="18" t="n">
        <v>2916099.9</v>
      </c>
      <c r="S28" s="18" t="n">
        <v>2891046.48</v>
      </c>
      <c r="T28" s="17" t="n">
        <v>0</v>
      </c>
      <c r="U28" s="18" t="n">
        <v>1232.62580955488</v>
      </c>
      <c r="V28" s="18" t="n">
        <v>1232.62580955488</v>
      </c>
      <c r="W28" s="21" t="n">
        <v>2022</v>
      </c>
      <c r="X28" s="1" t="n">
        <f aca="false" ca="false" dt2D="false" dtr="false" t="normal">3041149.84-317048.16</f>
        <v>2724101.6799999997</v>
      </c>
      <c r="Y28" s="3" t="n">
        <f aca="false" ca="false" dt2D="false" dtr="false" t="normal">+(K28*13.29+L28*22.52)*12*0.85</f>
        <v>686779.1273999999</v>
      </c>
      <c r="Z28" s="3" t="n">
        <f aca="false" ca="false" dt2D="false" dtr="false" t="normal">+(K28*13.29+L28*22.52)*12*30-2665031.47</f>
        <v>21574231.849999998</v>
      </c>
      <c r="AB28" s="23" t="n">
        <f aca="false" ca="true" dt2D="false" dtr="false" t="normal">SUBTOTAL(9, AC28:AQ28)</f>
        <v>5807146.380000001</v>
      </c>
      <c r="AC28" s="17" t="n">
        <v>2699032.56</v>
      </c>
      <c r="AD28" s="17" t="n">
        <v>2261633.31</v>
      </c>
      <c r="AE28" s="17" t="n"/>
      <c r="AF28" s="17" t="n">
        <v>818058.15</v>
      </c>
      <c r="AG28" s="17" t="n">
        <v>0</v>
      </c>
      <c r="AH28" s="17" t="n"/>
      <c r="AI28" s="17" t="n"/>
      <c r="AJ28" s="17" t="n">
        <v>0</v>
      </c>
      <c r="AK28" s="17" t="n"/>
      <c r="AL28" s="17" t="n">
        <v>0</v>
      </c>
      <c r="AM28" s="17" t="n">
        <v>0</v>
      </c>
      <c r="AN28" s="17" t="n">
        <v>0</v>
      </c>
      <c r="AO28" s="17" t="n"/>
      <c r="AP28" s="18" t="n"/>
      <c r="AQ28" s="156" t="n">
        <f aca="false" ca="false" dt2D="false" dtr="false" t="normal">28422.36</f>
        <v>28422.36</v>
      </c>
      <c r="AR28" s="3" t="n">
        <f aca="false" ca="false" dt2D="false" dtr="false" t="normal">N28-AB28</f>
        <v>0</v>
      </c>
    </row>
    <row outlineLevel="0" r="29">
      <c r="A29" s="154" t="n">
        <f aca="false" ca="false" dt2D="false" dtr="false" t="normal">+A28+1</f>
        <v>12</v>
      </c>
      <c r="B29" s="138" t="n">
        <f aca="false" ca="false" dt2D="false" dtr="false" t="normal">+B28+1</f>
        <v>12</v>
      </c>
      <c r="C29" s="138" t="s">
        <v>110</v>
      </c>
      <c r="D29" s="138" t="s">
        <v>111</v>
      </c>
      <c r="E29" s="139" t="n">
        <v>1986</v>
      </c>
      <c r="F29" s="139" t="n">
        <v>2016</v>
      </c>
      <c r="G29" s="139" t="s">
        <v>4</v>
      </c>
      <c r="H29" s="139" t="n">
        <v>9</v>
      </c>
      <c r="I29" s="139" t="n">
        <v>1</v>
      </c>
      <c r="J29" s="17" t="n">
        <v>3158.3</v>
      </c>
      <c r="K29" s="17" t="n">
        <v>2706.55</v>
      </c>
      <c r="L29" s="17" t="n">
        <v>0</v>
      </c>
      <c r="M29" s="140" t="n">
        <v>111</v>
      </c>
      <c r="N29" s="16" t="n">
        <f aca="false" ca="false" dt2D="false" dtr="false" t="normal">SUM(P29:T29)</f>
        <v>12771162.56</v>
      </c>
      <c r="O29" s="17" t="n"/>
      <c r="P29" s="160" t="n">
        <v>12411219.705962</v>
      </c>
      <c r="Q29" s="161" t="n"/>
      <c r="R29" s="161" t="n">
        <v>359942.854038</v>
      </c>
      <c r="S29" s="18" t="n"/>
      <c r="T29" s="17" t="n"/>
      <c r="U29" s="18" t="n">
        <v>4816.54348524875</v>
      </c>
      <c r="V29" s="18" t="n">
        <v>4816.54348524875</v>
      </c>
      <c r="W29" s="21" t="n">
        <v>2022</v>
      </c>
      <c r="Y29" s="3" t="n">
        <f aca="false" ca="false" dt2D="false" dtr="false" t="normal">+(K29*13.29+L29*22.52)*12*0.85</f>
        <v>366894.5049</v>
      </c>
      <c r="AB29" s="23" t="n">
        <f aca="false" ca="true" dt2D="false" dtr="false" t="normal">SUBTOTAL(9, AC29:AQ29)</f>
        <v>12771162.56</v>
      </c>
      <c r="AC29" s="17" t="n">
        <v>0</v>
      </c>
      <c r="AD29" s="17" t="n">
        <v>0</v>
      </c>
      <c r="AE29" s="17" t="n">
        <v>0</v>
      </c>
      <c r="AF29" s="17" t="n">
        <v>0</v>
      </c>
      <c r="AG29" s="17" t="n">
        <v>0</v>
      </c>
      <c r="AH29" s="17" t="n"/>
      <c r="AI29" s="17" t="n"/>
      <c r="AJ29" s="17" t="n">
        <v>0</v>
      </c>
      <c r="AK29" s="162" t="n">
        <v>2807713.83</v>
      </c>
      <c r="AL29" s="162" t="n">
        <v>0</v>
      </c>
      <c r="AM29" s="162" t="n">
        <v>9577950</v>
      </c>
      <c r="AN29" s="162" t="n">
        <v>0</v>
      </c>
      <c r="AO29" s="162" t="n">
        <v>377498.73</v>
      </c>
      <c r="AP29" s="161" t="n">
        <v>8000</v>
      </c>
      <c r="AQ29" s="163" t="n"/>
      <c r="AR29" s="3" t="n">
        <f aca="false" ca="false" dt2D="false" dtr="false" t="normal">N29-AB29</f>
        <v>0</v>
      </c>
    </row>
    <row outlineLevel="0" r="30">
      <c r="A30" s="154" t="n">
        <f aca="false" ca="false" dt2D="false" dtr="false" t="normal">+A29+1</f>
        <v>13</v>
      </c>
      <c r="B30" s="138" t="n">
        <f aca="false" ca="false" dt2D="false" dtr="false" t="normal">+B29+1</f>
        <v>13</v>
      </c>
      <c r="C30" s="138" t="s">
        <v>104</v>
      </c>
      <c r="D30" s="138" t="s">
        <v>113</v>
      </c>
      <c r="E30" s="139" t="n">
        <v>1990</v>
      </c>
      <c r="F30" s="139" t="n">
        <v>2017</v>
      </c>
      <c r="G30" s="139" t="s">
        <v>4</v>
      </c>
      <c r="H30" s="139" t="n">
        <v>10</v>
      </c>
      <c r="I30" s="139" t="n">
        <v>3</v>
      </c>
      <c r="J30" s="17" t="n">
        <v>10664.8</v>
      </c>
      <c r="K30" s="17" t="n">
        <v>8965.7</v>
      </c>
      <c r="L30" s="17" t="n">
        <v>241.2</v>
      </c>
      <c r="M30" s="140" t="n">
        <v>365</v>
      </c>
      <c r="N30" s="16" t="n">
        <f aca="false" ca="false" dt2D="false" dtr="false" t="normal">SUM(P30:T30)</f>
        <v>856822.6799999999</v>
      </c>
      <c r="O30" s="17" t="n"/>
      <c r="P30" s="18" t="n"/>
      <c r="Q30" s="18" t="n"/>
      <c r="R30" s="18" t="n">
        <v>529034.98</v>
      </c>
      <c r="S30" s="18" t="n">
        <v>327787.7</v>
      </c>
      <c r="T30" s="17" t="n">
        <v>0</v>
      </c>
      <c r="U30" s="18" t="n">
        <v>102.94371879825</v>
      </c>
      <c r="V30" s="18" t="n">
        <v>102.94371879825</v>
      </c>
      <c r="W30" s="21" t="n">
        <v>2022</v>
      </c>
      <c r="X30" s="1" t="n">
        <v>6040448.13</v>
      </c>
      <c r="Y30" s="3" t="n">
        <f aca="false" ca="false" dt2D="false" dtr="false" t="normal">+(K30*13.29+L30*22.52)*12*0.85</f>
        <v>1270776.9653999999</v>
      </c>
      <c r="Z30" s="3" t="n">
        <f aca="false" ca="false" dt2D="false" dtr="false" t="normal">+(K30*13.29+L30*22.52)*12*30-11155353.44</f>
        <v>33695598.28</v>
      </c>
      <c r="AB30" s="23" t="n">
        <f aca="false" ca="true" dt2D="false" dtr="false" t="normal">SUBTOTAL(9, AC30:AQ30)</f>
        <v>856822.68</v>
      </c>
      <c r="AC30" s="17" t="n"/>
      <c r="AD30" s="17" t="n"/>
      <c r="AE30" s="17" t="n"/>
      <c r="AF30" s="17" t="n">
        <v>856822.68</v>
      </c>
      <c r="AG30" s="17" t="n">
        <v>0</v>
      </c>
      <c r="AH30" s="17" t="n"/>
      <c r="AI30" s="17" t="n"/>
      <c r="AJ30" s="17" t="n">
        <v>0</v>
      </c>
      <c r="AK30" s="17" t="n">
        <v>0</v>
      </c>
      <c r="AL30" s="17" t="n">
        <v>0</v>
      </c>
      <c r="AM30" s="17" t="n">
        <v>0</v>
      </c>
      <c r="AN30" s="17" t="n">
        <v>0</v>
      </c>
      <c r="AO30" s="17" t="n"/>
      <c r="AP30" s="18" t="n"/>
      <c r="AQ30" s="24" t="n"/>
      <c r="AR30" s="3" t="n">
        <f aca="false" ca="false" dt2D="false" dtr="false" t="normal">N30-AB30</f>
        <v>0</v>
      </c>
    </row>
    <row outlineLevel="0" r="31">
      <c r="A31" s="154" t="n">
        <f aca="false" ca="false" dt2D="false" dtr="false" t="normal">+A30+1</f>
        <v>14</v>
      </c>
      <c r="B31" s="138" t="n">
        <f aca="false" ca="false" dt2D="false" dtr="false" t="normal">+B30+1</f>
        <v>14</v>
      </c>
      <c r="C31" s="138" t="s">
        <v>104</v>
      </c>
      <c r="D31" s="138" t="s">
        <v>116</v>
      </c>
      <c r="E31" s="139" t="n">
        <v>1990</v>
      </c>
      <c r="F31" s="139" t="n">
        <v>2017</v>
      </c>
      <c r="G31" s="139" t="s">
        <v>4</v>
      </c>
      <c r="H31" s="139" t="n">
        <v>9</v>
      </c>
      <c r="I31" s="139" t="n">
        <v>1</v>
      </c>
      <c r="J31" s="17" t="n">
        <v>4531.3</v>
      </c>
      <c r="K31" s="17" t="n">
        <v>3818.4</v>
      </c>
      <c r="L31" s="17" t="n">
        <v>61.2</v>
      </c>
      <c r="M31" s="140" t="n">
        <v>144</v>
      </c>
      <c r="N31" s="16" t="n">
        <f aca="false" ca="false" dt2D="false" dtr="false" t="normal">SUM(P31:T31)</f>
        <v>3114754.5799999973</v>
      </c>
      <c r="O31" s="17" t="n"/>
      <c r="P31" s="18" t="n">
        <v>339282.04</v>
      </c>
      <c r="Q31" s="18" t="n"/>
      <c r="R31" s="18" t="n">
        <v>120075.015726597</v>
      </c>
      <c r="S31" s="18" t="n">
        <v>2655397.5242734</v>
      </c>
      <c r="T31" s="17" t="n">
        <v>0</v>
      </c>
      <c r="U31" s="18" t="n">
        <v>826.067268720125</v>
      </c>
      <c r="V31" s="18" t="n">
        <v>826.067268720125</v>
      </c>
      <c r="W31" s="21" t="n">
        <v>2022</v>
      </c>
      <c r="X31" s="1" t="n">
        <f aca="false" ca="false" dt2D="false" dtr="false" t="normal">2472188.7-'[3]Приложение №1'!$R$83</f>
        <v>2472188.7</v>
      </c>
      <c r="Y31" s="3" t="n">
        <f aca="false" ca="false" dt2D="false" dtr="false" t="normal">+(K31*13.29+L31*22.52)*12*0.85</f>
        <v>531672.552</v>
      </c>
      <c r="Z31" s="3" t="n">
        <f aca="false" ca="false" dt2D="false" dtr="false" t="normal">+(K31*13.29+L31*22.52)*12*30-'[3]Приложение №1'!$S$83</f>
        <v>18764913.6</v>
      </c>
      <c r="AB31" s="23" t="n">
        <f aca="false" ca="true" dt2D="false" dtr="false" t="normal">SUBTOTAL(9, AC31:AQ31)</f>
        <v>3114754.5799999996</v>
      </c>
      <c r="AC31" s="17" t="n"/>
      <c r="AD31" s="17" t="n">
        <v>1900545.16</v>
      </c>
      <c r="AE31" s="17" t="n"/>
      <c r="AF31" s="17" t="n">
        <v>1184190.4</v>
      </c>
      <c r="AG31" s="17" t="n">
        <v>0</v>
      </c>
      <c r="AH31" s="17" t="n"/>
      <c r="AI31" s="17" t="n"/>
      <c r="AJ31" s="17" t="n">
        <v>0</v>
      </c>
      <c r="AK31" s="17" t="n">
        <v>0</v>
      </c>
      <c r="AL31" s="17" t="n"/>
      <c r="AM31" s="17" t="n">
        <v>0</v>
      </c>
      <c r="AN31" s="17" t="n">
        <v>0</v>
      </c>
      <c r="AO31" s="17" t="n"/>
      <c r="AP31" s="18" t="n"/>
      <c r="AQ31" s="156" t="n">
        <v>30019.02</v>
      </c>
      <c r="AR31" s="3" t="n">
        <f aca="false" ca="false" dt2D="false" dtr="false" t="normal">N31-AB31</f>
        <v>0</v>
      </c>
    </row>
    <row outlineLevel="0" r="32">
      <c r="A32" s="154" t="n">
        <f aca="false" ca="false" dt2D="false" dtr="false" t="normal">+A31+1</f>
        <v>15</v>
      </c>
      <c r="B32" s="138" t="n">
        <f aca="false" ca="false" dt2D="false" dtr="false" t="normal">+B31+1</f>
        <v>15</v>
      </c>
      <c r="C32" s="138" t="s">
        <v>104</v>
      </c>
      <c r="D32" s="138" t="s">
        <v>118</v>
      </c>
      <c r="E32" s="139" t="n">
        <v>1988</v>
      </c>
      <c r="F32" s="139" t="n">
        <v>2016</v>
      </c>
      <c r="G32" s="139" t="s">
        <v>4</v>
      </c>
      <c r="H32" s="139" t="n">
        <v>5</v>
      </c>
      <c r="I32" s="139" t="n">
        <v>2</v>
      </c>
      <c r="J32" s="17" t="n">
        <v>4465.5</v>
      </c>
      <c r="K32" s="17" t="n">
        <v>2945.85</v>
      </c>
      <c r="L32" s="17" t="n">
        <v>451.6</v>
      </c>
      <c r="M32" s="140" t="n">
        <v>169</v>
      </c>
      <c r="N32" s="16" t="n">
        <f aca="false" ca="false" dt2D="false" dtr="false" t="normal">SUM(P32:T32)</f>
        <v>6822761.389999998</v>
      </c>
      <c r="O32" s="17" t="n"/>
      <c r="P32" s="18" t="n"/>
      <c r="Q32" s="18" t="n"/>
      <c r="R32" s="18" t="n">
        <v>2137034.25</v>
      </c>
      <c r="S32" s="18" t="n">
        <v>3849733.41</v>
      </c>
      <c r="T32" s="17" t="n">
        <v>835993.729999998</v>
      </c>
      <c r="U32" s="18" t="n">
        <v>2087.30316218709</v>
      </c>
      <c r="V32" s="18" t="n">
        <v>2087.30316218709</v>
      </c>
      <c r="W32" s="21" t="n">
        <v>2022</v>
      </c>
      <c r="X32" s="1" t="n">
        <v>1790670.12</v>
      </c>
      <c r="Y32" s="3" t="n">
        <f aca="false" ca="false" dt2D="false" dtr="false" t="normal">+(K32*10+L32*20)*12*0.85</f>
        <v>392603.1</v>
      </c>
      <c r="Z32" s="3" t="n">
        <f aca="false" ca="false" dt2D="false" dtr="false" t="normal">+(K32*10+L32*20)*12*30</f>
        <v>13856580</v>
      </c>
      <c r="AB32" s="23" t="n">
        <f aca="false" ca="true" dt2D="false" dtr="false" t="normal">SUBTOTAL(9, AC32:AQ32)</f>
        <v>6822761.389999999</v>
      </c>
      <c r="AC32" s="17" t="n">
        <v>2005222.15</v>
      </c>
      <c r="AD32" s="17" t="n"/>
      <c r="AE32" s="17" t="n">
        <v>0</v>
      </c>
      <c r="AF32" s="17" t="n"/>
      <c r="AG32" s="17" t="n">
        <v>0</v>
      </c>
      <c r="AH32" s="17" t="n"/>
      <c r="AI32" s="17" t="n"/>
      <c r="AJ32" s="17" t="n">
        <v>0</v>
      </c>
      <c r="AK32" s="17" t="n">
        <v>0</v>
      </c>
      <c r="AL32" s="17" t="n">
        <v>4791041.31</v>
      </c>
      <c r="AM32" s="17" t="n"/>
      <c r="AN32" s="17" t="n">
        <v>0</v>
      </c>
      <c r="AO32" s="17" t="n"/>
      <c r="AP32" s="18" t="n"/>
      <c r="AQ32" s="156" t="n">
        <f aca="false" ca="false" dt2D="false" dtr="false" t="normal">26497.93</f>
        <v>26497.93</v>
      </c>
      <c r="AR32" s="3" t="n">
        <f aca="false" ca="false" dt2D="false" dtr="false" t="normal">N32-AB32</f>
        <v>0</v>
      </c>
    </row>
    <row outlineLevel="0" r="33">
      <c r="A33" s="154" t="n">
        <f aca="false" ca="false" dt2D="false" dtr="false" t="normal">+A32+1</f>
        <v>16</v>
      </c>
      <c r="B33" s="138" t="n">
        <f aca="false" ca="false" dt2D="false" dtr="false" t="normal">+B32+1</f>
        <v>16</v>
      </c>
      <c r="C33" s="138" t="s">
        <v>110</v>
      </c>
      <c r="D33" s="138" t="s">
        <v>122</v>
      </c>
      <c r="E33" s="139" t="n">
        <v>1985</v>
      </c>
      <c r="F33" s="139" t="n">
        <v>2011</v>
      </c>
      <c r="G33" s="139" t="s">
        <v>4</v>
      </c>
      <c r="H33" s="139" t="n">
        <v>5</v>
      </c>
      <c r="I33" s="139" t="n">
        <v>12</v>
      </c>
      <c r="J33" s="17" t="n">
        <v>12985.9</v>
      </c>
      <c r="K33" s="17" t="n">
        <v>10520.9</v>
      </c>
      <c r="L33" s="17" t="n">
        <v>299.1</v>
      </c>
      <c r="M33" s="140" t="n">
        <v>439</v>
      </c>
      <c r="N33" s="16" t="n">
        <f aca="false" ca="false" dt2D="false" dtr="false" t="normal">SUM(P33:T33)</f>
        <v>49595204.57</v>
      </c>
      <c r="O33" s="17" t="n"/>
      <c r="P33" s="161" t="n">
        <v>44003584.14</v>
      </c>
      <c r="Q33" s="161" t="n"/>
      <c r="R33" s="161" t="n">
        <v>5591620.43</v>
      </c>
      <c r="S33" s="18" t="n"/>
      <c r="T33" s="17" t="n">
        <v>0</v>
      </c>
      <c r="U33" s="18" t="n">
        <v>4702.31163678373</v>
      </c>
      <c r="V33" s="18" t="n">
        <v>4702.31163678373</v>
      </c>
      <c r="W33" s="21" t="n">
        <v>2022</v>
      </c>
      <c r="Y33" s="3" t="n">
        <f aca="false" ca="false" dt2D="false" dtr="false" t="normal">+(K33*10+L33*20)*12*0.85</f>
        <v>1134148.2</v>
      </c>
      <c r="AB33" s="23" t="n">
        <f aca="false" ca="true" dt2D="false" dtr="false" t="normal">SUBTOTAL(9, AC33:AQ33)</f>
        <v>49595204.57</v>
      </c>
      <c r="AC33" s="17" t="n">
        <v>0</v>
      </c>
      <c r="AD33" s="17" t="n">
        <v>0</v>
      </c>
      <c r="AE33" s="17" t="n">
        <v>0</v>
      </c>
      <c r="AF33" s="162" t="n">
        <v>6678313.6</v>
      </c>
      <c r="AG33" s="162" t="n">
        <v>0</v>
      </c>
      <c r="AH33" s="162" t="n"/>
      <c r="AI33" s="162" t="n"/>
      <c r="AJ33" s="162" t="n">
        <v>0</v>
      </c>
      <c r="AK33" s="162" t="n">
        <v>25055410.8</v>
      </c>
      <c r="AL33" s="162" t="n">
        <v>16117459.31</v>
      </c>
      <c r="AM33" s="162" t="n">
        <v>0</v>
      </c>
      <c r="AN33" s="162" t="n">
        <v>0</v>
      </c>
      <c r="AO33" s="162" t="n">
        <v>1734020.86</v>
      </c>
      <c r="AP33" s="161" t="n">
        <v>10000</v>
      </c>
      <c r="AQ33" s="163" t="n"/>
      <c r="AR33" s="3" t="n">
        <f aca="false" ca="false" dt2D="false" dtr="false" t="normal">N33-AB33</f>
        <v>0</v>
      </c>
    </row>
    <row outlineLevel="0" r="34">
      <c r="A34" s="154" t="n">
        <f aca="false" ca="false" dt2D="false" dtr="false" t="normal">+A33+1</f>
        <v>17</v>
      </c>
      <c r="B34" s="138" t="n">
        <f aca="false" ca="false" dt2D="false" dtr="false" t="normal">+B33+1</f>
        <v>17</v>
      </c>
      <c r="C34" s="138" t="s">
        <v>104</v>
      </c>
      <c r="D34" s="138" t="s">
        <v>124</v>
      </c>
      <c r="E34" s="139" t="n">
        <v>1981</v>
      </c>
      <c r="F34" s="139" t="n">
        <v>2016</v>
      </c>
      <c r="G34" s="139" t="s">
        <v>4</v>
      </c>
      <c r="H34" s="139" t="n">
        <v>4</v>
      </c>
      <c r="I34" s="139" t="n">
        <v>3</v>
      </c>
      <c r="J34" s="17" t="n">
        <v>3910.2</v>
      </c>
      <c r="K34" s="17" t="n">
        <v>2017.9</v>
      </c>
      <c r="L34" s="17" t="n">
        <v>997.9</v>
      </c>
      <c r="M34" s="140" t="n">
        <v>113</v>
      </c>
      <c r="N34" s="16" t="n">
        <f aca="false" ca="false" dt2D="false" dtr="false" t="normal">SUM(P34:T34)</f>
        <v>10120631.58</v>
      </c>
      <c r="O34" s="17" t="n"/>
      <c r="P34" s="18" t="n"/>
      <c r="Q34" s="18" t="n"/>
      <c r="R34" s="18" t="n">
        <v>806677.1</v>
      </c>
      <c r="S34" s="18" t="n">
        <v>9313954.48</v>
      </c>
      <c r="T34" s="17" t="n">
        <v>0</v>
      </c>
      <c r="U34" s="18" t="n">
        <v>3500.96756961872</v>
      </c>
      <c r="V34" s="18" t="n">
        <v>3500.96756961872</v>
      </c>
      <c r="W34" s="21" t="n">
        <v>2022</v>
      </c>
      <c r="X34" s="1" t="n">
        <v>954415.48</v>
      </c>
      <c r="Y34" s="3" t="n">
        <f aca="false" ca="false" dt2D="false" dtr="false" t="normal">+(K34*10+L34*20)*12*0.85</f>
        <v>409397.39999999997</v>
      </c>
      <c r="Z34" s="3" t="n">
        <f aca="false" ca="false" dt2D="false" dtr="false" t="normal">+(K34*10+L34*20)*12*30</f>
        <v>14449320</v>
      </c>
      <c r="AB34" s="23" t="n">
        <f aca="false" ca="true" dt2D="false" dtr="false" t="normal">SUBTOTAL(9, AC34:AQ34)</f>
        <v>10120631.58</v>
      </c>
      <c r="AC34" s="17" t="n"/>
      <c r="AD34" s="17" t="n">
        <v>4716823.2</v>
      </c>
      <c r="AE34" s="17" t="n"/>
      <c r="AF34" s="17" t="n">
        <v>0</v>
      </c>
      <c r="AG34" s="17" t="n">
        <v>0</v>
      </c>
      <c r="AH34" s="17" t="n"/>
      <c r="AI34" s="17" t="n"/>
      <c r="AJ34" s="17" t="n">
        <v>0</v>
      </c>
      <c r="AK34" s="17" t="n">
        <v>5310079.2</v>
      </c>
      <c r="AL34" s="17" t="n">
        <v>0</v>
      </c>
      <c r="AM34" s="17" t="n">
        <v>0</v>
      </c>
      <c r="AN34" s="17" t="n">
        <v>0</v>
      </c>
      <c r="AO34" s="17" t="n"/>
      <c r="AP34" s="18" t="n"/>
      <c r="AQ34" s="156" t="n">
        <f aca="false" ca="false" dt2D="false" dtr="false" t="normal">29302.97+64426.21</f>
        <v>93729.18</v>
      </c>
      <c r="AR34" s="3" t="n">
        <f aca="false" ca="false" dt2D="false" dtr="false" t="normal">N34-AB34</f>
        <v>0</v>
      </c>
    </row>
    <row outlineLevel="0" r="35">
      <c r="A35" s="154" t="n">
        <f aca="false" ca="false" dt2D="false" dtr="false" t="normal">+A34+1</f>
        <v>18</v>
      </c>
      <c r="B35" s="138" t="n">
        <f aca="false" ca="false" dt2D="false" dtr="false" t="normal">+B34+1</f>
        <v>18</v>
      </c>
      <c r="C35" s="138" t="s">
        <v>104</v>
      </c>
      <c r="D35" s="138" t="s">
        <v>126</v>
      </c>
      <c r="E35" s="139" t="n">
        <v>1990</v>
      </c>
      <c r="F35" s="139" t="n">
        <v>2017</v>
      </c>
      <c r="G35" s="139" t="s">
        <v>4</v>
      </c>
      <c r="H35" s="139" t="n">
        <v>10</v>
      </c>
      <c r="I35" s="139" t="n">
        <v>3</v>
      </c>
      <c r="J35" s="17" t="n">
        <v>9593.3</v>
      </c>
      <c r="K35" s="17" t="n">
        <v>8146.5</v>
      </c>
      <c r="L35" s="17" t="n">
        <v>251.7</v>
      </c>
      <c r="M35" s="140" t="n">
        <v>290</v>
      </c>
      <c r="N35" s="16" t="n">
        <f aca="false" ca="false" dt2D="false" dtr="false" t="normal">SUM(P35:T35)</f>
        <v>11326258.890000004</v>
      </c>
      <c r="O35" s="17" t="n"/>
      <c r="P35" s="18" t="n">
        <v>4826750.29</v>
      </c>
      <c r="Q35" s="18" t="n"/>
      <c r="R35" s="18" t="n">
        <v>554751.742439215</v>
      </c>
      <c r="S35" s="18" t="n">
        <v>5944756.85756079</v>
      </c>
      <c r="T35" s="17" t="n">
        <v>0</v>
      </c>
      <c r="U35" s="18" t="n">
        <v>1414.7091796384</v>
      </c>
      <c r="V35" s="18" t="n">
        <v>1414.7091796384</v>
      </c>
      <c r="W35" s="21" t="n">
        <v>2022</v>
      </c>
      <c r="X35" s="1" t="n">
        <v>5009993.34</v>
      </c>
      <c r="Y35" s="3" t="n">
        <f aca="false" ca="false" dt2D="false" dtr="false" t="normal">+(K35*13.29+L35*22.52)*12*0.85</f>
        <v>1162139.7437999998</v>
      </c>
      <c r="Z35" s="3" t="n">
        <f aca="false" ca="false" dt2D="false" dtr="false" t="normal">+(K35*13.29+L35*22.52)*12*30</f>
        <v>41016696.839999996</v>
      </c>
      <c r="AB35" s="23" t="n">
        <f aca="false" ca="true" dt2D="false" dtr="false" t="normal">SUBTOTAL(9, AC35:AQ35)</f>
        <v>11326258.89</v>
      </c>
      <c r="AC35" s="17" t="n"/>
      <c r="AD35" s="17" t="n">
        <v>4815586.08</v>
      </c>
      <c r="AE35" s="17" t="n"/>
      <c r="AF35" s="17" t="n">
        <v>2345570.74</v>
      </c>
      <c r="AG35" s="17" t="n">
        <v>0</v>
      </c>
      <c r="AH35" s="17" t="n"/>
      <c r="AI35" s="17" t="n"/>
      <c r="AJ35" s="17" t="n">
        <v>0</v>
      </c>
      <c r="AK35" s="17" t="n">
        <v>0</v>
      </c>
      <c r="AL35" s="17" t="n">
        <v>4165102.07</v>
      </c>
      <c r="AM35" s="17" t="n">
        <v>0</v>
      </c>
      <c r="AN35" s="17" t="n">
        <v>0</v>
      </c>
      <c r="AO35" s="17" t="n"/>
      <c r="AP35" s="18" t="n"/>
      <c r="AQ35" s="24" t="n"/>
      <c r="AR35" s="3" t="n">
        <f aca="false" ca="false" dt2D="false" dtr="false" t="normal">N35-AB35</f>
        <v>0</v>
      </c>
    </row>
    <row outlineLevel="0" r="36">
      <c r="A36" s="154" t="n">
        <f aca="false" ca="false" dt2D="false" dtr="false" t="normal">+A35+1</f>
        <v>19</v>
      </c>
      <c r="B36" s="138" t="n">
        <f aca="false" ca="false" dt2D="false" dtr="false" t="normal">+B35+1</f>
        <v>19</v>
      </c>
      <c r="C36" s="138" t="s">
        <v>104</v>
      </c>
      <c r="D36" s="138" t="s">
        <v>128</v>
      </c>
      <c r="E36" s="139" t="n">
        <v>1990</v>
      </c>
      <c r="F36" s="139" t="n">
        <v>2017</v>
      </c>
      <c r="G36" s="139" t="s">
        <v>4</v>
      </c>
      <c r="H36" s="139" t="n">
        <v>9</v>
      </c>
      <c r="I36" s="139" t="n">
        <v>2</v>
      </c>
      <c r="J36" s="17" t="n">
        <v>9044.7</v>
      </c>
      <c r="K36" s="17" t="n">
        <v>7731.7</v>
      </c>
      <c r="L36" s="17" t="n">
        <v>0</v>
      </c>
      <c r="M36" s="140" t="n">
        <v>294</v>
      </c>
      <c r="N36" s="16" t="n">
        <f aca="false" ca="false" dt2D="false" dtr="false" t="normal">SUM(P36:T36)</f>
        <v>12466406.29</v>
      </c>
      <c r="O36" s="17" t="n"/>
      <c r="P36" s="18" t="n">
        <v>0</v>
      </c>
      <c r="Q36" s="18" t="n"/>
      <c r="R36" s="18" t="n">
        <v>9626752.0343422</v>
      </c>
      <c r="S36" s="18" t="n">
        <v>2839654.2556578</v>
      </c>
      <c r="T36" s="17" t="n">
        <v>0</v>
      </c>
      <c r="U36" s="18" t="n">
        <v>1717.03968782314</v>
      </c>
      <c r="V36" s="18" t="n">
        <v>1717.03968782314</v>
      </c>
      <c r="W36" s="21" t="n">
        <v>2022</v>
      </c>
      <c r="X36" s="1" t="n">
        <v>4614966.51</v>
      </c>
      <c r="Y36" s="3" t="n">
        <f aca="false" ca="false" dt2D="false" dtr="false" t="normal">+(K36*13.29+L36*22.52)*12*0.85</f>
        <v>1048093.7885999999</v>
      </c>
      <c r="Z36" s="3" t="n">
        <f aca="false" ca="false" dt2D="false" dtr="false" t="normal">+(K36*13.29+L36*22.52)*12*30</f>
        <v>36991545.48</v>
      </c>
      <c r="AB36" s="23" t="n">
        <f aca="false" ca="true" dt2D="false" dtr="false" t="normal">SUBTOTAL(9, AC36:AQ36)</f>
        <v>12466406.29</v>
      </c>
      <c r="AC36" s="17" t="n">
        <v>5601164.74</v>
      </c>
      <c r="AD36" s="17" t="n">
        <v>4132221.15</v>
      </c>
      <c r="AE36" s="17" t="n"/>
      <c r="AF36" s="17" t="n">
        <v>2594387.63</v>
      </c>
      <c r="AG36" s="17" t="n">
        <v>0</v>
      </c>
      <c r="AH36" s="17" t="n"/>
      <c r="AI36" s="17" t="n"/>
      <c r="AJ36" s="17" t="n">
        <v>0</v>
      </c>
      <c r="AK36" s="17" t="n">
        <v>0</v>
      </c>
      <c r="AL36" s="17" t="n"/>
      <c r="AM36" s="17" t="n">
        <v>0</v>
      </c>
      <c r="AN36" s="17" t="n">
        <v>0</v>
      </c>
      <c r="AO36" s="17" t="n"/>
      <c r="AP36" s="18" t="n"/>
      <c r="AQ36" s="156" t="n">
        <f aca="false" ca="false" dt2D="false" dtr="false" t="normal">138632.77</f>
        <v>138632.77</v>
      </c>
      <c r="AR36" s="3" t="n">
        <f aca="false" ca="false" dt2D="false" dtr="false" t="normal">N36-AB36</f>
        <v>0</v>
      </c>
    </row>
    <row outlineLevel="0" r="37">
      <c r="A37" s="154" t="n">
        <f aca="false" ca="false" dt2D="false" dtr="false" t="normal">+A36+1</f>
        <v>20</v>
      </c>
      <c r="B37" s="138" t="n">
        <f aca="false" ca="false" dt2D="false" dtr="false" t="normal">+B36+1</f>
        <v>20</v>
      </c>
      <c r="C37" s="138" t="s">
        <v>104</v>
      </c>
      <c r="D37" s="138" t="s">
        <v>130</v>
      </c>
      <c r="E37" s="139" t="n">
        <v>1990</v>
      </c>
      <c r="F37" s="139" t="n">
        <v>2017</v>
      </c>
      <c r="G37" s="139" t="s">
        <v>4</v>
      </c>
      <c r="H37" s="139" t="n">
        <v>9</v>
      </c>
      <c r="I37" s="139" t="n">
        <v>1</v>
      </c>
      <c r="J37" s="17" t="n">
        <v>4527.8</v>
      </c>
      <c r="K37" s="17" t="n">
        <v>3876.4</v>
      </c>
      <c r="L37" s="17" t="n">
        <v>0</v>
      </c>
      <c r="M37" s="140" t="n">
        <v>153</v>
      </c>
      <c r="N37" s="16" t="n">
        <f aca="false" ca="false" dt2D="false" dtr="false" t="normal">SUM(P37:T37)</f>
        <v>4707613.74</v>
      </c>
      <c r="O37" s="17" t="n"/>
      <c r="P37" s="18" t="n">
        <v>54608.39</v>
      </c>
      <c r="Q37" s="18" t="n"/>
      <c r="R37" s="18" t="n">
        <v>1459981.25421846</v>
      </c>
      <c r="S37" s="18" t="n">
        <v>3193024.09578154</v>
      </c>
      <c r="T37" s="17" t="n">
        <v>0</v>
      </c>
      <c r="U37" s="18" t="n">
        <v>1351.9760149155</v>
      </c>
      <c r="V37" s="18" t="n">
        <v>1351.9760149155</v>
      </c>
      <c r="W37" s="21" t="n">
        <v>2022</v>
      </c>
      <c r="X37" s="1" t="n">
        <v>2413836.61</v>
      </c>
      <c r="Y37" s="3" t="n">
        <f aca="false" ca="false" dt2D="false" dtr="false" t="normal">+(K37*13.29+L37*22.52)*12*0.85</f>
        <v>525477.0312</v>
      </c>
      <c r="Z37" s="3" t="n">
        <f aca="false" ca="false" dt2D="false" dtr="false" t="normal">+(K37*13.29+L37*22.52)*12*30</f>
        <v>18546248.16</v>
      </c>
      <c r="AB37" s="23" t="n">
        <f aca="false" ca="true" dt2D="false" dtr="false" t="normal">SUBTOTAL(9, AC37:AQ37)</f>
        <v>4707613.74</v>
      </c>
      <c r="AC37" s="17" t="n"/>
      <c r="AD37" s="17" t="n">
        <v>1792691.85</v>
      </c>
      <c r="AE37" s="17" t="n"/>
      <c r="AF37" s="17" t="n">
        <v>1124322.94</v>
      </c>
      <c r="AG37" s="17" t="n">
        <v>0</v>
      </c>
      <c r="AH37" s="17" t="n"/>
      <c r="AI37" s="17" t="n"/>
      <c r="AJ37" s="17" t="n">
        <v>0</v>
      </c>
      <c r="AK37" s="17" t="n">
        <v>0</v>
      </c>
      <c r="AL37" s="17" t="n">
        <v>1790598.95</v>
      </c>
      <c r="AM37" s="17" t="n">
        <v>0</v>
      </c>
      <c r="AN37" s="17" t="n">
        <v>0</v>
      </c>
      <c r="AO37" s="17" t="n"/>
      <c r="AP37" s="18" t="n"/>
      <c r="AQ37" s="24" t="n"/>
      <c r="AR37" s="3" t="n">
        <f aca="false" ca="false" dt2D="false" dtr="false" t="normal">N37-AB37</f>
        <v>0</v>
      </c>
    </row>
    <row outlineLevel="0" r="38">
      <c r="A38" s="154" t="n">
        <f aca="false" ca="false" dt2D="false" dtr="false" t="normal">+A37+1</f>
        <v>21</v>
      </c>
      <c r="B38" s="138" t="n">
        <f aca="false" ca="false" dt2D="false" dtr="false" t="normal">+B37+1</f>
        <v>21</v>
      </c>
      <c r="C38" s="138" t="s">
        <v>104</v>
      </c>
      <c r="D38" s="138" t="s">
        <v>132</v>
      </c>
      <c r="E38" s="139" t="n">
        <v>1990</v>
      </c>
      <c r="F38" s="139" t="n">
        <v>2017</v>
      </c>
      <c r="G38" s="139" t="s">
        <v>4</v>
      </c>
      <c r="H38" s="139" t="n">
        <v>10</v>
      </c>
      <c r="I38" s="139" t="n">
        <v>1</v>
      </c>
      <c r="J38" s="17" t="n">
        <v>3578</v>
      </c>
      <c r="K38" s="17" t="n">
        <v>3065.8</v>
      </c>
      <c r="L38" s="17" t="n">
        <v>0</v>
      </c>
      <c r="M38" s="140" t="n">
        <v>111</v>
      </c>
      <c r="N38" s="16" t="n">
        <f aca="false" ca="false" dt2D="false" dtr="false" t="normal">SUM(P38:T38)</f>
        <v>1520132.82</v>
      </c>
      <c r="O38" s="17" t="n"/>
      <c r="P38" s="18" t="n"/>
      <c r="Q38" s="18" t="n"/>
      <c r="R38" s="18" t="n">
        <v>73156.3600000001</v>
      </c>
      <c r="S38" s="18" t="n">
        <v>1446976.46</v>
      </c>
      <c r="T38" s="17" t="n">
        <v>0</v>
      </c>
      <c r="U38" s="18" t="n">
        <v>514.863086307</v>
      </c>
      <c r="V38" s="18" t="n">
        <v>514.863086307</v>
      </c>
      <c r="W38" s="21" t="n">
        <v>2022</v>
      </c>
      <c r="X38" s="1" t="n">
        <v>2001885.98</v>
      </c>
      <c r="Y38" s="3" t="n">
        <f aca="false" ca="false" dt2D="false" dtr="false" t="normal">+(K38*13.29+L38*22.52)*12*0.85</f>
        <v>415593.7164</v>
      </c>
      <c r="Z38" s="3" t="n">
        <f aca="false" ca="false" dt2D="false" dtr="false" t="normal">+(K38*13.29+L38*22.52)*12*30</f>
        <v>14668013.52</v>
      </c>
      <c r="AB38" s="23" t="n">
        <f aca="false" ca="true" dt2D="false" dtr="false" t="normal">SUBTOTAL(9, AC38:AQ38)</f>
        <v>1520132.8199999998</v>
      </c>
      <c r="AC38" s="17" t="n"/>
      <c r="AD38" s="17" t="n">
        <v>991956.22</v>
      </c>
      <c r="AE38" s="17" t="n"/>
      <c r="AF38" s="17" t="n">
        <v>513354.67</v>
      </c>
      <c r="AG38" s="17" t="n">
        <v>0</v>
      </c>
      <c r="AH38" s="17" t="n"/>
      <c r="AI38" s="17" t="n"/>
      <c r="AJ38" s="17" t="n">
        <v>0</v>
      </c>
      <c r="AK38" s="17" t="n">
        <v>0</v>
      </c>
      <c r="AL38" s="17" t="n">
        <v>0</v>
      </c>
      <c r="AM38" s="17" t="n">
        <v>0</v>
      </c>
      <c r="AN38" s="17" t="n">
        <v>0</v>
      </c>
      <c r="AO38" s="17" t="n"/>
      <c r="AP38" s="18" t="n"/>
      <c r="AQ38" s="156" t="n">
        <f aca="false" ca="false" dt2D="false" dtr="false" t="normal">14821.93</f>
        <v>14821.93</v>
      </c>
      <c r="AR38" s="3" t="n">
        <f aca="false" ca="false" dt2D="false" dtr="false" t="normal">N38-AB38</f>
        <v>0</v>
      </c>
    </row>
    <row outlineLevel="0" r="39">
      <c r="A39" s="154" t="n">
        <f aca="false" ca="false" dt2D="false" dtr="false" t="normal">+A38+1</f>
        <v>22</v>
      </c>
      <c r="B39" s="138" t="n">
        <f aca="false" ca="false" dt2D="false" dtr="false" t="normal">+B38+1</f>
        <v>22</v>
      </c>
      <c r="C39" s="138" t="s">
        <v>104</v>
      </c>
      <c r="D39" s="138" t="s">
        <v>135</v>
      </c>
      <c r="E39" s="139" t="n">
        <v>1990</v>
      </c>
      <c r="F39" s="139" t="n">
        <v>2017</v>
      </c>
      <c r="G39" s="139" t="s">
        <v>4</v>
      </c>
      <c r="H39" s="139" t="n">
        <v>10</v>
      </c>
      <c r="I39" s="139" t="n">
        <v>1</v>
      </c>
      <c r="J39" s="17" t="n">
        <v>3562.9</v>
      </c>
      <c r="K39" s="17" t="n">
        <v>3045.6</v>
      </c>
      <c r="L39" s="17" t="n">
        <v>0</v>
      </c>
      <c r="M39" s="140" t="n">
        <v>121</v>
      </c>
      <c r="N39" s="16" t="n">
        <f aca="false" ca="false" dt2D="false" dtr="false" t="normal">SUM(P39:T39)</f>
        <v>6194141.05</v>
      </c>
      <c r="O39" s="17" t="n"/>
      <c r="P39" s="18" t="n"/>
      <c r="Q39" s="18" t="n"/>
      <c r="R39" s="18" t="n">
        <v>2146649.1226294</v>
      </c>
      <c r="S39" s="18" t="n">
        <v>4047491.9273706</v>
      </c>
      <c r="T39" s="17" t="n">
        <v>0</v>
      </c>
      <c r="U39" s="18" t="n">
        <v>2155.86296054288</v>
      </c>
      <c r="V39" s="18" t="n">
        <v>2155.86296054288</v>
      </c>
      <c r="W39" s="21" t="n">
        <v>2022</v>
      </c>
      <c r="X39" s="1" t="n">
        <v>1845490.3</v>
      </c>
      <c r="Y39" s="3" t="n">
        <f aca="false" ca="false" dt2D="false" dtr="false" t="normal">+(K39*13.29+L39*22.52)*12*0.85</f>
        <v>412855.44479999994</v>
      </c>
      <c r="Z39" s="3" t="n">
        <f aca="false" ca="false" dt2D="false" dtr="false" t="normal">+(K39*13.29+L39*22.52)*12*30</f>
        <v>14571368.639999999</v>
      </c>
      <c r="AB39" s="23" t="n">
        <f aca="false" ca="true" dt2D="false" dtr="false" t="normal">SUBTOTAL(9, AC39:AQ39)</f>
        <v>6194141.050000001</v>
      </c>
      <c r="AC39" s="17" t="n">
        <v>2562057.49</v>
      </c>
      <c r="AD39" s="17" t="n">
        <v>1395411.2</v>
      </c>
      <c r="AE39" s="17" t="n"/>
      <c r="AF39" s="17" t="n">
        <v>767119.01</v>
      </c>
      <c r="AG39" s="17" t="n">
        <v>0</v>
      </c>
      <c r="AH39" s="17" t="n"/>
      <c r="AI39" s="17" t="n"/>
      <c r="AJ39" s="17" t="n">
        <v>0</v>
      </c>
      <c r="AK39" s="17" t="n">
        <v>0</v>
      </c>
      <c r="AL39" s="17" t="n">
        <v>1469553.35</v>
      </c>
      <c r="AM39" s="17" t="n">
        <v>0</v>
      </c>
      <c r="AN39" s="17" t="n">
        <v>0</v>
      </c>
      <c r="AO39" s="17" t="n"/>
      <c r="AP39" s="18" t="n"/>
      <c r="AQ39" s="24" t="n"/>
      <c r="AR39" s="3" t="n">
        <f aca="false" ca="false" dt2D="false" dtr="false" t="normal">N39-AB39</f>
        <v>0</v>
      </c>
    </row>
    <row outlineLevel="0" r="40">
      <c r="A40" s="154" t="n">
        <f aca="false" ca="false" dt2D="false" dtr="false" t="normal">+A39+1</f>
        <v>23</v>
      </c>
      <c r="B40" s="138" t="n">
        <f aca="false" ca="false" dt2D="false" dtr="false" t="normal">+B39+1</f>
        <v>23</v>
      </c>
      <c r="C40" s="138" t="s">
        <v>104</v>
      </c>
      <c r="D40" s="138" t="s">
        <v>137</v>
      </c>
      <c r="E40" s="139" t="n">
        <v>1990</v>
      </c>
      <c r="F40" s="139" t="n">
        <v>2017</v>
      </c>
      <c r="G40" s="139" t="s">
        <v>4</v>
      </c>
      <c r="H40" s="139" t="n">
        <v>9</v>
      </c>
      <c r="I40" s="139" t="n">
        <v>1</v>
      </c>
      <c r="J40" s="17" t="n">
        <v>3197.5</v>
      </c>
      <c r="K40" s="17" t="n">
        <v>2621.1</v>
      </c>
      <c r="L40" s="17" t="n">
        <v>132.4</v>
      </c>
      <c r="M40" s="140" t="n">
        <v>94</v>
      </c>
      <c r="N40" s="16" t="n">
        <f aca="false" ca="false" dt2D="false" dtr="false" t="normal">SUM(P40:T40)</f>
        <v>2223790.75</v>
      </c>
      <c r="O40" s="17" t="n"/>
      <c r="P40" s="18" t="n"/>
      <c r="Q40" s="18" t="n"/>
      <c r="R40" s="18" t="n">
        <v>1017398.54</v>
      </c>
      <c r="S40" s="18" t="n">
        <v>1206392.21</v>
      </c>
      <c r="T40" s="17" t="n">
        <v>0</v>
      </c>
      <c r="U40" s="18" t="n">
        <v>898.299109442218</v>
      </c>
      <c r="V40" s="18" t="n">
        <v>898.299109442218</v>
      </c>
      <c r="W40" s="21" t="n">
        <v>2022</v>
      </c>
      <c r="X40" s="1" t="n">
        <v>1678059.52</v>
      </c>
      <c r="Y40" s="3" t="n">
        <f aca="false" ca="false" dt2D="false" dtr="false" t="normal">+(K40*13.29+L40*22.52)*12*0.85</f>
        <v>385723.88339999993</v>
      </c>
      <c r="Z40" s="3" t="n">
        <f aca="false" ca="false" dt2D="false" dtr="false" t="normal">+(K40*13.29+L40*22.52)*12*30</f>
        <v>13613784.12</v>
      </c>
      <c r="AB40" s="23" t="n">
        <f aca="false" ca="true" dt2D="false" dtr="false" t="normal">SUBTOTAL(9, AC40:AQ40)</f>
        <v>2223790.75</v>
      </c>
      <c r="AC40" s="17" t="n">
        <v>2223790.75</v>
      </c>
      <c r="AD40" s="17" t="n"/>
      <c r="AE40" s="17" t="n"/>
      <c r="AF40" s="17" t="n"/>
      <c r="AG40" s="17" t="n">
        <v>0</v>
      </c>
      <c r="AH40" s="17" t="n"/>
      <c r="AI40" s="17" t="n"/>
      <c r="AJ40" s="17" t="n">
        <v>0</v>
      </c>
      <c r="AK40" s="17" t="n">
        <v>0</v>
      </c>
      <c r="AL40" s="17" t="n"/>
      <c r="AM40" s="17" t="n">
        <v>0</v>
      </c>
      <c r="AN40" s="17" t="n">
        <v>0</v>
      </c>
      <c r="AO40" s="17" t="n"/>
      <c r="AP40" s="18" t="n"/>
      <c r="AQ40" s="24" t="n"/>
      <c r="AR40" s="3" t="n">
        <f aca="false" ca="false" dt2D="false" dtr="false" t="normal">N40-AB40</f>
        <v>0</v>
      </c>
    </row>
    <row outlineLevel="0" r="41">
      <c r="A41" s="154" t="n">
        <f aca="false" ca="false" dt2D="false" dtr="false" t="normal">+A40+1</f>
        <v>24</v>
      </c>
      <c r="B41" s="138" t="n">
        <f aca="false" ca="false" dt2D="false" dtr="false" t="normal">+B40+1</f>
        <v>24</v>
      </c>
      <c r="C41" s="138" t="s">
        <v>110</v>
      </c>
      <c r="D41" s="138" t="s">
        <v>140</v>
      </c>
      <c r="E41" s="139" t="n">
        <v>1994</v>
      </c>
      <c r="F41" s="139" t="n">
        <v>2017</v>
      </c>
      <c r="G41" s="139" t="s">
        <v>4</v>
      </c>
      <c r="H41" s="139" t="n">
        <v>10</v>
      </c>
      <c r="I41" s="139" t="n">
        <v>1</v>
      </c>
      <c r="J41" s="17" t="n">
        <v>3224</v>
      </c>
      <c r="K41" s="17" t="n">
        <v>2850</v>
      </c>
      <c r="L41" s="17" t="n">
        <v>0</v>
      </c>
      <c r="M41" s="140" t="n">
        <v>96</v>
      </c>
      <c r="N41" s="16" t="n">
        <f aca="false" ca="false" dt2D="false" dtr="false" t="normal">SUM(P41:T41)</f>
        <v>3218799.54</v>
      </c>
      <c r="O41" s="17" t="n"/>
      <c r="P41" s="161" t="n">
        <v>2383274.134</v>
      </c>
      <c r="Q41" s="161" t="n"/>
      <c r="R41" s="161" t="n">
        <v>835525.406</v>
      </c>
      <c r="S41" s="18" t="n"/>
      <c r="T41" s="17" t="n"/>
      <c r="U41" s="18" t="n">
        <v>1943.39953893812</v>
      </c>
      <c r="V41" s="18" t="n">
        <v>1943.39953893812</v>
      </c>
      <c r="W41" s="21" t="n">
        <v>2022</v>
      </c>
      <c r="Y41" s="3" t="n">
        <f aca="false" ca="false" dt2D="false" dtr="false" t="normal">+(K41*13.29+L41*22.52)*12*0.85</f>
        <v>386340.3</v>
      </c>
      <c r="AB41" s="23" t="n">
        <f aca="false" ca="true" dt2D="false" dtr="false" t="normal">SUBTOTAL(9, AC41:AQ41)</f>
        <v>3218799.54</v>
      </c>
      <c r="AC41" s="17" t="n">
        <v>0</v>
      </c>
      <c r="AD41" s="17" t="n">
        <v>0</v>
      </c>
      <c r="AE41" s="17" t="n">
        <v>0</v>
      </c>
      <c r="AF41" s="17" t="n">
        <v>0</v>
      </c>
      <c r="AG41" s="17" t="n">
        <v>0</v>
      </c>
      <c r="AH41" s="17" t="n"/>
      <c r="AI41" s="17" t="n"/>
      <c r="AJ41" s="17" t="n">
        <v>0</v>
      </c>
      <c r="AK41" s="162" t="n">
        <v>2913300.81</v>
      </c>
      <c r="AL41" s="162" t="n">
        <v>0</v>
      </c>
      <c r="AM41" s="162" t="n">
        <v>0</v>
      </c>
      <c r="AN41" s="162" t="n">
        <v>0</v>
      </c>
      <c r="AO41" s="162" t="n">
        <v>297498.73</v>
      </c>
      <c r="AP41" s="161" t="n">
        <v>8000</v>
      </c>
      <c r="AQ41" s="163" t="n"/>
      <c r="AR41" s="3" t="n">
        <f aca="false" ca="false" dt2D="false" dtr="false" t="normal">N41-AB41</f>
        <v>0</v>
      </c>
    </row>
    <row outlineLevel="0" r="42">
      <c r="A42" s="154" t="n">
        <f aca="false" ca="false" dt2D="false" dtr="false" t="normal">+A41+1</f>
        <v>25</v>
      </c>
      <c r="B42" s="138" t="n">
        <f aca="false" ca="false" dt2D="false" dtr="false" t="normal">+B41+1</f>
        <v>25</v>
      </c>
      <c r="C42" s="138" t="s">
        <v>104</v>
      </c>
      <c r="D42" s="138" t="s">
        <v>143</v>
      </c>
      <c r="E42" s="139" t="n">
        <v>1991</v>
      </c>
      <c r="F42" s="139" t="n">
        <v>1991</v>
      </c>
      <c r="G42" s="139" t="s">
        <v>4</v>
      </c>
      <c r="H42" s="139" t="n">
        <v>5</v>
      </c>
      <c r="I42" s="139" t="n">
        <v>8</v>
      </c>
      <c r="J42" s="17" t="n">
        <v>7532.7</v>
      </c>
      <c r="K42" s="17" t="n">
        <v>6513.5</v>
      </c>
      <c r="L42" s="17" t="n">
        <v>98.2</v>
      </c>
      <c r="M42" s="140" t="n">
        <v>288</v>
      </c>
      <c r="N42" s="16" t="n">
        <f aca="false" ca="false" dt2D="false" dtr="false" t="normal">SUM(P42:T42)</f>
        <v>2578445.07</v>
      </c>
      <c r="O42" s="155" t="n"/>
      <c r="P42" s="18" t="n">
        <v>0</v>
      </c>
      <c r="Q42" s="18" t="n"/>
      <c r="R42" s="18" t="n">
        <v>809686.14</v>
      </c>
      <c r="S42" s="18" t="n">
        <v>1768758.93</v>
      </c>
      <c r="T42" s="17" t="n">
        <v>0</v>
      </c>
      <c r="U42" s="18" t="n">
        <v>465.571120730634</v>
      </c>
      <c r="V42" s="18" t="n">
        <v>465.571120730634</v>
      </c>
      <c r="W42" s="21" t="n">
        <v>2022</v>
      </c>
      <c r="X42" s="1" t="n">
        <f aca="false" ca="false" dt2D="false" dtr="false" t="normal">3159895.02-'[2]Приложение №1'!$R$23-542094.29</f>
        <v>2617800.73</v>
      </c>
      <c r="Y42" s="3" t="n">
        <f aca="false" ca="false" dt2D="false" dtr="false" t="normal">+(K42*10+L42*20)*12*0.85</f>
        <v>684409.7999999999</v>
      </c>
      <c r="Z42" s="3" t="n">
        <f aca="false" ca="false" dt2D="false" dtr="false" t="normal">+(K42*10+L42*20)*12*30-'[2]Приложение №1'!$S$23-4668048.56</f>
        <v>19487591.44</v>
      </c>
      <c r="AB42" s="23" t="n">
        <f aca="false" ca="true" dt2D="false" dtr="false" t="normal">SUBTOTAL(9, AC42:AQ42)</f>
        <v>2578445.07</v>
      </c>
      <c r="AC42" s="17" t="n"/>
      <c r="AD42" s="17" t="n">
        <v>2540840.59</v>
      </c>
      <c r="AE42" s="17" t="n">
        <v>0</v>
      </c>
      <c r="AG42" s="17" t="n">
        <v>0</v>
      </c>
      <c r="AH42" s="17" t="n"/>
      <c r="AI42" s="17" t="n"/>
      <c r="AJ42" s="17" t="n">
        <v>0</v>
      </c>
      <c r="AK42" s="17" t="n">
        <v>0</v>
      </c>
      <c r="AL42" s="17" t="n">
        <v>0</v>
      </c>
      <c r="AM42" s="17" t="n">
        <v>0</v>
      </c>
      <c r="AN42" s="17" t="n">
        <v>0</v>
      </c>
      <c r="AO42" s="17" t="n"/>
      <c r="AP42" s="18" t="n"/>
      <c r="AQ42" s="156" t="n">
        <f aca="false" ca="false" dt2D="false" dtr="false" t="normal">37604.48</f>
        <v>37604.48</v>
      </c>
      <c r="AR42" s="3" t="n">
        <f aca="false" ca="false" dt2D="false" dtr="false" t="normal">N42-AB42</f>
        <v>0</v>
      </c>
    </row>
    <row outlineLevel="0" r="43">
      <c r="A43" s="154" t="n">
        <f aca="false" ca="false" dt2D="false" dtr="false" t="normal">+A42+1</f>
        <v>26</v>
      </c>
      <c r="B43" s="138" t="n">
        <f aca="false" ca="false" dt2D="false" dtr="false" t="normal">+B42+1</f>
        <v>26</v>
      </c>
      <c r="C43" s="138" t="s">
        <v>110</v>
      </c>
      <c r="D43" s="138" t="s">
        <v>144</v>
      </c>
      <c r="E43" s="139" t="n">
        <v>1993</v>
      </c>
      <c r="F43" s="139" t="n">
        <v>1993</v>
      </c>
      <c r="G43" s="139" t="s">
        <v>4</v>
      </c>
      <c r="H43" s="139" t="n">
        <v>9</v>
      </c>
      <c r="I43" s="139" t="n">
        <v>1</v>
      </c>
      <c r="J43" s="17" t="n">
        <v>2888.5</v>
      </c>
      <c r="K43" s="17" t="n">
        <v>2497</v>
      </c>
      <c r="L43" s="17" t="n">
        <v>0</v>
      </c>
      <c r="M43" s="140" t="n">
        <v>69</v>
      </c>
      <c r="N43" s="16" t="n">
        <f aca="false" ca="false" dt2D="false" dtr="false" t="normal">SUM(P43:T43)</f>
        <v>3557949.73</v>
      </c>
      <c r="O43" s="17" t="n"/>
      <c r="P43" s="161" t="n">
        <v>2911514.27</v>
      </c>
      <c r="Q43" s="161" t="n"/>
      <c r="R43" s="161" t="n">
        <v>646435.46</v>
      </c>
      <c r="S43" s="18" t="n"/>
      <c r="T43" s="17" t="n">
        <v>0</v>
      </c>
      <c r="U43" s="18" t="n">
        <v>1476.09453344013</v>
      </c>
      <c r="V43" s="18" t="n">
        <v>1476.09453344013</v>
      </c>
      <c r="W43" s="21" t="n">
        <v>2022</v>
      </c>
      <c r="Y43" s="3" t="n">
        <f aca="false" ca="false" dt2D="false" dtr="false" t="normal">+(K43*13.29+L43*22.52)*12*0.85</f>
        <v>338488.32599999994</v>
      </c>
      <c r="AB43" s="23" t="n">
        <f aca="false" ca="true" dt2D="false" dtr="false" t="normal">SUBTOTAL(9, AC43:AQ43)</f>
        <v>3557949.73</v>
      </c>
      <c r="AC43" s="162" t="n">
        <v>2951330.4</v>
      </c>
      <c r="AD43" s="162" t="n">
        <v>0</v>
      </c>
      <c r="AE43" s="162" t="n">
        <v>0</v>
      </c>
      <c r="AF43" s="162" t="n">
        <v>0</v>
      </c>
      <c r="AG43" s="162" t="n">
        <v>0</v>
      </c>
      <c r="AH43" s="162" t="n"/>
      <c r="AI43" s="162" t="n"/>
      <c r="AJ43" s="162" t="n">
        <v>0</v>
      </c>
      <c r="AK43" s="162" t="n">
        <v>0</v>
      </c>
      <c r="AL43" s="162" t="n"/>
      <c r="AM43" s="162" t="n">
        <v>0</v>
      </c>
      <c r="AN43" s="162" t="n">
        <v>0</v>
      </c>
      <c r="AO43" s="162" t="n">
        <v>582619.33</v>
      </c>
      <c r="AP43" s="161" t="n">
        <v>24000</v>
      </c>
      <c r="AQ43" s="163" t="n"/>
      <c r="AR43" s="3" t="n">
        <f aca="false" ca="false" dt2D="false" dtr="false" t="normal">N43-AB43</f>
        <v>0</v>
      </c>
    </row>
    <row outlineLevel="0" r="44">
      <c r="A44" s="154" t="n">
        <f aca="false" ca="false" dt2D="false" dtr="false" t="normal">+A43+1</f>
        <v>27</v>
      </c>
      <c r="B44" s="138" t="n">
        <f aca="false" ca="false" dt2D="false" dtr="false" t="normal">+B43+1</f>
        <v>27</v>
      </c>
      <c r="C44" s="138" t="s">
        <v>104</v>
      </c>
      <c r="D44" s="138" t="s">
        <v>146</v>
      </c>
      <c r="E44" s="139" t="n">
        <v>1990</v>
      </c>
      <c r="F44" s="139" t="n">
        <v>1990</v>
      </c>
      <c r="G44" s="139" t="s">
        <v>4</v>
      </c>
      <c r="H44" s="139" t="n">
        <v>5</v>
      </c>
      <c r="I44" s="139" t="n">
        <v>8</v>
      </c>
      <c r="J44" s="17" t="n">
        <v>7467.3</v>
      </c>
      <c r="K44" s="17" t="n">
        <v>6603.4</v>
      </c>
      <c r="L44" s="17" t="n">
        <v>0</v>
      </c>
      <c r="M44" s="140" t="n">
        <v>290</v>
      </c>
      <c r="N44" s="16" t="n">
        <f aca="false" ca="false" dt2D="false" dtr="false" t="normal">SUM(P44:T44)</f>
        <v>8504765.02</v>
      </c>
      <c r="O44" s="155" t="n"/>
      <c r="P44" s="18" t="n"/>
      <c r="Q44" s="18" t="n"/>
      <c r="R44" s="18" t="n">
        <v>3767863.03</v>
      </c>
      <c r="S44" s="18" t="n">
        <v>4736901.99</v>
      </c>
      <c r="T44" s="17" t="n">
        <v>0</v>
      </c>
      <c r="U44" s="18" t="n">
        <v>1369.22254399925</v>
      </c>
      <c r="V44" s="18" t="n">
        <v>1369.22254399925</v>
      </c>
      <c r="W44" s="21" t="n">
        <v>2022</v>
      </c>
      <c r="X44" s="1" t="n">
        <v>3256134.06</v>
      </c>
      <c r="Y44" s="3" t="n">
        <f aca="false" ca="false" dt2D="false" dtr="false" t="normal">+(K44*10+L44*20)*12*0.85</f>
        <v>673546.7999999999</v>
      </c>
      <c r="Z44" s="3" t="n">
        <f aca="false" ca="false" dt2D="false" dtr="false" t="normal">+(K44*10+L44*20)*12*30</f>
        <v>23772240</v>
      </c>
      <c r="AB44" s="23" t="n">
        <f aca="false" ca="true" dt2D="false" dtr="false" t="normal">SUBTOTAL(9, AC44:AQ44)</f>
        <v>8504765.02</v>
      </c>
      <c r="AC44" s="17" t="n">
        <v>3433452.29</v>
      </c>
      <c r="AD44" s="17" t="n">
        <v>2760585.92</v>
      </c>
      <c r="AE44" s="17" t="n">
        <v>0</v>
      </c>
      <c r="AF44" s="17" t="n">
        <v>2310726.81</v>
      </c>
      <c r="AG44" s="17" t="n">
        <v>0</v>
      </c>
      <c r="AH44" s="17" t="n"/>
      <c r="AI44" s="17" t="n"/>
      <c r="AJ44" s="17" t="n">
        <v>0</v>
      </c>
      <c r="AK44" s="17" t="n">
        <v>0</v>
      </c>
      <c r="AL44" s="17" t="n">
        <v>0</v>
      </c>
      <c r="AM44" s="17" t="n">
        <v>0</v>
      </c>
      <c r="AN44" s="17" t="n">
        <v>0</v>
      </c>
      <c r="AO44" s="17" t="n"/>
      <c r="AP44" s="18" t="n"/>
      <c r="AQ44" s="156" t="n">
        <v>0</v>
      </c>
      <c r="AR44" s="3" t="n">
        <f aca="false" ca="false" dt2D="false" dtr="false" t="normal">N44-AB44</f>
        <v>0</v>
      </c>
    </row>
    <row outlineLevel="0" r="45">
      <c r="A45" s="154" t="n">
        <f aca="false" ca="false" dt2D="false" dtr="false" t="normal">+A44+1</f>
        <v>28</v>
      </c>
      <c r="B45" s="138" t="n">
        <f aca="false" ca="false" dt2D="false" dtr="false" t="normal">+B44+1</f>
        <v>28</v>
      </c>
      <c r="C45" s="138" t="s">
        <v>104</v>
      </c>
      <c r="D45" s="138" t="s">
        <v>152</v>
      </c>
      <c r="E45" s="139" t="n">
        <v>1986</v>
      </c>
      <c r="F45" s="139" t="n">
        <v>2013</v>
      </c>
      <c r="G45" s="139" t="s">
        <v>4</v>
      </c>
      <c r="H45" s="139" t="n">
        <v>5</v>
      </c>
      <c r="I45" s="139" t="n">
        <v>3</v>
      </c>
      <c r="J45" s="17" t="n">
        <v>4428.4</v>
      </c>
      <c r="K45" s="17" t="n">
        <v>3725.8</v>
      </c>
      <c r="L45" s="17" t="n">
        <v>0</v>
      </c>
      <c r="M45" s="140" t="n">
        <v>153</v>
      </c>
      <c r="N45" s="16" t="n">
        <f aca="false" ca="false" dt2D="false" dtr="false" t="normal">SUM(P45:T45)</f>
        <v>5115227.17</v>
      </c>
      <c r="O45" s="17" t="n"/>
      <c r="P45" s="18" t="n"/>
      <c r="Q45" s="18" t="n"/>
      <c r="R45" s="18" t="n">
        <v>2244260.13</v>
      </c>
      <c r="S45" s="18" t="n">
        <v>2870967.04</v>
      </c>
      <c r="T45" s="17" t="n">
        <v>0</v>
      </c>
      <c r="U45" s="18" t="n">
        <v>1423.1670061272</v>
      </c>
      <c r="V45" s="18" t="n">
        <v>1423.1670061272</v>
      </c>
      <c r="W45" s="21" t="n">
        <v>2022</v>
      </c>
      <c r="X45" s="1" t="n">
        <v>1864228.53</v>
      </c>
      <c r="Y45" s="3" t="n">
        <f aca="false" ca="false" dt2D="false" dtr="false" t="normal">+(K45*10+L45*20)*12*0.85</f>
        <v>380031.6</v>
      </c>
      <c r="Z45" s="3" t="n">
        <f aca="false" ca="false" dt2D="false" dtr="false" t="normal">+(K45*10+L45*20)*12*30</f>
        <v>13412880</v>
      </c>
      <c r="AB45" s="23" t="n">
        <f aca="false" ca="true" dt2D="false" dtr="false" t="normal">SUBTOTAL(9, AC45:AQ45)</f>
        <v>5115227.17</v>
      </c>
      <c r="AC45" s="17" t="n"/>
      <c r="AD45" s="17" t="n">
        <v>0</v>
      </c>
      <c r="AE45" s="17" t="n">
        <v>0</v>
      </c>
      <c r="AF45" s="17" t="n"/>
      <c r="AG45" s="17" t="n">
        <v>0</v>
      </c>
      <c r="AH45" s="17" t="n"/>
      <c r="AI45" s="17" t="n"/>
      <c r="AJ45" s="17" t="n">
        <v>0</v>
      </c>
      <c r="AK45" s="17" t="n">
        <v>0</v>
      </c>
      <c r="AL45" s="17" t="n">
        <v>5115227.17</v>
      </c>
      <c r="AM45" s="17" t="n">
        <v>0</v>
      </c>
      <c r="AN45" s="17" t="n">
        <v>0</v>
      </c>
      <c r="AO45" s="17" t="n"/>
      <c r="AP45" s="18" t="n"/>
      <c r="AQ45" s="24" t="n"/>
      <c r="AR45" s="3" t="n">
        <f aca="false" ca="false" dt2D="false" dtr="false" t="normal">N45-AB45</f>
        <v>0</v>
      </c>
    </row>
    <row outlineLevel="0" r="46">
      <c r="A46" s="154" t="n">
        <f aca="false" ca="false" dt2D="false" dtr="false" t="normal">+A45+1</f>
        <v>29</v>
      </c>
      <c r="B46" s="138" t="n">
        <f aca="false" ca="false" dt2D="false" dtr="false" t="normal">+B45+1</f>
        <v>29</v>
      </c>
      <c r="C46" s="138" t="s">
        <v>104</v>
      </c>
      <c r="D46" s="138" t="s">
        <v>154</v>
      </c>
      <c r="E46" s="139" t="n">
        <v>1982</v>
      </c>
      <c r="F46" s="139" t="n">
        <v>2015</v>
      </c>
      <c r="G46" s="139" t="s">
        <v>4</v>
      </c>
      <c r="H46" s="139" t="n">
        <v>5</v>
      </c>
      <c r="I46" s="139" t="n">
        <v>2</v>
      </c>
      <c r="J46" s="17" t="n">
        <v>4442.3</v>
      </c>
      <c r="K46" s="17" t="n">
        <v>3156.5</v>
      </c>
      <c r="L46" s="17" t="n">
        <v>550.3</v>
      </c>
      <c r="M46" s="140" t="n">
        <v>201</v>
      </c>
      <c r="N46" s="16" t="n">
        <f aca="false" ca="false" dt2D="false" dtr="false" t="normal">SUM(P46:T46)</f>
        <v>4339069.35</v>
      </c>
      <c r="O46" s="17" t="n"/>
      <c r="P46" s="18" t="n"/>
      <c r="Q46" s="18" t="n"/>
      <c r="R46" s="18" t="n">
        <v>2476157.23</v>
      </c>
      <c r="S46" s="18" t="n">
        <v>1862912.12</v>
      </c>
      <c r="T46" s="17" t="n">
        <v>0</v>
      </c>
      <c r="U46" s="18" t="n">
        <v>1207.37401156335</v>
      </c>
      <c r="V46" s="18" t="n">
        <v>1207.37401156335</v>
      </c>
      <c r="W46" s="21" t="n">
        <v>2022</v>
      </c>
      <c r="X46" s="1" t="n">
        <v>2041933.03</v>
      </c>
      <c r="Y46" s="3" t="n">
        <f aca="false" ca="false" dt2D="false" dtr="false" t="normal">+(K46*10+L46*20)*12*0.85</f>
        <v>434224.2</v>
      </c>
      <c r="Z46" s="3" t="n">
        <f aca="false" ca="false" dt2D="false" dtr="false" t="normal">+(K46*10+L46*20)*12*30</f>
        <v>15325560</v>
      </c>
      <c r="AB46" s="23" t="n">
        <f aca="false" ca="true" dt2D="false" dtr="false" t="normal">SUBTOTAL(9, AC46:AQ46)</f>
        <v>4339069.35</v>
      </c>
      <c r="AC46" s="17" t="n">
        <v>0</v>
      </c>
      <c r="AD46" s="17" t="n">
        <v>0</v>
      </c>
      <c r="AE46" s="17" t="n">
        <v>0</v>
      </c>
      <c r="AF46" s="17" t="n">
        <v>0</v>
      </c>
      <c r="AG46" s="17" t="n">
        <v>0</v>
      </c>
      <c r="AH46" s="17" t="n"/>
      <c r="AI46" s="17" t="n"/>
      <c r="AJ46" s="17" t="n">
        <v>0</v>
      </c>
      <c r="AK46" s="17" t="n">
        <v>0</v>
      </c>
      <c r="AL46" s="17" t="n">
        <v>4339069.35</v>
      </c>
      <c r="AM46" s="17" t="n">
        <v>0</v>
      </c>
      <c r="AN46" s="17" t="n">
        <v>0</v>
      </c>
      <c r="AO46" s="17" t="n"/>
      <c r="AP46" s="18" t="n"/>
      <c r="AQ46" s="24" t="n"/>
      <c r="AR46" s="3" t="n">
        <f aca="false" ca="false" dt2D="false" dtr="false" t="normal">N46-AB46</f>
        <v>0</v>
      </c>
    </row>
    <row outlineLevel="0" r="47">
      <c r="A47" s="154" t="n">
        <f aca="false" ca="false" dt2D="false" dtr="false" t="normal">+A46+1</f>
        <v>30</v>
      </c>
      <c r="B47" s="138" t="n">
        <f aca="false" ca="false" dt2D="false" dtr="false" t="normal">+B46+1</f>
        <v>30</v>
      </c>
      <c r="C47" s="138" t="s">
        <v>104</v>
      </c>
      <c r="D47" s="138" t="s">
        <v>156</v>
      </c>
      <c r="E47" s="139" t="n">
        <v>1982</v>
      </c>
      <c r="F47" s="139" t="n">
        <v>2015</v>
      </c>
      <c r="G47" s="139" t="s">
        <v>4</v>
      </c>
      <c r="H47" s="139" t="n">
        <v>5</v>
      </c>
      <c r="I47" s="139" t="n">
        <v>2</v>
      </c>
      <c r="J47" s="17" t="n">
        <v>4452.8</v>
      </c>
      <c r="K47" s="17" t="n">
        <v>3512.5</v>
      </c>
      <c r="L47" s="17" t="n">
        <v>318.8</v>
      </c>
      <c r="M47" s="140" t="n">
        <v>217</v>
      </c>
      <c r="N47" s="16" t="n">
        <f aca="false" ca="false" dt2D="false" dtr="false" t="normal">SUM(P47:T47)</f>
        <v>3882256.2399999998</v>
      </c>
      <c r="O47" s="17" t="n"/>
      <c r="P47" s="18" t="n"/>
      <c r="Q47" s="18" t="n"/>
      <c r="R47" s="18" t="n">
        <v>1643740.64</v>
      </c>
      <c r="S47" s="18" t="n">
        <v>1314001.95</v>
      </c>
      <c r="T47" s="17" t="n">
        <v>924513.65</v>
      </c>
      <c r="U47" s="18" t="n">
        <v>1048.42651338553</v>
      </c>
      <c r="V47" s="18" t="n">
        <v>1048.42651338553</v>
      </c>
      <c r="W47" s="21" t="n">
        <v>2022</v>
      </c>
      <c r="X47" s="1" t="n">
        <v>1702606.52</v>
      </c>
      <c r="Y47" s="3" t="n">
        <f aca="false" ca="false" dt2D="false" dtr="false" t="normal">+(K47*10+L47*20)*12*0.85</f>
        <v>423310.2</v>
      </c>
      <c r="Z47" s="3" t="n">
        <f aca="false" ca="false" dt2D="false" dtr="false" t="normal">+(K47*10+L47*20)*12*30</f>
        <v>14940360</v>
      </c>
      <c r="AB47" s="23" t="n">
        <f aca="false" ca="true" dt2D="false" dtr="false" t="normal">SUBTOTAL(9, AC47:AQ47)</f>
        <v>3882256.24</v>
      </c>
      <c r="AC47" s="17" t="n">
        <v>0</v>
      </c>
      <c r="AD47" s="17" t="n">
        <v>0</v>
      </c>
      <c r="AE47" s="17" t="n">
        <v>0</v>
      </c>
      <c r="AF47" s="17" t="n">
        <v>0</v>
      </c>
      <c r="AG47" s="17" t="n">
        <v>0</v>
      </c>
      <c r="AH47" s="17" t="n"/>
      <c r="AI47" s="17" t="n"/>
      <c r="AJ47" s="17" t="n">
        <v>0</v>
      </c>
      <c r="AK47" s="17" t="n">
        <v>0</v>
      </c>
      <c r="AL47" s="17" t="n">
        <v>3882256.24</v>
      </c>
      <c r="AM47" s="17" t="n">
        <v>0</v>
      </c>
      <c r="AN47" s="17" t="n">
        <v>0</v>
      </c>
      <c r="AO47" s="17" t="n"/>
      <c r="AP47" s="18" t="n"/>
      <c r="AQ47" s="24" t="n"/>
      <c r="AR47" s="3" t="n">
        <f aca="false" ca="false" dt2D="false" dtr="false" t="normal">N47-AB47</f>
        <v>0</v>
      </c>
    </row>
    <row outlineLevel="0" r="48">
      <c r="A48" s="154" t="n">
        <f aca="false" ca="false" dt2D="false" dtr="false" t="normal">+A47+1</f>
        <v>31</v>
      </c>
      <c r="B48" s="138" t="n">
        <f aca="false" ca="false" dt2D="false" dtr="false" t="normal">+B47+1</f>
        <v>31</v>
      </c>
      <c r="C48" s="138" t="s">
        <v>104</v>
      </c>
      <c r="D48" s="138" t="s">
        <v>160</v>
      </c>
      <c r="E48" s="139" t="n">
        <v>1982</v>
      </c>
      <c r="F48" s="139" t="n">
        <v>2015</v>
      </c>
      <c r="G48" s="139" t="s">
        <v>4</v>
      </c>
      <c r="H48" s="139" t="n">
        <v>5</v>
      </c>
      <c r="I48" s="139" t="n">
        <v>2</v>
      </c>
      <c r="J48" s="17" t="n">
        <v>4432.9</v>
      </c>
      <c r="K48" s="17" t="n">
        <v>3547.5</v>
      </c>
      <c r="L48" s="17" t="n">
        <v>134.8</v>
      </c>
      <c r="M48" s="140" t="n">
        <v>210</v>
      </c>
      <c r="N48" s="16" t="n">
        <f aca="false" ca="false" dt2D="false" dtr="false" t="normal">SUM(P48:T48)</f>
        <v>3994725.91</v>
      </c>
      <c r="O48" s="17" t="n"/>
      <c r="P48" s="18" t="n"/>
      <c r="Q48" s="18" t="n"/>
      <c r="R48" s="18" t="n">
        <v>1735919.07</v>
      </c>
      <c r="S48" s="18" t="n">
        <v>1334293.18</v>
      </c>
      <c r="T48" s="17" t="n">
        <v>924513.66</v>
      </c>
      <c r="U48" s="18" t="n">
        <v>1121.38817858927</v>
      </c>
      <c r="V48" s="18" t="n">
        <v>1121.38817858927</v>
      </c>
      <c r="W48" s="21" t="n">
        <v>2022</v>
      </c>
      <c r="X48" s="1" t="n">
        <v>1792243.71</v>
      </c>
      <c r="Y48" s="3" t="n">
        <f aca="false" ca="false" dt2D="false" dtr="false" t="normal">+(K48*10+L48*20)*12*0.85</f>
        <v>389344.2</v>
      </c>
      <c r="Z48" s="3" t="n">
        <f aca="false" ca="false" dt2D="false" dtr="false" t="normal">+(K48*10+L48*20)*12*30</f>
        <v>13741560</v>
      </c>
      <c r="AB48" s="23" t="n">
        <f aca="false" ca="true" dt2D="false" dtr="false" t="normal">SUBTOTAL(9, AC48:AQ48)</f>
        <v>3994725.91</v>
      </c>
      <c r="AC48" s="17" t="n">
        <v>0</v>
      </c>
      <c r="AD48" s="17" t="n">
        <v>0</v>
      </c>
      <c r="AE48" s="17" t="n">
        <v>0</v>
      </c>
      <c r="AF48" s="17" t="n">
        <v>0</v>
      </c>
      <c r="AG48" s="17" t="n">
        <v>0</v>
      </c>
      <c r="AH48" s="17" t="n"/>
      <c r="AI48" s="17" t="n"/>
      <c r="AJ48" s="17" t="n">
        <v>0</v>
      </c>
      <c r="AK48" s="17" t="n">
        <v>0</v>
      </c>
      <c r="AL48" s="17" t="n">
        <v>3994725.91</v>
      </c>
      <c r="AM48" s="17" t="n">
        <v>0</v>
      </c>
      <c r="AN48" s="17" t="n">
        <v>0</v>
      </c>
      <c r="AO48" s="17" t="n"/>
      <c r="AP48" s="18" t="n"/>
      <c r="AQ48" s="24" t="n"/>
      <c r="AR48" s="3" t="n">
        <f aca="false" ca="false" dt2D="false" dtr="false" t="normal">N48-AB48</f>
        <v>0</v>
      </c>
    </row>
    <row outlineLevel="0" r="49">
      <c r="A49" s="154" t="n">
        <f aca="false" ca="false" dt2D="false" dtr="false" t="normal">+A48+1</f>
        <v>32</v>
      </c>
      <c r="B49" s="138" t="n">
        <f aca="false" ca="false" dt2D="false" dtr="false" t="normal">+B48+1</f>
        <v>32</v>
      </c>
      <c r="C49" s="138" t="s">
        <v>104</v>
      </c>
      <c r="D49" s="138" t="s">
        <v>163</v>
      </c>
      <c r="E49" s="139" t="s">
        <v>164</v>
      </c>
      <c r="F49" s="139" t="n"/>
      <c r="G49" s="139" t="s">
        <v>4</v>
      </c>
      <c r="H49" s="139" t="s">
        <v>165</v>
      </c>
      <c r="I49" s="139" t="s">
        <v>5</v>
      </c>
      <c r="J49" s="17" t="n">
        <v>4415.9</v>
      </c>
      <c r="K49" s="17" t="n">
        <v>2900.4</v>
      </c>
      <c r="L49" s="17" t="n">
        <v>868.6</v>
      </c>
      <c r="M49" s="140" t="n">
        <v>169</v>
      </c>
      <c r="N49" s="16" t="n">
        <f aca="false" ca="false" dt2D="false" dtr="false" t="normal">SUM(P49:T49)</f>
        <v>3410025.96</v>
      </c>
      <c r="O49" s="155" t="n">
        <v>0</v>
      </c>
      <c r="P49" s="18" t="n">
        <v>0</v>
      </c>
      <c r="Q49" s="18" t="n">
        <v>0</v>
      </c>
      <c r="R49" s="18" t="n">
        <v>3410025.96</v>
      </c>
      <c r="S49" s="18" t="n"/>
      <c r="T49" s="18" t="n">
        <v>0</v>
      </c>
      <c r="U49" s="17" t="n">
        <v>941.869591328119</v>
      </c>
      <c r="V49" s="17" t="n">
        <v>941.869591328119</v>
      </c>
      <c r="W49" s="21" t="n">
        <v>2022</v>
      </c>
      <c r="X49" s="1" t="n">
        <v>3734892.48</v>
      </c>
      <c r="Y49" s="3" t="n">
        <f aca="false" ca="false" dt2D="false" dtr="false" t="normal">+(K49*10+L49*20)*12*0.85</f>
        <v>473035.2</v>
      </c>
      <c r="Z49" s="3" t="n">
        <f aca="false" ca="false" dt2D="false" dtr="false" t="normal">+(K49*10+L49*20)*12*30</f>
        <v>16695360</v>
      </c>
      <c r="AB49" s="23" t="n">
        <f aca="false" ca="true" dt2D="false" dtr="false" t="normal">SUBTOTAL(9, AC49:AQ49)</f>
        <v>3410025.96</v>
      </c>
      <c r="AC49" s="17" t="n">
        <v>0</v>
      </c>
      <c r="AD49" s="17" t="n">
        <v>0</v>
      </c>
      <c r="AE49" s="17" t="n">
        <v>0</v>
      </c>
      <c r="AF49" s="17" t="n">
        <v>0</v>
      </c>
      <c r="AG49" s="17" t="n">
        <v>0</v>
      </c>
      <c r="AH49" s="17" t="n"/>
      <c r="AI49" s="17" t="n"/>
      <c r="AJ49" s="17" t="n">
        <v>0</v>
      </c>
      <c r="AK49" s="17" t="n">
        <v>0</v>
      </c>
      <c r="AL49" s="17" t="n">
        <v>3410025.96</v>
      </c>
      <c r="AM49" s="17" t="n">
        <v>0</v>
      </c>
      <c r="AN49" s="17" t="n">
        <v>0</v>
      </c>
      <c r="AO49" s="17" t="n"/>
      <c r="AP49" s="18" t="n"/>
      <c r="AQ49" s="24" t="n"/>
      <c r="AR49" s="3" t="n">
        <f aca="false" ca="false" dt2D="false" dtr="false" t="normal">N49-AB49</f>
        <v>0</v>
      </c>
    </row>
    <row outlineLevel="0" r="50">
      <c r="A50" s="154" t="n">
        <f aca="false" ca="false" dt2D="false" dtr="false" t="normal">+A49+1</f>
        <v>33</v>
      </c>
      <c r="B50" s="138" t="n">
        <f aca="false" ca="false" dt2D="false" dtr="false" t="normal">+B49+1</f>
        <v>33</v>
      </c>
      <c r="C50" s="138" t="s">
        <v>104</v>
      </c>
      <c r="D50" s="138" t="s">
        <v>168</v>
      </c>
      <c r="E50" s="139" t="n">
        <v>1983</v>
      </c>
      <c r="F50" s="139" t="n">
        <v>2008</v>
      </c>
      <c r="G50" s="139" t="s">
        <v>4</v>
      </c>
      <c r="H50" s="139" t="n">
        <v>5</v>
      </c>
      <c r="I50" s="139" t="n">
        <v>3</v>
      </c>
      <c r="J50" s="17" t="n">
        <v>5132.1</v>
      </c>
      <c r="K50" s="17" t="n">
        <v>4364.6</v>
      </c>
      <c r="L50" s="17" t="n">
        <v>0</v>
      </c>
      <c r="M50" s="140" t="n">
        <v>197</v>
      </c>
      <c r="N50" s="16" t="n">
        <f aca="false" ca="false" dt2D="false" dtr="false" t="normal">SUM(P50:T50)</f>
        <v>11789941.39</v>
      </c>
      <c r="O50" s="17" t="n"/>
      <c r="P50" s="18" t="n">
        <v>1178824.69</v>
      </c>
      <c r="Q50" s="18" t="n"/>
      <c r="R50" s="18" t="n">
        <v>2481839.07</v>
      </c>
      <c r="S50" s="18" t="n">
        <v>8129277.63</v>
      </c>
      <c r="T50" s="17" t="n">
        <v>0</v>
      </c>
      <c r="U50" s="18" t="n">
        <v>2823.48332764835</v>
      </c>
      <c r="V50" s="18" t="n">
        <v>2823.48332764835</v>
      </c>
      <c r="W50" s="21" t="n">
        <v>2022</v>
      </c>
      <c r="X50" s="1" t="n">
        <v>2036649.87</v>
      </c>
      <c r="Y50" s="3" t="n">
        <f aca="false" ca="false" dt2D="false" dtr="false" t="normal">+(K50*10+L50*20)*12*0.85</f>
        <v>445189.2</v>
      </c>
      <c r="Z50" s="3" t="n">
        <f aca="false" ca="false" dt2D="false" dtr="false" t="normal">+(K50*10+L50*20)*12*30</f>
        <v>15712560</v>
      </c>
      <c r="AB50" s="23" t="n">
        <f aca="false" ca="true" dt2D="false" dtr="false" t="normal">SUBTOTAL(9, AC50:AQ50)</f>
        <v>11789941.39</v>
      </c>
      <c r="AC50" s="17" t="n">
        <v>5460916.2</v>
      </c>
      <c r="AD50" s="17" t="n"/>
      <c r="AE50" s="17" t="n"/>
      <c r="AF50" s="17" t="n">
        <v>2605145.33</v>
      </c>
      <c r="AG50" s="17" t="n">
        <v>0</v>
      </c>
      <c r="AH50" s="17" t="n"/>
      <c r="AI50" s="17" t="n"/>
      <c r="AJ50" s="17" t="n">
        <v>0</v>
      </c>
      <c r="AK50" s="17" t="n">
        <v>3676226.7</v>
      </c>
      <c r="AL50" s="17" t="n">
        <v>0</v>
      </c>
      <c r="AM50" s="17" t="n">
        <v>0</v>
      </c>
      <c r="AN50" s="17" t="n">
        <v>0</v>
      </c>
      <c r="AO50" s="17" t="n"/>
      <c r="AP50" s="18" t="n"/>
      <c r="AQ50" s="156" t="n">
        <f aca="false" ca="false" dt2D="false" dtr="false" t="normal">47653.16</f>
        <v>47653.16</v>
      </c>
      <c r="AR50" s="3" t="n">
        <f aca="false" ca="false" dt2D="false" dtr="false" t="normal">N50-AB50</f>
        <v>0</v>
      </c>
    </row>
    <row outlineLevel="0" r="51">
      <c r="A51" s="154" t="n">
        <f aca="false" ca="false" dt2D="false" dtr="false" t="normal">+A50+1</f>
        <v>34</v>
      </c>
      <c r="B51" s="138" t="n">
        <f aca="false" ca="false" dt2D="false" dtr="false" t="normal">+B50+1</f>
        <v>34</v>
      </c>
      <c r="C51" s="138" t="s">
        <v>104</v>
      </c>
      <c r="D51" s="138" t="s">
        <v>170</v>
      </c>
      <c r="E51" s="139" t="n">
        <v>1992</v>
      </c>
      <c r="F51" s="139" t="n">
        <v>2001</v>
      </c>
      <c r="G51" s="139" t="s">
        <v>4</v>
      </c>
      <c r="H51" s="139" t="n">
        <v>3</v>
      </c>
      <c r="I51" s="139" t="n">
        <v>5</v>
      </c>
      <c r="J51" s="17" t="n">
        <v>2965.1</v>
      </c>
      <c r="K51" s="17" t="n">
        <v>2484</v>
      </c>
      <c r="L51" s="17" t="n">
        <v>87.5</v>
      </c>
      <c r="M51" s="140" t="n">
        <v>91</v>
      </c>
      <c r="N51" s="16" t="n">
        <f aca="false" ca="false" dt2D="false" dtr="false" t="normal">SUM(P51:T51)</f>
        <v>24993173.34</v>
      </c>
      <c r="O51" s="17" t="n"/>
      <c r="P51" s="18" t="n">
        <v>17333675.79</v>
      </c>
      <c r="Q51" s="18" t="n"/>
      <c r="R51" s="18" t="n">
        <v>1187004.63937408</v>
      </c>
      <c r="S51" s="18" t="n">
        <v>6472492.91062592</v>
      </c>
      <c r="T51" s="17" t="n">
        <v>0</v>
      </c>
      <c r="U51" s="18" t="n">
        <v>10133.0502000288</v>
      </c>
      <c r="V51" s="18" t="n">
        <v>10133.0502000288</v>
      </c>
      <c r="W51" s="21" t="n">
        <v>2022</v>
      </c>
      <c r="X51" s="1" t="n">
        <v>1173019.05</v>
      </c>
      <c r="Y51" s="3" t="n">
        <f aca="false" ca="false" dt2D="false" dtr="false" t="normal">+(K51*10+L51*20)*12*0.85</f>
        <v>271218</v>
      </c>
      <c r="Z51" s="3" t="n">
        <f aca="false" ca="false" dt2D="false" dtr="false" t="normal">+(K51*10+L51*20)*12*30</f>
        <v>9572400</v>
      </c>
      <c r="AB51" s="23" t="n">
        <f aca="false" ca="true" dt2D="false" dtr="false" t="normal">SUBTOTAL(9, AC51:AQ51)</f>
        <v>24993173.34</v>
      </c>
      <c r="AC51" s="17" t="n">
        <v>0</v>
      </c>
      <c r="AD51" s="17" t="n">
        <v>0</v>
      </c>
      <c r="AE51" s="17" t="n">
        <v>0</v>
      </c>
      <c r="AF51" s="17" t="n">
        <v>0</v>
      </c>
      <c r="AG51" s="17" t="n">
        <v>0</v>
      </c>
      <c r="AH51" s="17" t="n"/>
      <c r="AI51" s="17" t="n"/>
      <c r="AJ51" s="17" t="n">
        <v>0</v>
      </c>
      <c r="AK51" s="17" t="n"/>
      <c r="AL51" s="17" t="n">
        <v>0</v>
      </c>
      <c r="AM51" s="17" t="n">
        <v>24993173.34</v>
      </c>
      <c r="AN51" s="17" t="n">
        <v>0</v>
      </c>
      <c r="AO51" s="17" t="n"/>
      <c r="AP51" s="18" t="n"/>
      <c r="AQ51" s="24" t="n"/>
      <c r="AR51" s="3" t="n">
        <f aca="false" ca="false" dt2D="false" dtr="false" t="normal">N51-AB51</f>
        <v>0</v>
      </c>
    </row>
    <row outlineLevel="0" r="52">
      <c r="A52" s="154" t="n">
        <f aca="false" ca="false" dt2D="false" dtr="false" t="normal">+A51+1</f>
        <v>35</v>
      </c>
      <c r="B52" s="138" t="n">
        <f aca="false" ca="false" dt2D="false" dtr="false" t="normal">+B51+1</f>
        <v>35</v>
      </c>
      <c r="C52" s="138" t="s">
        <v>104</v>
      </c>
      <c r="D52" s="138" t="s">
        <v>172</v>
      </c>
      <c r="E52" s="139" t="n">
        <v>1987</v>
      </c>
      <c r="F52" s="139" t="n">
        <v>2017</v>
      </c>
      <c r="G52" s="139" t="s">
        <v>4</v>
      </c>
      <c r="H52" s="139" t="n">
        <v>9</v>
      </c>
      <c r="I52" s="139" t="n">
        <v>1</v>
      </c>
      <c r="J52" s="17" t="n">
        <v>2767.8</v>
      </c>
      <c r="K52" s="17" t="n">
        <v>2150.8</v>
      </c>
      <c r="L52" s="17" t="n">
        <v>66.8</v>
      </c>
      <c r="M52" s="140" t="n">
        <v>94</v>
      </c>
      <c r="N52" s="16" t="n">
        <f aca="false" ca="false" dt2D="false" dtr="false" t="normal">SUM(P52:T52)</f>
        <v>2149155.58</v>
      </c>
      <c r="O52" s="17" t="n"/>
      <c r="P52" s="18" t="n"/>
      <c r="Q52" s="18" t="n"/>
      <c r="R52" s="18" t="n">
        <v>472007.06</v>
      </c>
      <c r="S52" s="18" t="n">
        <v>1677148.52</v>
      </c>
      <c r="T52" s="18" t="n"/>
      <c r="U52" s="17" t="n">
        <v>1050.86405986723</v>
      </c>
      <c r="V52" s="17" t="n">
        <v>1050.86405986723</v>
      </c>
      <c r="W52" s="21" t="n">
        <v>2022</v>
      </c>
      <c r="X52" s="1" t="n">
        <v>1394329.46</v>
      </c>
      <c r="Y52" s="3" t="n">
        <f aca="false" ca="false" dt2D="false" dtr="false" t="normal">+(K52*13.29+L52*22.52)*12*0.85</f>
        <v>306902.37360000005</v>
      </c>
      <c r="Z52" s="3" t="n">
        <f aca="false" ca="false" dt2D="false" dtr="false" t="normal">+(K52*13.29+L52*22.52)*12*30</f>
        <v>10831848.48</v>
      </c>
      <c r="AB52" s="23" t="n">
        <f aca="false" ca="true" dt2D="false" dtr="false" t="normal">SUBTOTAL(9, AC52:AQ52)</f>
        <v>2149155.58</v>
      </c>
      <c r="AC52" s="17" t="n"/>
      <c r="AD52" s="17" t="n">
        <v>2149155.58</v>
      </c>
      <c r="AE52" s="17" t="n">
        <v>0</v>
      </c>
      <c r="AF52" s="17" t="n">
        <v>0</v>
      </c>
      <c r="AG52" s="17" t="n">
        <v>0</v>
      </c>
      <c r="AH52" s="17" t="n"/>
      <c r="AI52" s="17" t="n"/>
      <c r="AJ52" s="17" t="n"/>
      <c r="AK52" s="17" t="n"/>
      <c r="AL52" s="17" t="n"/>
      <c r="AM52" s="17" t="n"/>
      <c r="AN52" s="17" t="n">
        <v>0</v>
      </c>
      <c r="AO52" s="17" t="n"/>
      <c r="AP52" s="18" t="n"/>
      <c r="AQ52" s="24" t="n"/>
      <c r="AR52" s="3" t="n">
        <f aca="false" ca="false" dt2D="false" dtr="false" t="normal">N52-AB52</f>
        <v>0</v>
      </c>
    </row>
    <row outlineLevel="0" r="53">
      <c r="A53" s="154" t="n">
        <f aca="false" ca="false" dt2D="false" dtr="false" t="normal">+A52+1</f>
        <v>36</v>
      </c>
      <c r="B53" s="138" t="n">
        <f aca="false" ca="false" dt2D="false" dtr="false" t="normal">+B52+1</f>
        <v>36</v>
      </c>
      <c r="C53" s="138" t="s">
        <v>104</v>
      </c>
      <c r="D53" s="138" t="s">
        <v>173</v>
      </c>
      <c r="E53" s="139" t="n">
        <v>1992</v>
      </c>
      <c r="F53" s="139" t="n">
        <v>2009</v>
      </c>
      <c r="G53" s="139" t="s">
        <v>4</v>
      </c>
      <c r="H53" s="139" t="n">
        <v>9</v>
      </c>
      <c r="I53" s="139" t="n">
        <v>1</v>
      </c>
      <c r="J53" s="17" t="n">
        <v>3320.9</v>
      </c>
      <c r="K53" s="17" t="n">
        <v>2870.8</v>
      </c>
      <c r="L53" s="17" t="n">
        <v>0</v>
      </c>
      <c r="M53" s="140" t="n">
        <v>115</v>
      </c>
      <c r="N53" s="16" t="n">
        <f aca="false" ca="false" dt2D="false" dtr="false" t="normal">SUM(P53:T53)</f>
        <v>1847088.8</v>
      </c>
      <c r="O53" s="17" t="n"/>
      <c r="P53" s="18" t="n"/>
      <c r="Q53" s="18" t="n"/>
      <c r="R53" s="18" t="n">
        <v>1847088.8</v>
      </c>
      <c r="S53" s="18" t="n"/>
      <c r="T53" s="17" t="n">
        <v>0</v>
      </c>
      <c r="U53" s="18" t="n">
        <v>657.721063000058</v>
      </c>
      <c r="V53" s="18" t="n">
        <v>657.721063000058</v>
      </c>
      <c r="W53" s="21" t="n">
        <v>2022</v>
      </c>
      <c r="X53" s="1" t="n">
        <v>1773302.69</v>
      </c>
      <c r="Y53" s="3" t="n">
        <f aca="false" ca="false" dt2D="false" dtr="false" t="normal">+(K53*13.29+L53*22.52)*12*0.85</f>
        <v>389159.9064</v>
      </c>
      <c r="Z53" s="3" t="n">
        <f aca="false" ca="false" dt2D="false" dtr="false" t="normal">+(K53*13.29+L53*22.52)*12*30</f>
        <v>13735055.52</v>
      </c>
      <c r="AB53" s="23" t="n">
        <f aca="false" ca="true" dt2D="false" dtr="false" t="normal">SUBTOTAL(9, AC53:AQ53)</f>
        <v>1847088.8</v>
      </c>
      <c r="AC53" s="17" t="n">
        <v>0</v>
      </c>
      <c r="AD53" s="17" t="n">
        <v>0</v>
      </c>
      <c r="AE53" s="17" t="n">
        <v>0</v>
      </c>
      <c r="AF53" s="17" t="n">
        <v>0</v>
      </c>
      <c r="AG53" s="17" t="n">
        <v>0</v>
      </c>
      <c r="AH53" s="17" t="n"/>
      <c r="AI53" s="17" t="n"/>
      <c r="AJ53" s="17" t="n">
        <v>0</v>
      </c>
      <c r="AK53" s="17" t="n">
        <v>1822287.29</v>
      </c>
      <c r="AL53" s="17" t="n">
        <v>0</v>
      </c>
      <c r="AM53" s="17" t="n">
        <v>0</v>
      </c>
      <c r="AN53" s="17" t="n">
        <v>0</v>
      </c>
      <c r="AO53" s="17" t="n"/>
      <c r="AP53" s="18" t="n"/>
      <c r="AQ53" s="156" t="n">
        <f aca="false" ca="false" dt2D="false" dtr="false" t="normal">24801.51</f>
        <v>24801.51</v>
      </c>
      <c r="AR53" s="3" t="n">
        <f aca="false" ca="false" dt2D="false" dtr="false" t="normal">N53-AB53</f>
        <v>0</v>
      </c>
    </row>
    <row outlineLevel="0" r="54">
      <c r="A54" s="154" t="n">
        <f aca="false" ca="false" dt2D="false" dtr="false" t="normal">+A53+1</f>
        <v>37</v>
      </c>
      <c r="B54" s="138" t="n">
        <f aca="false" ca="false" dt2D="false" dtr="false" t="normal">+B53+1</f>
        <v>37</v>
      </c>
      <c r="C54" s="138" t="s">
        <v>110</v>
      </c>
      <c r="D54" s="138" t="s">
        <v>175</v>
      </c>
      <c r="E54" s="139" t="n">
        <v>1995</v>
      </c>
      <c r="F54" s="139" t="n">
        <v>2007</v>
      </c>
      <c r="G54" s="139" t="s">
        <v>4</v>
      </c>
      <c r="H54" s="139" t="n">
        <v>9</v>
      </c>
      <c r="I54" s="139" t="n">
        <v>3</v>
      </c>
      <c r="J54" s="17" t="n">
        <v>8715.5</v>
      </c>
      <c r="K54" s="17" t="n">
        <v>7251.1</v>
      </c>
      <c r="L54" s="17" t="n">
        <v>660.9</v>
      </c>
      <c r="M54" s="140" t="n">
        <v>283</v>
      </c>
      <c r="N54" s="16" t="n">
        <f aca="false" ca="false" dt2D="false" dtr="false" t="normal">SUM(P54:T54)</f>
        <v>21685771.74</v>
      </c>
      <c r="O54" s="17" t="n"/>
      <c r="P54" s="18" t="n">
        <v>20694835.3</v>
      </c>
      <c r="Q54" s="161" t="n"/>
      <c r="R54" s="161" t="n">
        <v>990936.439999997</v>
      </c>
      <c r="S54" s="18" t="n"/>
      <c r="T54" s="17" t="n"/>
      <c r="U54" s="18" t="n">
        <v>2790.00168983822</v>
      </c>
      <c r="V54" s="18" t="n">
        <v>2790.00168983822</v>
      </c>
      <c r="W54" s="21" t="n">
        <v>2022</v>
      </c>
      <c r="Y54" s="3" t="n">
        <f aca="false" ca="false" dt2D="false" dtr="false" t="normal">+(K54*13.29+L54*22.52)*12*0.85</f>
        <v>1134755.9873999998</v>
      </c>
      <c r="AB54" s="23" t="n">
        <f aca="false" ca="true" dt2D="false" dtr="false" t="normal">SUBTOTAL(9, AC54:AQ54)</f>
        <v>21685771.74</v>
      </c>
      <c r="AC54" s="17" t="n"/>
      <c r="AD54" s="162" t="n">
        <v>6965734.8</v>
      </c>
      <c r="AE54" s="162" t="n">
        <v>2892341.42</v>
      </c>
      <c r="AF54" s="162" t="n">
        <v>3341459.79</v>
      </c>
      <c r="AG54" s="162" t="n">
        <v>0</v>
      </c>
      <c r="AH54" s="162" t="n"/>
      <c r="AI54" s="162" t="n"/>
      <c r="AJ54" s="162" t="n">
        <v>0</v>
      </c>
      <c r="AK54" s="162" t="n">
        <v>7743707.05</v>
      </c>
      <c r="AL54" s="162" t="n">
        <v>0</v>
      </c>
      <c r="AM54" s="162" t="n">
        <v>0</v>
      </c>
      <c r="AN54" s="162" t="n">
        <v>0</v>
      </c>
      <c r="AO54" s="162" t="n">
        <v>732528.68</v>
      </c>
      <c r="AP54" s="161" t="n">
        <v>10000</v>
      </c>
      <c r="AQ54" s="163" t="n"/>
      <c r="AR54" s="3" t="n">
        <f aca="false" ca="false" dt2D="false" dtr="false" t="normal">N54-AB54</f>
        <v>0</v>
      </c>
    </row>
    <row outlineLevel="0" r="55">
      <c r="A55" s="154" t="n">
        <f aca="false" ca="false" dt2D="false" dtr="false" t="normal">+A54+1</f>
        <v>38</v>
      </c>
      <c r="B55" s="138" t="n">
        <f aca="false" ca="false" dt2D="false" dtr="false" t="normal">+B54+1</f>
        <v>38</v>
      </c>
      <c r="C55" s="138" t="s">
        <v>177</v>
      </c>
      <c r="D55" s="138" t="s">
        <v>178</v>
      </c>
      <c r="E55" s="139" t="n">
        <v>1995</v>
      </c>
      <c r="F55" s="139" t="n">
        <v>1995</v>
      </c>
      <c r="G55" s="139" t="s">
        <v>4</v>
      </c>
      <c r="H55" s="139" t="n">
        <v>2</v>
      </c>
      <c r="I55" s="139" t="n">
        <v>2</v>
      </c>
      <c r="J55" s="17" t="n">
        <v>1067.3</v>
      </c>
      <c r="K55" s="17" t="n">
        <v>984.4</v>
      </c>
      <c r="L55" s="17" t="n">
        <v>0</v>
      </c>
      <c r="M55" s="140" t="n">
        <v>43</v>
      </c>
      <c r="N55" s="16" t="n">
        <f aca="false" ca="false" dt2D="false" dtr="false" t="normal">SUM(P55:T55)</f>
        <v>12553815.559</v>
      </c>
      <c r="O55" s="17" t="n"/>
      <c r="P55" s="18" t="n">
        <v>0</v>
      </c>
      <c r="Q55" s="18" t="n"/>
      <c r="R55" s="18" t="n">
        <v>543386.6</v>
      </c>
      <c r="S55" s="18" t="n">
        <v>3543840</v>
      </c>
      <c r="T55" s="17" t="n">
        <v>8466588.959</v>
      </c>
      <c r="U55" s="18" t="n">
        <v>12940.0949816857</v>
      </c>
      <c r="V55" s="18" t="n">
        <v>12940.0949816857</v>
      </c>
      <c r="W55" s="21" t="n">
        <v>2022</v>
      </c>
      <c r="X55" s="1" t="n">
        <v>442977.8</v>
      </c>
      <c r="Y55" s="3" t="n">
        <f aca="false" ca="false" dt2D="false" dtr="false" t="normal">+(K55*10+L55*20)*12*0.85</f>
        <v>100408.8</v>
      </c>
      <c r="Z55" s="3" t="n">
        <f aca="false" ca="false" dt2D="false" dtr="false" t="normal">+(K55*10+L55*20)*12*30</f>
        <v>3543840</v>
      </c>
      <c r="AB55" s="23" t="n">
        <f aca="false" ca="true" dt2D="false" dtr="false" t="normal">SUBTOTAL(9, AC55:AQ55)</f>
        <v>12553815.559</v>
      </c>
      <c r="AC55" s="17" t="n">
        <v>1983392.29</v>
      </c>
      <c r="AD55" s="17" t="n">
        <v>0</v>
      </c>
      <c r="AE55" s="17" t="n">
        <v>764851.03</v>
      </c>
      <c r="AF55" s="17" t="n">
        <v>859745.54</v>
      </c>
      <c r="AG55" s="17" t="n">
        <v>0</v>
      </c>
      <c r="AH55" s="17" t="n"/>
      <c r="AI55" s="17" t="n"/>
      <c r="AJ55" s="17" t="n">
        <v>0</v>
      </c>
      <c r="AK55" s="17" t="n">
        <v>4729777.27</v>
      </c>
      <c r="AL55" s="17" t="n">
        <v>0</v>
      </c>
      <c r="AM55" s="17" t="n">
        <v>3962700.17</v>
      </c>
      <c r="AN55" s="17" t="n"/>
      <c r="AO55" s="17" t="n">
        <v>118987.5845</v>
      </c>
      <c r="AP55" s="18" t="n">
        <v>24854.0145</v>
      </c>
      <c r="AQ55" s="156" t="n">
        <f aca="false" ca="false" dt2D="false" dtr="false" t="normal">20818.12+6585.02+11518.46+32453.28+38132.78</f>
        <v>109507.66</v>
      </c>
      <c r="AR55" s="3" t="n">
        <f aca="false" ca="false" dt2D="false" dtr="false" t="normal">N55-AB55</f>
        <v>0</v>
      </c>
    </row>
    <row outlineLevel="0" r="56">
      <c r="A56" s="154" t="n">
        <f aca="false" ca="false" dt2D="false" dtr="false" t="normal">+A55+1</f>
        <v>39</v>
      </c>
      <c r="B56" s="138" t="n">
        <f aca="false" ca="false" dt2D="false" dtr="false" t="normal">+B55+1</f>
        <v>39</v>
      </c>
      <c r="C56" s="138" t="s">
        <v>177</v>
      </c>
      <c r="D56" s="138" t="s">
        <v>182</v>
      </c>
      <c r="E56" s="139" t="n">
        <v>1999</v>
      </c>
      <c r="F56" s="139" t="n">
        <v>2011</v>
      </c>
      <c r="G56" s="139" t="s">
        <v>4</v>
      </c>
      <c r="H56" s="139" t="n">
        <v>4</v>
      </c>
      <c r="I56" s="139" t="n">
        <v>3</v>
      </c>
      <c r="J56" s="17" t="n">
        <v>1789.4</v>
      </c>
      <c r="K56" s="17" t="n">
        <v>1789.4</v>
      </c>
      <c r="L56" s="17" t="n">
        <v>0</v>
      </c>
      <c r="M56" s="140" t="n">
        <v>56</v>
      </c>
      <c r="N56" s="16" t="n">
        <f aca="false" ca="false" dt2D="false" dtr="false" t="normal">SUM(P56:T56)</f>
        <v>9735761.079999998</v>
      </c>
      <c r="O56" s="17" t="n"/>
      <c r="P56" s="18" t="n">
        <v>1115147.88</v>
      </c>
      <c r="Q56" s="18" t="n"/>
      <c r="R56" s="18" t="n">
        <v>889415</v>
      </c>
      <c r="S56" s="18" t="n">
        <v>6441840</v>
      </c>
      <c r="T56" s="17" t="n">
        <v>1289358.2</v>
      </c>
      <c r="U56" s="18" t="n">
        <v>5606.17177022018</v>
      </c>
      <c r="V56" s="18" t="n">
        <v>5606.17177022018</v>
      </c>
      <c r="W56" s="21" t="n">
        <v>2022</v>
      </c>
      <c r="X56" s="1" t="n">
        <v>725047.53</v>
      </c>
      <c r="Y56" s="3" t="n">
        <f aca="false" ca="false" dt2D="false" dtr="false" t="normal">+(K56*10+L56*20)*12*0.85</f>
        <v>182518.8</v>
      </c>
      <c r="Z56" s="3" t="n">
        <f aca="false" ca="false" dt2D="false" dtr="false" t="normal">+(K56*10+L56*20)*12*30</f>
        <v>6441840</v>
      </c>
      <c r="AB56" s="23" t="n">
        <f aca="false" ca="true" dt2D="false" dtr="false" t="normal">SUBTOTAL(9, AC56:AQ56)</f>
        <v>9735761.079999998</v>
      </c>
      <c r="AC56" s="17" t="n">
        <v>3525522.9</v>
      </c>
      <c r="AD56" s="17" t="n">
        <v>0</v>
      </c>
      <c r="AE56" s="17" t="n">
        <v>1377151.25</v>
      </c>
      <c r="AF56" s="17" t="n"/>
      <c r="AG56" s="17" t="n">
        <v>0</v>
      </c>
      <c r="AH56" s="17" t="n"/>
      <c r="AI56" s="17" t="n"/>
      <c r="AJ56" s="17" t="n">
        <v>0</v>
      </c>
      <c r="AK56" s="17" t="n">
        <v>4462778.89</v>
      </c>
      <c r="AL56" s="17" t="n">
        <v>0</v>
      </c>
      <c r="AM56" s="17" t="n">
        <v>0</v>
      </c>
      <c r="AN56" s="17" t="n">
        <v>0</v>
      </c>
      <c r="AO56" s="17" t="n">
        <v>322308.04</v>
      </c>
      <c r="AP56" s="18" t="n">
        <v>48000</v>
      </c>
      <c r="AQ56" s="24" t="n"/>
      <c r="AR56" s="3" t="n">
        <f aca="false" ca="false" dt2D="false" dtr="false" t="normal">N56-AB56</f>
        <v>0</v>
      </c>
    </row>
    <row outlineLevel="0" r="57">
      <c r="A57" s="154" t="n">
        <f aca="false" ca="false" dt2D="false" dtr="false" t="normal">+A56+1</f>
        <v>40</v>
      </c>
      <c r="B57" s="138" t="n">
        <f aca="false" ca="false" dt2D="false" dtr="false" t="normal">+B56+1</f>
        <v>40</v>
      </c>
      <c r="C57" s="138" t="s">
        <v>177</v>
      </c>
      <c r="D57" s="138" t="s">
        <v>185</v>
      </c>
      <c r="E57" s="139" t="n">
        <v>1995</v>
      </c>
      <c r="F57" s="139" t="n">
        <v>2013</v>
      </c>
      <c r="G57" s="139" t="s">
        <v>4</v>
      </c>
      <c r="H57" s="139" t="n">
        <v>5</v>
      </c>
      <c r="I57" s="139" t="n">
        <v>4</v>
      </c>
      <c r="J57" s="17" t="n">
        <v>4929.5</v>
      </c>
      <c r="K57" s="17" t="n">
        <v>4328.9</v>
      </c>
      <c r="L57" s="17" t="n">
        <v>0</v>
      </c>
      <c r="M57" s="140" t="n">
        <v>159</v>
      </c>
      <c r="N57" s="16" t="n">
        <f aca="false" ca="false" dt2D="false" dtr="false" t="normal">SUM(P57:T57)</f>
        <v>7455631.82</v>
      </c>
      <c r="O57" s="17" t="n"/>
      <c r="P57" s="18" t="n"/>
      <c r="Q57" s="18" t="n"/>
      <c r="R57" s="18" t="n">
        <v>902303.69</v>
      </c>
      <c r="S57" s="18" t="n">
        <v>6553328.13</v>
      </c>
      <c r="T57" s="17" t="n">
        <v>0</v>
      </c>
      <c r="U57" s="18" t="n">
        <v>1821.31383064118</v>
      </c>
      <c r="V57" s="18" t="n">
        <v>1821.31383064118</v>
      </c>
      <c r="W57" s="21" t="n">
        <v>2022</v>
      </c>
      <c r="X57" s="1" t="n">
        <v>1948762.98</v>
      </c>
      <c r="Y57" s="3" t="n">
        <f aca="false" ca="false" dt2D="false" dtr="false" t="normal">+(K57*10+L57*20)*12*0.85</f>
        <v>441547.8</v>
      </c>
      <c r="Z57" s="3" t="n">
        <f aca="false" ca="false" dt2D="false" dtr="false" t="normal">+(K57*10+L57*20)*12*30</f>
        <v>15584040</v>
      </c>
      <c r="AB57" s="23" t="n">
        <f aca="false" ca="true" dt2D="false" dtr="false" t="normal">SUBTOTAL(9, AC57:AQ57)</f>
        <v>7455631.819999999</v>
      </c>
      <c r="AC57" s="17" t="n">
        <v>5966685.68</v>
      </c>
      <c r="AD57" s="17" t="n">
        <v>1488946.14</v>
      </c>
      <c r="AE57" s="17" t="n"/>
      <c r="AF57" s="17" t="n"/>
      <c r="AG57" s="17" t="n">
        <v>0</v>
      </c>
      <c r="AH57" s="17" t="n"/>
      <c r="AI57" s="17" t="n"/>
      <c r="AJ57" s="17" t="n">
        <v>0</v>
      </c>
      <c r="AK57" s="17" t="n"/>
      <c r="AL57" s="17" t="n">
        <v>0</v>
      </c>
      <c r="AM57" s="17" t="n"/>
      <c r="AN57" s="17" t="n"/>
      <c r="AO57" s="17" t="n"/>
      <c r="AP57" s="18" t="n"/>
      <c r="AQ57" s="24" t="n"/>
      <c r="AR57" s="3" t="n">
        <f aca="false" ca="false" dt2D="false" dtr="false" t="normal">N57-AB57</f>
        <v>0</v>
      </c>
    </row>
    <row outlineLevel="0" r="58">
      <c r="A58" s="154" t="n">
        <f aca="false" ca="false" dt2D="false" dtr="false" t="normal">+A57+1</f>
        <v>41</v>
      </c>
      <c r="B58" s="138" t="n">
        <f aca="false" ca="false" dt2D="false" dtr="false" t="normal">+B57+1</f>
        <v>41</v>
      </c>
      <c r="C58" s="138" t="s">
        <v>177</v>
      </c>
      <c r="D58" s="138" t="s">
        <v>188</v>
      </c>
      <c r="E58" s="139" t="n">
        <v>1983</v>
      </c>
      <c r="F58" s="139" t="n">
        <v>1983</v>
      </c>
      <c r="G58" s="139" t="s">
        <v>4</v>
      </c>
      <c r="H58" s="139" t="n">
        <v>2</v>
      </c>
      <c r="I58" s="139" t="n">
        <v>2</v>
      </c>
      <c r="J58" s="17" t="n">
        <v>712.2</v>
      </c>
      <c r="K58" s="17" t="n">
        <v>635.1</v>
      </c>
      <c r="L58" s="17" t="n">
        <v>0</v>
      </c>
      <c r="M58" s="140" t="n">
        <v>33</v>
      </c>
      <c r="N58" s="16" t="n">
        <f aca="false" ca="false" dt2D="false" dtr="false" t="normal">SUM(P58:T58)</f>
        <v>12314688.842366</v>
      </c>
      <c r="O58" s="17" t="n"/>
      <c r="P58" s="18" t="n">
        <v>2482138.81</v>
      </c>
      <c r="Q58" s="18" t="n"/>
      <c r="R58" s="18" t="n">
        <v>366253.68</v>
      </c>
      <c r="S58" s="18" t="n">
        <v>2286360</v>
      </c>
      <c r="T58" s="17" t="n">
        <v>7179936.352366</v>
      </c>
      <c r="U58" s="18" t="n">
        <v>20046.8608365992</v>
      </c>
      <c r="V58" s="18" t="n">
        <v>20046.8608365992</v>
      </c>
      <c r="W58" s="21" t="n">
        <v>2022</v>
      </c>
      <c r="X58" s="1" t="n">
        <v>301473.48</v>
      </c>
      <c r="Y58" s="3" t="n">
        <f aca="false" ca="false" dt2D="false" dtr="false" t="normal">+(K58*10+L58*20)*12*0.85</f>
        <v>64780.2</v>
      </c>
      <c r="Z58" s="3" t="n">
        <f aca="false" ca="false" dt2D="false" dtr="false" t="normal">+(K58*10+L58*20)*12*30</f>
        <v>2286360</v>
      </c>
      <c r="AB58" s="23" t="n">
        <f aca="false" ca="true" dt2D="false" dtr="false" t="normal">SUBTOTAL(9, AC58:AQ58)</f>
        <v>12314688.842366</v>
      </c>
      <c r="AC58" s="17" t="n">
        <v>1765727.93</v>
      </c>
      <c r="AD58" s="17" t="n">
        <v>0</v>
      </c>
      <c r="AE58" s="17" t="n">
        <v>609050.4</v>
      </c>
      <c r="AF58" s="17" t="n"/>
      <c r="AG58" s="17" t="n">
        <v>0</v>
      </c>
      <c r="AH58" s="17" t="n"/>
      <c r="AI58" s="17" t="n"/>
      <c r="AJ58" s="17" t="n">
        <v>0</v>
      </c>
      <c r="AK58" s="17" t="n">
        <v>6221591.211066</v>
      </c>
      <c r="AL58" s="17" t="n"/>
      <c r="AM58" s="17" t="n"/>
      <c r="AN58" s="17" t="n">
        <v>2928661.91</v>
      </c>
      <c r="AO58" s="17" t="n">
        <v>699135.1274</v>
      </c>
      <c r="AP58" s="18" t="n">
        <v>90522.2639</v>
      </c>
      <c r="AQ58" s="24" t="n"/>
      <c r="AR58" s="3" t="n">
        <f aca="false" ca="false" dt2D="false" dtr="false" t="normal">N58-AB58</f>
        <v>0</v>
      </c>
    </row>
    <row outlineLevel="0" r="59">
      <c r="A59" s="154" t="n">
        <f aca="false" ca="false" dt2D="false" dtr="false" t="normal">+A58+1</f>
        <v>42</v>
      </c>
      <c r="B59" s="138" t="n">
        <f aca="false" ca="false" dt2D="false" dtr="false" t="normal">+B58+1</f>
        <v>42</v>
      </c>
      <c r="C59" s="138" t="s">
        <v>177</v>
      </c>
      <c r="D59" s="138" t="s">
        <v>191</v>
      </c>
      <c r="E59" s="139" t="n">
        <v>1979</v>
      </c>
      <c r="F59" s="139" t="n">
        <v>1979</v>
      </c>
      <c r="G59" s="139" t="s">
        <v>4</v>
      </c>
      <c r="H59" s="139" t="n">
        <v>4</v>
      </c>
      <c r="I59" s="139" t="n">
        <v>4</v>
      </c>
      <c r="J59" s="17" t="n">
        <v>4000.3</v>
      </c>
      <c r="K59" s="17" t="n">
        <v>3434.6</v>
      </c>
      <c r="L59" s="17" t="n">
        <v>0</v>
      </c>
      <c r="M59" s="140" t="n">
        <v>77</v>
      </c>
      <c r="N59" s="16" t="n">
        <f aca="false" ca="false" dt2D="false" dtr="false" t="normal">SUM(P59:T59)</f>
        <v>7111904.59</v>
      </c>
      <c r="O59" s="17" t="n"/>
      <c r="P59" s="18" t="n"/>
      <c r="Q59" s="18" t="n"/>
      <c r="R59" s="18" t="n">
        <v>1019742.18</v>
      </c>
      <c r="S59" s="18" t="n">
        <v>6092162.41</v>
      </c>
      <c r="T59" s="17" t="n">
        <v>0</v>
      </c>
      <c r="U59" s="18" t="n">
        <v>2124.4096864517</v>
      </c>
      <c r="V59" s="18" t="n">
        <v>2124.4096864517</v>
      </c>
      <c r="W59" s="21" t="n">
        <v>2022</v>
      </c>
      <c r="X59" s="1" t="n">
        <v>1726106.62</v>
      </c>
      <c r="Y59" s="3" t="n">
        <f aca="false" ca="false" dt2D="false" dtr="false" t="normal">+(K59*10+L59*20)*12*0.85</f>
        <v>350329.2</v>
      </c>
      <c r="Z59" s="3" t="n">
        <f aca="false" ca="false" dt2D="false" dtr="false" t="normal">+(K59*10+L59*20)*12*30</f>
        <v>12364560</v>
      </c>
      <c r="AB59" s="23" t="n">
        <f aca="false" ca="true" dt2D="false" dtr="false" t="normal">SUBTOTAL(9, AC59:AQ59)</f>
        <v>7111904.59</v>
      </c>
      <c r="AC59" s="17" t="n">
        <v>3493966.86</v>
      </c>
      <c r="AD59" s="17" t="n">
        <v>2141042.75</v>
      </c>
      <c r="AE59" s="17" t="n"/>
      <c r="AF59" s="17" t="n">
        <v>1393455.49</v>
      </c>
      <c r="AG59" s="17" t="n"/>
      <c r="AH59" s="17" t="n"/>
      <c r="AI59" s="17" t="n"/>
      <c r="AJ59" s="17" t="n">
        <v>0</v>
      </c>
      <c r="AK59" s="17" t="n">
        <v>0</v>
      </c>
      <c r="AL59" s="17" t="n">
        <v>0</v>
      </c>
      <c r="AM59" s="17" t="n">
        <v>0</v>
      </c>
      <c r="AN59" s="17" t="n">
        <v>0</v>
      </c>
      <c r="AO59" s="17" t="n"/>
      <c r="AP59" s="18" t="n"/>
      <c r="AQ59" s="156" t="n">
        <f aca="false" ca="false" dt2D="false" dtr="false" t="normal">47895.04+22398.98+13145.47</f>
        <v>83439.49</v>
      </c>
      <c r="AR59" s="3" t="n">
        <f aca="false" ca="false" dt2D="false" dtr="false" t="normal">N59-AB59</f>
        <v>0</v>
      </c>
    </row>
    <row outlineLevel="0" r="60">
      <c r="A60" s="154" t="n">
        <f aca="false" ca="false" dt2D="false" dtr="false" t="normal">+A59+1</f>
        <v>43</v>
      </c>
      <c r="B60" s="138" t="n">
        <f aca="false" ca="false" dt2D="false" dtr="false" t="normal">+B59+1</f>
        <v>43</v>
      </c>
      <c r="C60" s="138" t="s">
        <v>177</v>
      </c>
      <c r="D60" s="138" t="s">
        <v>194</v>
      </c>
      <c r="E60" s="139" t="n">
        <v>1986</v>
      </c>
      <c r="F60" s="139" t="n">
        <v>2013</v>
      </c>
      <c r="G60" s="139" t="s">
        <v>4</v>
      </c>
      <c r="H60" s="139" t="n">
        <v>4</v>
      </c>
      <c r="I60" s="139" t="n">
        <v>2</v>
      </c>
      <c r="J60" s="17" t="n">
        <v>3830.7</v>
      </c>
      <c r="K60" s="17" t="n">
        <v>3476.2</v>
      </c>
      <c r="L60" s="17" t="n">
        <v>0</v>
      </c>
      <c r="M60" s="140" t="n">
        <v>146</v>
      </c>
      <c r="N60" s="16" t="n">
        <f aca="false" ca="false" dt2D="false" dtr="false" t="normal">SUM(P60:T60)</f>
        <v>45108809.805</v>
      </c>
      <c r="O60" s="17" t="n"/>
      <c r="P60" s="18" t="n">
        <v>2555439.32</v>
      </c>
      <c r="Q60" s="18" t="n"/>
      <c r="R60" s="18" t="n">
        <v>1738606.72</v>
      </c>
      <c r="S60" s="18" t="n">
        <v>13373245.48</v>
      </c>
      <c r="T60" s="17" t="n">
        <v>27441518.285</v>
      </c>
      <c r="U60" s="18" t="n">
        <v>13204.1034744632</v>
      </c>
      <c r="V60" s="18" t="n">
        <v>13204.1034744632</v>
      </c>
      <c r="W60" s="21" t="n">
        <v>2022</v>
      </c>
      <c r="X60" s="1" t="n">
        <f aca="false" ca="false" dt2D="false" dtr="false" t="normal">1393126.98-102965.87</f>
        <v>1290161.1099999999</v>
      </c>
      <c r="Y60" s="3" t="n">
        <f aca="false" ca="false" dt2D="false" dtr="false" t="normal">+(K60*10+L60*20)*12*0.85</f>
        <v>354572.39999999997</v>
      </c>
      <c r="Z60" s="3" t="n">
        <f aca="false" ca="false" dt2D="false" dtr="false" t="normal">+(K60*10+L60*20)*12*30</f>
        <v>12514320</v>
      </c>
      <c r="AB60" s="23" t="n">
        <f aca="false" ca="true" dt2D="false" dtr="false" t="normal">SUBTOTAL(9, AC60:AQ60)</f>
        <v>45108809.80500001</v>
      </c>
      <c r="AC60" s="17" t="n">
        <v>5399356.92</v>
      </c>
      <c r="AD60" s="17" t="n"/>
      <c r="AE60" s="17" t="n">
        <v>2387945.18</v>
      </c>
      <c r="AF60" s="17" t="n">
        <v>2433472.68</v>
      </c>
      <c r="AG60" s="17" t="n"/>
      <c r="AH60" s="17" t="n"/>
      <c r="AI60" s="17" t="n"/>
      <c r="AJ60" s="17" t="n">
        <v>0</v>
      </c>
      <c r="AK60" s="17" t="n">
        <v>11379650.75</v>
      </c>
      <c r="AL60" s="17" t="n">
        <v>0</v>
      </c>
      <c r="AM60" s="17" t="n">
        <v>18883188.84</v>
      </c>
      <c r="AN60" s="17" t="n">
        <v>3776525.81</v>
      </c>
      <c r="AO60" s="17" t="n">
        <v>276792.4575</v>
      </c>
      <c r="AP60" s="18" t="n">
        <v>44508.1675</v>
      </c>
      <c r="AQ60" s="156" t="n">
        <f aca="false" ca="false" dt2D="false" dtr="false" t="normal">64915.61+30822.62+23778.33+89763.23+262834.11+55255.1</f>
        <v>527369</v>
      </c>
      <c r="AR60" s="3" t="n">
        <f aca="false" ca="false" dt2D="false" dtr="false" t="normal">N60-AB60</f>
        <v>0</v>
      </c>
    </row>
    <row outlineLevel="0" r="61">
      <c r="A61" s="154" t="n">
        <f aca="false" ca="false" dt2D="false" dtr="false" t="normal">+A60+1</f>
        <v>44</v>
      </c>
      <c r="B61" s="138" t="n">
        <f aca="false" ca="false" dt2D="false" dtr="false" t="normal">+B60+1</f>
        <v>44</v>
      </c>
      <c r="C61" s="138" t="s">
        <v>177</v>
      </c>
      <c r="D61" s="138" t="s">
        <v>197</v>
      </c>
      <c r="E61" s="139" t="n">
        <v>1991</v>
      </c>
      <c r="F61" s="139" t="n">
        <v>1991</v>
      </c>
      <c r="G61" s="139" t="s">
        <v>4</v>
      </c>
      <c r="H61" s="139" t="n">
        <v>2</v>
      </c>
      <c r="I61" s="139" t="n">
        <v>2</v>
      </c>
      <c r="J61" s="17" t="n">
        <v>704.8</v>
      </c>
      <c r="K61" s="17" t="n">
        <v>502.8</v>
      </c>
      <c r="L61" s="17" t="n">
        <v>0</v>
      </c>
      <c r="M61" s="140" t="n">
        <v>51</v>
      </c>
      <c r="N61" s="16" t="n">
        <f aca="false" ca="false" dt2D="false" dtr="false" t="normal">SUM(P61:T61)</f>
        <v>9226907.76405821</v>
      </c>
      <c r="O61" s="17" t="n"/>
      <c r="P61" s="18" t="n">
        <v>6547481.07</v>
      </c>
      <c r="Q61" s="18" t="n"/>
      <c r="R61" s="18" t="n">
        <v>231480.48</v>
      </c>
      <c r="S61" s="18" t="n">
        <v>2447946.21405821</v>
      </c>
      <c r="T61" s="17" t="n">
        <v>0</v>
      </c>
      <c r="U61" s="18" t="n">
        <v>18613.3302785565</v>
      </c>
      <c r="V61" s="18" t="n">
        <v>18613.3302785565</v>
      </c>
      <c r="W61" s="21" t="n">
        <v>2022</v>
      </c>
      <c r="X61" s="1" t="n">
        <v>180194.88</v>
      </c>
      <c r="Y61" s="3" t="n">
        <f aca="false" ca="false" dt2D="false" dtr="false" t="normal">+(K61*10+L61*20)*12*0.85</f>
        <v>51285.6</v>
      </c>
      <c r="Z61" s="3" t="n">
        <f aca="false" ca="false" dt2D="false" dtr="false" t="normal">+(K61*10+L61*20)*12*30</f>
        <v>1810080</v>
      </c>
      <c r="AB61" s="23" t="n">
        <f aca="false" ca="true" dt2D="false" dtr="false" t="normal">SUBTOTAL(9, AC61:AQ61)</f>
        <v>9226907.764058206</v>
      </c>
      <c r="AC61" s="17" t="n">
        <v>1114194.82</v>
      </c>
      <c r="AD61" s="17" t="n">
        <v>0</v>
      </c>
      <c r="AE61" s="17" t="n">
        <v>325054.98</v>
      </c>
      <c r="AF61" s="17" t="n">
        <v>0</v>
      </c>
      <c r="AG61" s="17" t="n">
        <v>0</v>
      </c>
      <c r="AH61" s="17" t="n"/>
      <c r="AI61" s="17" t="n"/>
      <c r="AJ61" s="17" t="n">
        <v>0</v>
      </c>
      <c r="AK61" s="17" t="n">
        <v>2410884.95</v>
      </c>
      <c r="AL61" s="17" t="n">
        <v>0</v>
      </c>
      <c r="AM61" s="17" t="n">
        <v>2965969.93</v>
      </c>
      <c r="AN61" s="17" t="n">
        <v>2124525.03</v>
      </c>
      <c r="AO61" s="17" t="n">
        <v>222088.61</v>
      </c>
      <c r="AP61" s="17" t="n">
        <f aca="false" ca="false" dt2D="false" dtr="false" t="normal">64189.4440582085</f>
        <v>64189.4440582085</v>
      </c>
      <c r="AQ61" s="24" t="n"/>
      <c r="AR61" s="3" t="n">
        <f aca="false" ca="false" dt2D="false" dtr="false" t="normal">N61-AB61</f>
        <v>0</v>
      </c>
    </row>
    <row outlineLevel="0" r="62">
      <c r="A62" s="154" t="n">
        <f aca="false" ca="false" dt2D="false" dtr="false" t="normal">+A61+1</f>
        <v>45</v>
      </c>
      <c r="B62" s="138" t="n">
        <f aca="false" ca="false" dt2D="false" dtr="false" t="normal">+B61+1</f>
        <v>45</v>
      </c>
      <c r="C62" s="138" t="s">
        <v>177</v>
      </c>
      <c r="D62" s="138" t="s">
        <v>198</v>
      </c>
      <c r="E62" s="139" t="n">
        <v>1985</v>
      </c>
      <c r="F62" s="139" t="n">
        <v>1985</v>
      </c>
      <c r="G62" s="139" t="s">
        <v>4</v>
      </c>
      <c r="H62" s="139" t="n">
        <v>2</v>
      </c>
      <c r="I62" s="139" t="n">
        <v>2</v>
      </c>
      <c r="J62" s="17" t="n">
        <v>687.7</v>
      </c>
      <c r="K62" s="17" t="n">
        <v>539.6</v>
      </c>
      <c r="L62" s="17" t="n">
        <v>0</v>
      </c>
      <c r="M62" s="140" t="n">
        <v>34</v>
      </c>
      <c r="N62" s="16" t="n">
        <f aca="false" ca="false" dt2D="false" dtr="false" t="normal">SUM(P62:T62)</f>
        <v>295096.46</v>
      </c>
      <c r="O62" s="155" t="n"/>
      <c r="P62" s="18" t="n"/>
      <c r="Q62" s="18" t="n"/>
      <c r="R62" s="18" t="n">
        <v>238828.54</v>
      </c>
      <c r="S62" s="18" t="n">
        <v>56267.92</v>
      </c>
      <c r="T62" s="17" t="n">
        <v>0</v>
      </c>
      <c r="U62" s="18" t="n">
        <v>918.654020442809</v>
      </c>
      <c r="V62" s="18" t="n">
        <v>918.654020442809</v>
      </c>
      <c r="W62" s="21" t="n">
        <v>2022</v>
      </c>
      <c r="X62" s="1" t="n">
        <v>183789.34</v>
      </c>
      <c r="Y62" s="3" t="n">
        <f aca="false" ca="false" dt2D="false" dtr="false" t="normal">+(K62*10+L62*20)*12*0.85</f>
        <v>55039.2</v>
      </c>
      <c r="Z62" s="3" t="n">
        <f aca="false" ca="false" dt2D="false" dtr="false" t="normal">+(K62*10+L62*20)*12*30</f>
        <v>1942560</v>
      </c>
      <c r="AB62" s="23" t="n">
        <f aca="false" ca="true" dt2D="false" dtr="false" t="normal">SUBTOTAL(9, AC62:AQ62)</f>
        <v>295096.46</v>
      </c>
      <c r="AC62" s="17" t="n">
        <v>0</v>
      </c>
      <c r="AD62" s="17" t="n">
        <v>0</v>
      </c>
      <c r="AE62" s="17" t="n">
        <v>295096.46</v>
      </c>
      <c r="AF62" s="17" t="n">
        <v>0</v>
      </c>
      <c r="AG62" s="17" t="n">
        <v>0</v>
      </c>
      <c r="AH62" s="17" t="n"/>
      <c r="AI62" s="17" t="n"/>
      <c r="AJ62" s="17" t="n">
        <v>0</v>
      </c>
      <c r="AK62" s="17" t="n">
        <v>0</v>
      </c>
      <c r="AL62" s="17" t="n">
        <v>0</v>
      </c>
      <c r="AM62" s="17" t="n"/>
      <c r="AN62" s="17" t="n"/>
      <c r="AO62" s="17" t="n"/>
      <c r="AP62" s="18" t="n"/>
      <c r="AQ62" s="24" t="n"/>
      <c r="AR62" s="3" t="n">
        <f aca="false" ca="false" dt2D="false" dtr="false" t="normal">N62-AB62</f>
        <v>0</v>
      </c>
    </row>
    <row outlineLevel="0" r="63">
      <c r="A63" s="154" t="n">
        <f aca="false" ca="false" dt2D="false" dtr="false" t="normal">+A62+1</f>
        <v>46</v>
      </c>
      <c r="B63" s="138" t="n">
        <f aca="false" ca="false" dt2D="false" dtr="false" t="normal">+B62+1</f>
        <v>46</v>
      </c>
      <c r="C63" s="138" t="s">
        <v>177</v>
      </c>
      <c r="D63" s="138" t="s">
        <v>200</v>
      </c>
      <c r="E63" s="139" t="n">
        <v>1986</v>
      </c>
      <c r="F63" s="139" t="n">
        <v>1986</v>
      </c>
      <c r="G63" s="139" t="s">
        <v>4</v>
      </c>
      <c r="H63" s="139" t="n">
        <v>2</v>
      </c>
      <c r="I63" s="139" t="n">
        <v>2</v>
      </c>
      <c r="J63" s="17" t="n">
        <v>683.3</v>
      </c>
      <c r="K63" s="17" t="n">
        <v>610.4</v>
      </c>
      <c r="L63" s="17" t="n">
        <v>0</v>
      </c>
      <c r="M63" s="140" t="n">
        <v>44</v>
      </c>
      <c r="N63" s="16" t="n">
        <f aca="false" ca="false" dt2D="false" dtr="false" t="normal">SUM(P63:T63)</f>
        <v>295096.45999999996</v>
      </c>
      <c r="O63" s="155" t="n"/>
      <c r="P63" s="18" t="n"/>
      <c r="Q63" s="18" t="n"/>
      <c r="R63" s="18" t="n">
        <v>265705.23</v>
      </c>
      <c r="S63" s="18" t="n">
        <v>29391.23</v>
      </c>
      <c r="T63" s="17" t="n">
        <v>0</v>
      </c>
      <c r="U63" s="18" t="n">
        <v>483.447673656619</v>
      </c>
      <c r="V63" s="18" t="n">
        <v>483.447673656619</v>
      </c>
      <c r="W63" s="21" t="n">
        <v>2022</v>
      </c>
      <c r="X63" s="1" t="n">
        <v>203638.23</v>
      </c>
      <c r="Y63" s="3" t="n">
        <f aca="false" ca="false" dt2D="false" dtr="false" t="normal">+(K63*10+L63*20)*12*0.85</f>
        <v>62260.799999999996</v>
      </c>
      <c r="Z63" s="3" t="n">
        <f aca="false" ca="false" dt2D="false" dtr="false" t="normal">+(K63*10+L63*20)*12*30-656415.36</f>
        <v>1541024.6400000001</v>
      </c>
      <c r="AB63" s="23" t="n">
        <f aca="false" ca="true" dt2D="false" dtr="false" t="normal">SUBTOTAL(9, AC63:AQ63)</f>
        <v>295096.46</v>
      </c>
      <c r="AC63" s="17" t="n">
        <v>0</v>
      </c>
      <c r="AD63" s="17" t="n">
        <v>0</v>
      </c>
      <c r="AE63" s="17" t="n">
        <v>295096.46</v>
      </c>
      <c r="AF63" s="17" t="n">
        <v>0</v>
      </c>
      <c r="AG63" s="17" t="n">
        <v>0</v>
      </c>
      <c r="AH63" s="17" t="n"/>
      <c r="AI63" s="17" t="n"/>
      <c r="AJ63" s="17" t="n">
        <v>0</v>
      </c>
      <c r="AK63" s="17" t="n">
        <v>0</v>
      </c>
      <c r="AL63" s="17" t="n">
        <v>0</v>
      </c>
      <c r="AM63" s="17" t="n"/>
      <c r="AN63" s="17" t="n"/>
      <c r="AO63" s="17" t="n"/>
      <c r="AP63" s="18" t="n"/>
      <c r="AQ63" s="191" t="n"/>
      <c r="AR63" s="3" t="n">
        <f aca="false" ca="false" dt2D="false" dtr="false" t="normal">N63-AB63</f>
        <v>0</v>
      </c>
    </row>
    <row outlineLevel="0" r="64">
      <c r="A64" s="154" t="n">
        <f aca="false" ca="false" dt2D="false" dtr="false" t="normal">+A63+1</f>
        <v>47</v>
      </c>
      <c r="B64" s="138" t="n">
        <f aca="false" ca="false" dt2D="false" dtr="false" t="normal">+B63+1</f>
        <v>47</v>
      </c>
      <c r="C64" s="138" t="s">
        <v>177</v>
      </c>
      <c r="D64" s="138" t="s">
        <v>202</v>
      </c>
      <c r="E64" s="139" t="n">
        <v>1981</v>
      </c>
      <c r="F64" s="139" t="n">
        <v>2013</v>
      </c>
      <c r="G64" s="139" t="s">
        <v>4</v>
      </c>
      <c r="H64" s="139" t="n">
        <v>5</v>
      </c>
      <c r="I64" s="139" t="n">
        <v>4</v>
      </c>
      <c r="J64" s="17" t="n">
        <v>4685.6</v>
      </c>
      <c r="K64" s="17" t="n">
        <v>4258.2</v>
      </c>
      <c r="L64" s="17" t="n">
        <v>0</v>
      </c>
      <c r="M64" s="140" t="n">
        <v>196</v>
      </c>
      <c r="N64" s="16" t="n">
        <f aca="false" ca="false" dt2D="false" dtr="false" t="normal">SUM(P64:T64)</f>
        <v>20071938.11</v>
      </c>
      <c r="O64" s="17" t="n"/>
      <c r="P64" s="18" t="n">
        <v>5434056.34</v>
      </c>
      <c r="Q64" s="18" t="n"/>
      <c r="R64" s="18" t="n">
        <v>1556339.86</v>
      </c>
      <c r="S64" s="18" t="n">
        <v>8960527.33</v>
      </c>
      <c r="T64" s="17" t="n">
        <v>4121014.58</v>
      </c>
      <c r="U64" s="18" t="n">
        <v>4829.17756430982</v>
      </c>
      <c r="V64" s="18" t="n">
        <v>4829.17756430982</v>
      </c>
      <c r="W64" s="21" t="n">
        <v>2022</v>
      </c>
      <c r="X64" s="1" t="n">
        <f aca="false" ca="false" dt2D="false" dtr="false" t="normal">1979236.76-807117.21-50116.09</f>
        <v>1122003.46</v>
      </c>
      <c r="Y64" s="3" t="n">
        <f aca="false" ca="false" dt2D="false" dtr="false" t="normal">+(K64*10+L64*20)*12*0.85</f>
        <v>434336.39999999997</v>
      </c>
      <c r="Z64" s="3" t="n">
        <f aca="false" ca="false" dt2D="false" dtr="false" t="normal">+(K64*10+L64*20)*12*30-6222132.17-133900.5</f>
        <v>8973487.33</v>
      </c>
      <c r="AB64" s="23" t="n">
        <f aca="false" ca="true" dt2D="false" dtr="false" t="normal">SUBTOTAL(9, AC64:AQ64)</f>
        <v>20071938.110000003</v>
      </c>
      <c r="AC64" s="19" t="n"/>
      <c r="AD64" s="17" t="n"/>
      <c r="AF64" s="17" t="n"/>
      <c r="AG64" s="17" t="n"/>
      <c r="AH64" s="17" t="n"/>
      <c r="AI64" s="17" t="n"/>
      <c r="AJ64" s="17" t="n">
        <v>0</v>
      </c>
      <c r="AK64" s="17" t="n"/>
      <c r="AL64" s="17" t="n">
        <v>0</v>
      </c>
      <c r="AM64" s="17" t="n">
        <v>13315014.15</v>
      </c>
      <c r="AN64" s="17" t="n">
        <v>6316602.7</v>
      </c>
      <c r="AO64" s="17" t="n">
        <v>184016.59</v>
      </c>
      <c r="AP64" s="18" t="n"/>
      <c r="AQ64" s="156" t="n">
        <f aca="false" ca="false" dt2D="false" dtr="false" t="normal">196715.63+59589.04</f>
        <v>256304.67</v>
      </c>
      <c r="AR64" s="3" t="n">
        <f aca="false" ca="false" dt2D="false" dtr="false" t="normal">N64-AB64</f>
        <v>0</v>
      </c>
    </row>
    <row outlineLevel="0" r="65">
      <c r="A65" s="154" t="n">
        <f aca="false" ca="false" dt2D="false" dtr="false" t="normal">+A64+1</f>
        <v>48</v>
      </c>
      <c r="B65" s="138" t="n">
        <f aca="false" ca="false" dt2D="false" dtr="false" t="normal">+B64+1</f>
        <v>48</v>
      </c>
      <c r="C65" s="138" t="s">
        <v>177</v>
      </c>
      <c r="D65" s="138" t="s">
        <v>204</v>
      </c>
      <c r="E65" s="139" t="n">
        <v>1963</v>
      </c>
      <c r="F65" s="139" t="n">
        <v>2013</v>
      </c>
      <c r="G65" s="139" t="s">
        <v>4</v>
      </c>
      <c r="H65" s="139" t="n">
        <v>4</v>
      </c>
      <c r="I65" s="139" t="n">
        <v>4</v>
      </c>
      <c r="J65" s="17" t="n">
        <v>5268.75</v>
      </c>
      <c r="K65" s="17" t="n">
        <v>3170.15</v>
      </c>
      <c r="L65" s="17" t="n">
        <v>2098.6</v>
      </c>
      <c r="M65" s="140" t="n">
        <v>92</v>
      </c>
      <c r="N65" s="16" t="n">
        <f aca="false" ca="false" dt2D="false" dtr="false" t="normal">SUM(P65:T65)</f>
        <v>25808089.74580198</v>
      </c>
      <c r="O65" s="17" t="n"/>
      <c r="P65" s="18" t="n">
        <v>1562915.71</v>
      </c>
      <c r="Q65" s="18" t="n"/>
      <c r="R65" s="18" t="n">
        <v>3803443.11</v>
      </c>
      <c r="S65" s="18" t="n">
        <v>12513319.670308</v>
      </c>
      <c r="T65" s="17" t="n">
        <v>7928411.25549398</v>
      </c>
      <c r="U65" s="18" t="n">
        <v>5076.42873932299</v>
      </c>
      <c r="V65" s="18" t="n">
        <v>5076.42873932299</v>
      </c>
      <c r="W65" s="21" t="n">
        <v>2022</v>
      </c>
      <c r="X65" s="1" t="n">
        <v>3051973.41</v>
      </c>
      <c r="Y65" s="3" t="n">
        <f aca="false" ca="false" dt2D="false" dtr="false" t="normal">+(K65*10+L65*20)*12*0.85</f>
        <v>751469.7</v>
      </c>
      <c r="Z65" s="3" t="n">
        <f aca="false" ca="false" dt2D="false" dtr="false" t="normal">+(K65*10+L65*20)*12*30</f>
        <v>26522460</v>
      </c>
      <c r="AB65" s="23" t="n">
        <f aca="false" ca="true" dt2D="false" dtr="false" t="normal">SUBTOTAL(9, AC65:AQ65)</f>
        <v>25808089.74580198</v>
      </c>
      <c r="AC65" s="17" t="n">
        <v>4769407.1</v>
      </c>
      <c r="AD65" s="17" t="n"/>
      <c r="AF65" s="17" t="n">
        <v>1031316.84</v>
      </c>
      <c r="AG65" s="17" t="n"/>
      <c r="AH65" s="17" t="n"/>
      <c r="AI65" s="17" t="n"/>
      <c r="AJ65" s="17" t="n">
        <v>0</v>
      </c>
      <c r="AK65" s="17" t="n">
        <v>10189652.14</v>
      </c>
      <c r="AL65" s="17" t="n">
        <v>0</v>
      </c>
      <c r="AM65" s="17" t="n">
        <v>7616799.19</v>
      </c>
      <c r="AN65" s="17" t="n">
        <v>787626.31</v>
      </c>
      <c r="AO65" s="17" t="n">
        <v>1118801.88790099</v>
      </c>
      <c r="AP65" s="17" t="n">
        <f aca="false" ca="false" dt2D="false" dtr="false" t="normal">64785.607900992</f>
        <v>64785.607900992</v>
      </c>
      <c r="AQ65" s="193" t="n">
        <f aca="false" ca="false" dt2D="false" dtr="false" t="normal">58276.61+6630.4+97841.34+57352.04+9600.28</f>
        <v>229700.67</v>
      </c>
      <c r="AR65" s="3" t="n">
        <f aca="false" ca="false" dt2D="false" dtr="false" t="normal">N65-AB65</f>
        <v>0</v>
      </c>
    </row>
    <row outlineLevel="0" r="66">
      <c r="A66" s="154" t="n">
        <f aca="false" ca="false" dt2D="false" dtr="false" t="normal">+A65+1</f>
        <v>49</v>
      </c>
      <c r="B66" s="138" t="n">
        <f aca="false" ca="false" dt2D="false" dtr="false" t="normal">+B65+1</f>
        <v>49</v>
      </c>
      <c r="C66" s="138" t="s">
        <v>177</v>
      </c>
      <c r="D66" s="138" t="s">
        <v>206</v>
      </c>
      <c r="E66" s="139" t="n">
        <v>1962</v>
      </c>
      <c r="F66" s="139" t="n">
        <v>2013</v>
      </c>
      <c r="G66" s="139" t="s">
        <v>4</v>
      </c>
      <c r="H66" s="139" t="n">
        <v>3</v>
      </c>
      <c r="I66" s="139" t="n">
        <v>4</v>
      </c>
      <c r="J66" s="17" t="n">
        <v>2475.3</v>
      </c>
      <c r="K66" s="17" t="n">
        <v>1760.3</v>
      </c>
      <c r="L66" s="17" t="n">
        <v>633.7</v>
      </c>
      <c r="M66" s="140" t="n">
        <v>67</v>
      </c>
      <c r="N66" s="16" t="n">
        <f aca="false" ca="false" dt2D="false" dtr="false" t="normal">SUM(P66:T66)</f>
        <v>657551.96</v>
      </c>
      <c r="O66" s="17" t="n"/>
      <c r="P66" s="18" t="n"/>
      <c r="Q66" s="18" t="n"/>
      <c r="R66" s="18" t="n">
        <v>657551.96</v>
      </c>
      <c r="S66" s="18" t="n">
        <v>0</v>
      </c>
      <c r="T66" s="18" t="n">
        <v>0</v>
      </c>
      <c r="U66" s="17" t="n">
        <v>293.174607936608</v>
      </c>
      <c r="V66" s="17" t="n">
        <v>293.174607936608</v>
      </c>
      <c r="W66" s="21" t="n">
        <v>2022</v>
      </c>
      <c r="X66" s="1" t="n">
        <v>1210415.78</v>
      </c>
      <c r="Y66" s="3" t="n">
        <f aca="false" ca="false" dt2D="false" dtr="false" t="normal">+(K66*10+L66*20)*12*0.85</f>
        <v>308825.39999999997</v>
      </c>
      <c r="Z66" s="3" t="n">
        <f aca="false" ca="false" dt2D="false" dtr="false" t="normal">+(K66*10+L66*20)*12*30-4713256</f>
        <v>6186464</v>
      </c>
      <c r="AB66" s="23" t="n">
        <f aca="false" ca="true" dt2D="false" dtr="false" t="normal">SUBTOTAL(9, AC66:AQ66)</f>
        <v>657551.96</v>
      </c>
      <c r="AC66" s="17" t="n"/>
      <c r="AD66" s="17" t="n"/>
      <c r="AE66" s="17" t="n">
        <v>657551.96</v>
      </c>
      <c r="AF66" s="17" t="n"/>
      <c r="AG66" s="17" t="n"/>
      <c r="AH66" s="17" t="n"/>
      <c r="AI66" s="17" t="n"/>
      <c r="AJ66" s="17" t="n">
        <v>0</v>
      </c>
      <c r="AK66" s="17" t="n"/>
      <c r="AL66" s="17" t="n">
        <v>0</v>
      </c>
      <c r="AM66" s="17" t="n">
        <v>0</v>
      </c>
      <c r="AN66" s="17" t="n">
        <v>0</v>
      </c>
      <c r="AO66" s="17" t="n"/>
      <c r="AP66" s="18" t="n"/>
      <c r="AQ66" s="24" t="n"/>
      <c r="AR66" s="3" t="n">
        <f aca="false" ca="false" dt2D="false" dtr="false" t="normal">N66-AB66</f>
        <v>0</v>
      </c>
    </row>
    <row customFormat="true" ht="15" outlineLevel="0" r="67" s="184">
      <c r="A67" s="154" t="n">
        <f aca="false" ca="false" dt2D="false" dtr="false" t="normal">+A66+1</f>
        <v>50</v>
      </c>
      <c r="B67" s="138" t="n">
        <f aca="false" ca="false" dt2D="false" dtr="false" t="normal">+B66+1</f>
        <v>50</v>
      </c>
      <c r="C67" s="138" t="s">
        <v>177</v>
      </c>
      <c r="D67" s="138" t="s">
        <v>208</v>
      </c>
      <c r="E67" s="139" t="s">
        <v>209</v>
      </c>
      <c r="F67" s="139" t="n"/>
      <c r="G67" s="139" t="s">
        <v>4</v>
      </c>
      <c r="H67" s="139" t="s">
        <v>150</v>
      </c>
      <c r="I67" s="139" t="s">
        <v>5</v>
      </c>
      <c r="J67" s="17" t="n">
        <v>6441.2</v>
      </c>
      <c r="K67" s="17" t="n">
        <v>4463.1</v>
      </c>
      <c r="L67" s="17" t="n">
        <v>1969.2</v>
      </c>
      <c r="M67" s="140" t="n">
        <v>152</v>
      </c>
      <c r="N67" s="16" t="n">
        <f aca="false" ca="false" dt2D="false" dtr="false" t="normal">SUM(P67:T67)</f>
        <v>5909562.2026752</v>
      </c>
      <c r="O67" s="17" t="n">
        <v>0</v>
      </c>
      <c r="P67" s="18" t="n"/>
      <c r="Q67" s="18" t="n">
        <v>0</v>
      </c>
      <c r="R67" s="18" t="n">
        <v>5329893.6566</v>
      </c>
      <c r="S67" s="18" t="n">
        <v>579668.5460752</v>
      </c>
      <c r="T67" s="17" t="n">
        <v>0</v>
      </c>
      <c r="U67" s="18" t="n">
        <v>1357.7159901705</v>
      </c>
      <c r="V67" s="18" t="n">
        <v>1172.283020064</v>
      </c>
      <c r="W67" s="21" t="n">
        <v>2022</v>
      </c>
      <c r="X67" s="184" t="n">
        <v>4272551.63</v>
      </c>
      <c r="Y67" s="3" t="n">
        <f aca="false" ca="false" dt2D="false" dtr="false" t="normal">+(K67*13.29+L67*22.52)*12*0.85</f>
        <v>1057342.0266</v>
      </c>
      <c r="Z67" s="3" t="n">
        <f aca="false" ca="false" dt2D="false" dtr="false" t="normal">+(K67*13.29+L67*22.52)*12*30</f>
        <v>37317953.88</v>
      </c>
      <c r="AA67" s="3" t="n"/>
      <c r="AB67" s="23" t="n">
        <f aca="false" ca="true" dt2D="false" dtr="false" t="normal">SUBTOTAL(9, AC67:AQ67)</f>
        <v>5909562.2026752</v>
      </c>
      <c r="AC67" s="27" t="n"/>
      <c r="AD67" s="27" t="n"/>
      <c r="AE67" s="27" t="n"/>
      <c r="AF67" s="27" t="n"/>
      <c r="AG67" s="27" t="n"/>
      <c r="AH67" s="27" t="n"/>
      <c r="AI67" s="27" t="n"/>
      <c r="AJ67" s="27" t="n">
        <v>5738993.28</v>
      </c>
      <c r="AK67" s="27" t="n"/>
      <c r="AL67" s="27" t="n"/>
      <c r="AM67" s="27" t="n"/>
      <c r="AN67" s="27" t="n"/>
      <c r="AO67" s="27" t="n">
        <v>146568.9226752</v>
      </c>
      <c r="AP67" s="27" t="n">
        <v>24000</v>
      </c>
      <c r="AQ67" s="194" t="n"/>
      <c r="AR67" s="3" t="n">
        <f aca="false" ca="false" dt2D="false" dtr="false" t="normal">N67-AB67</f>
        <v>0</v>
      </c>
      <c r="AT67" s="187" t="n"/>
    </row>
    <row customFormat="true" ht="15" outlineLevel="0" r="68" s="184">
      <c r="A68" s="154" t="n">
        <f aca="false" ca="false" dt2D="false" dtr="false" t="normal">+A67+1</f>
        <v>51</v>
      </c>
      <c r="B68" s="138" t="n">
        <f aca="false" ca="false" dt2D="false" dtr="false" t="normal">+B67+1</f>
        <v>51</v>
      </c>
      <c r="C68" s="138" t="s">
        <v>177</v>
      </c>
      <c r="D68" s="138" t="s">
        <v>210</v>
      </c>
      <c r="E68" s="139" t="s">
        <v>209</v>
      </c>
      <c r="F68" s="139" t="n"/>
      <c r="G68" s="139" t="s">
        <v>4</v>
      </c>
      <c r="H68" s="139" t="s">
        <v>212</v>
      </c>
      <c r="I68" s="139" t="s">
        <v>5</v>
      </c>
      <c r="J68" s="17" t="n">
        <v>5186.36</v>
      </c>
      <c r="K68" s="17" t="n">
        <v>4076.7</v>
      </c>
      <c r="L68" s="17" t="n">
        <v>540.4</v>
      </c>
      <c r="M68" s="140" t="n">
        <v>130</v>
      </c>
      <c r="N68" s="16" t="n">
        <f aca="false" ca="false" dt2D="false" dtr="false" t="normal">SUM(P68:T68)</f>
        <v>5898632.361792</v>
      </c>
      <c r="O68" s="17" t="n">
        <v>0</v>
      </c>
      <c r="P68" s="18" t="n"/>
      <c r="Q68" s="18" t="n">
        <v>0</v>
      </c>
      <c r="R68" s="18" t="n">
        <v>3933138.0602</v>
      </c>
      <c r="S68" s="18" t="n">
        <v>1965494.301592</v>
      </c>
      <c r="T68" s="17" t="n">
        <v>0</v>
      </c>
      <c r="U68" s="18" t="n">
        <v>1483.78009013213</v>
      </c>
      <c r="V68" s="18" t="n">
        <v>1172.283020064</v>
      </c>
      <c r="W68" s="21" t="n">
        <v>2022</v>
      </c>
      <c r="X68" s="184" t="n">
        <v>3256376.72</v>
      </c>
      <c r="Y68" s="3" t="n">
        <f aca="false" ca="false" dt2D="false" dtr="false" t="normal">+(K68*13.29+L68*22.52)*12*0.85</f>
        <v>676761.3401999999</v>
      </c>
      <c r="Z68" s="3" t="n">
        <f aca="false" ca="false" dt2D="false" dtr="false" t="normal">+(K68*13.29+L68*22.52)*12*30</f>
        <v>23885694.36</v>
      </c>
      <c r="AA68" s="3" t="n"/>
      <c r="AB68" s="23" t="n">
        <f aca="false" ca="true" dt2D="false" dtr="false" t="normal">SUBTOTAL(9, AC68:AQ68)</f>
        <v>5898632.361792</v>
      </c>
      <c r="AC68" s="27" t="n"/>
      <c r="AD68" s="27" t="n"/>
      <c r="AE68" s="27" t="n"/>
      <c r="AF68" s="27" t="n"/>
      <c r="AG68" s="27" t="n"/>
      <c r="AH68" s="27" t="n"/>
      <c r="AI68" s="27" t="n"/>
      <c r="AJ68" s="27" t="n">
        <v>5738993.28</v>
      </c>
      <c r="AK68" s="27" t="n"/>
      <c r="AL68" s="27" t="n"/>
      <c r="AM68" s="27" t="n"/>
      <c r="AN68" s="27" t="n"/>
      <c r="AO68" s="27" t="n">
        <v>135639.081792</v>
      </c>
      <c r="AP68" s="27" t="n">
        <v>24000</v>
      </c>
      <c r="AQ68" s="194" t="n"/>
      <c r="AR68" s="3" t="n">
        <f aca="false" ca="false" dt2D="false" dtr="false" t="normal">N68-AB68</f>
        <v>0</v>
      </c>
      <c r="AT68" s="187" t="n"/>
    </row>
    <row outlineLevel="0" r="69">
      <c r="A69" s="154" t="n">
        <f aca="false" ca="false" dt2D="false" dtr="false" t="normal">+A68+1</f>
        <v>52</v>
      </c>
      <c r="B69" s="138" t="n">
        <f aca="false" ca="false" dt2D="false" dtr="false" t="normal">+B68+1</f>
        <v>52</v>
      </c>
      <c r="C69" s="138" t="s">
        <v>177</v>
      </c>
      <c r="D69" s="138" t="s">
        <v>213</v>
      </c>
      <c r="E69" s="139" t="n">
        <v>1968</v>
      </c>
      <c r="F69" s="139" t="n">
        <v>2013</v>
      </c>
      <c r="G69" s="139" t="s">
        <v>4</v>
      </c>
      <c r="H69" s="139" t="n">
        <v>5</v>
      </c>
      <c r="I69" s="139" t="n">
        <v>4</v>
      </c>
      <c r="J69" s="17" t="n">
        <v>3228.9</v>
      </c>
      <c r="K69" s="17" t="n">
        <v>2518.9</v>
      </c>
      <c r="L69" s="17" t="n">
        <v>710</v>
      </c>
      <c r="M69" s="140" t="n">
        <v>136</v>
      </c>
      <c r="N69" s="16" t="n">
        <f aca="false" ca="false" dt2D="false" dtr="false" t="normal">SUM(P69:T69)</f>
        <v>1118404.042262</v>
      </c>
      <c r="O69" s="17" t="n"/>
      <c r="P69" s="18" t="n"/>
      <c r="Q69" s="18" t="n"/>
      <c r="R69" s="18" t="n">
        <v>1118404.042262</v>
      </c>
      <c r="S69" s="18" t="n">
        <v>0</v>
      </c>
      <c r="T69" s="18" t="n">
        <v>0</v>
      </c>
      <c r="U69" s="17" t="n">
        <v>381.404333445446</v>
      </c>
      <c r="V69" s="17" t="n">
        <v>381.404333445446</v>
      </c>
      <c r="W69" s="21" t="n">
        <v>2022</v>
      </c>
      <c r="X69" s="1" t="n">
        <v>1993779.07</v>
      </c>
      <c r="Y69" s="3" t="n">
        <f aca="false" ca="false" dt2D="false" dtr="false" t="normal">+(K69*10+L69*20)*12*0.85</f>
        <v>401767.8</v>
      </c>
      <c r="Z69" s="3" t="n">
        <f aca="false" ca="false" dt2D="false" dtr="false" t="normal">+(K69*10+L69*20)*12*30</f>
        <v>14180040</v>
      </c>
      <c r="AB69" s="23" t="n">
        <f aca="false" ca="true" dt2D="false" dtr="false" t="normal">SUBTOTAL(9, AC69:AQ69)</f>
        <v>1118404.042262</v>
      </c>
      <c r="AC69" s="17" t="n"/>
      <c r="AD69" s="17" t="n"/>
      <c r="AE69" s="17" t="n"/>
      <c r="AF69" s="17" t="n"/>
      <c r="AG69" s="17" t="n">
        <f aca="false" ca="false" dt2D="false" dtr="false" t="normal">1117005.032262+1399.01</f>
        <v>1118404.042262</v>
      </c>
      <c r="AH69" s="17" t="n"/>
      <c r="AI69" s="17" t="n"/>
      <c r="AJ69" s="17" t="n"/>
      <c r="AK69" s="17" t="n"/>
      <c r="AL69" s="17" t="n">
        <v>0</v>
      </c>
      <c r="AM69" s="17" t="n">
        <v>0</v>
      </c>
      <c r="AN69" s="17" t="n">
        <v>0</v>
      </c>
      <c r="AO69" s="17" t="n"/>
      <c r="AP69" s="18" t="n"/>
      <c r="AQ69" s="24" t="n"/>
      <c r="AR69" s="3" t="n">
        <f aca="false" ca="false" dt2D="false" dtr="false" t="normal">N69-AB69</f>
        <v>0</v>
      </c>
    </row>
    <row outlineLevel="0" r="70">
      <c r="A70" s="154" t="n">
        <f aca="false" ca="false" dt2D="false" dtr="false" t="normal">+A69+1</f>
        <v>53</v>
      </c>
      <c r="B70" s="138" t="n">
        <f aca="false" ca="false" dt2D="false" dtr="false" t="normal">+B69+1</f>
        <v>53</v>
      </c>
      <c r="C70" s="138" t="s">
        <v>177</v>
      </c>
      <c r="D70" s="138" t="s">
        <v>215</v>
      </c>
      <c r="E70" s="139" t="n">
        <v>1965</v>
      </c>
      <c r="F70" s="139" t="n">
        <v>2005</v>
      </c>
      <c r="G70" s="139" t="s">
        <v>4</v>
      </c>
      <c r="H70" s="139" t="n">
        <v>4</v>
      </c>
      <c r="I70" s="139" t="n">
        <v>2</v>
      </c>
      <c r="J70" s="17" t="n">
        <v>1948.5</v>
      </c>
      <c r="K70" s="17" t="n">
        <v>1410</v>
      </c>
      <c r="L70" s="17" t="n">
        <v>537.7</v>
      </c>
      <c r="M70" s="140" t="n">
        <v>38</v>
      </c>
      <c r="N70" s="16" t="n">
        <f aca="false" ca="false" dt2D="false" dtr="false" t="normal">SUM(P70:T70)</f>
        <v>735121.99</v>
      </c>
      <c r="O70" s="17" t="n"/>
      <c r="P70" s="18" t="n"/>
      <c r="Q70" s="18" t="n"/>
      <c r="R70" s="18" t="n">
        <v>735121.99</v>
      </c>
      <c r="S70" s="18" t="n">
        <v>0</v>
      </c>
      <c r="T70" s="17" t="n"/>
      <c r="U70" s="18" t="n">
        <v>402.783962698958</v>
      </c>
      <c r="V70" s="18" t="n">
        <v>402.783962698958</v>
      </c>
      <c r="W70" s="21" t="n">
        <v>2022</v>
      </c>
      <c r="X70" s="1" t="n">
        <v>945052.78</v>
      </c>
      <c r="Y70" s="3" t="n">
        <f aca="false" ca="false" dt2D="false" dtr="false" t="normal">+(K70*10+L70*20)*12*0.85</f>
        <v>253510.8</v>
      </c>
      <c r="Z70" s="3" t="n">
        <f aca="false" ca="false" dt2D="false" dtr="false" t="normal">+(K70*10+L70*20)*12*30</f>
        <v>8947440</v>
      </c>
      <c r="AB70" s="23" t="n">
        <f aca="false" ca="true" dt2D="false" dtr="false" t="normal">SUBTOTAL(9, AC70:AQ70)</f>
        <v>735121.99</v>
      </c>
      <c r="AC70" s="17" t="n"/>
      <c r="AD70" s="17" t="n"/>
      <c r="AE70" s="17" t="n">
        <v>727596.98</v>
      </c>
      <c r="AF70" s="17" t="n"/>
      <c r="AG70" s="17" t="n"/>
      <c r="AH70" s="17" t="n"/>
      <c r="AI70" s="17" t="n"/>
      <c r="AJ70" s="17" t="n">
        <v>0</v>
      </c>
      <c r="AK70" s="17" t="n">
        <v>0</v>
      </c>
      <c r="AL70" s="17" t="n">
        <v>0</v>
      </c>
      <c r="AM70" s="17" t="n">
        <v>0</v>
      </c>
      <c r="AN70" s="17" t="n">
        <v>0</v>
      </c>
      <c r="AO70" s="17" t="n"/>
      <c r="AP70" s="18" t="n"/>
      <c r="AQ70" s="156" t="n">
        <f aca="false" ca="false" dt2D="false" dtr="false" t="normal">7525.01</f>
        <v>7525.01</v>
      </c>
      <c r="AR70" s="3" t="n">
        <f aca="false" ca="false" dt2D="false" dtr="false" t="normal">N70-AB70</f>
        <v>0</v>
      </c>
    </row>
    <row outlineLevel="0" r="71">
      <c r="A71" s="154" t="n">
        <f aca="false" ca="false" dt2D="false" dtr="false" t="normal">+A70+1</f>
        <v>54</v>
      </c>
      <c r="B71" s="138" t="n">
        <f aca="false" ca="false" dt2D="false" dtr="false" t="normal">+B70+1</f>
        <v>54</v>
      </c>
      <c r="C71" s="138" t="s">
        <v>177</v>
      </c>
      <c r="D71" s="138" t="s">
        <v>217</v>
      </c>
      <c r="E71" s="139" t="n">
        <v>1963</v>
      </c>
      <c r="F71" s="139" t="n">
        <v>2013</v>
      </c>
      <c r="G71" s="139" t="s">
        <v>4</v>
      </c>
      <c r="H71" s="139" t="n">
        <v>4</v>
      </c>
      <c r="I71" s="139" t="n">
        <v>3</v>
      </c>
      <c r="J71" s="17" t="n">
        <v>2328.4</v>
      </c>
      <c r="K71" s="17" t="n">
        <v>1950.9</v>
      </c>
      <c r="L71" s="17" t="n">
        <v>377.5</v>
      </c>
      <c r="M71" s="140" t="n">
        <v>49</v>
      </c>
      <c r="N71" s="16" t="n">
        <f aca="false" ca="false" dt2D="false" dtr="false" t="normal">SUM(P71:T71)</f>
        <v>4389935.65</v>
      </c>
      <c r="O71" s="17" t="n"/>
      <c r="P71" s="18" t="n"/>
      <c r="Q71" s="18" t="n"/>
      <c r="R71" s="18" t="n">
        <v>761274.89161744</v>
      </c>
      <c r="S71" s="18" t="n">
        <v>3628660.75838256</v>
      </c>
      <c r="T71" s="17" t="n">
        <v>0</v>
      </c>
      <c r="U71" s="18" t="n">
        <v>1972.36981687744</v>
      </c>
      <c r="V71" s="18" t="n">
        <v>1972.36981687744</v>
      </c>
      <c r="W71" s="21" t="n">
        <v>2022</v>
      </c>
      <c r="X71" s="1" t="n">
        <v>1234380.76</v>
      </c>
      <c r="Y71" s="3" t="n">
        <f aca="false" ca="false" dt2D="false" dtr="false" t="normal">+(K71*10+L71*20)*12*0.85</f>
        <v>276001.8</v>
      </c>
      <c r="Z71" s="3" t="n">
        <f aca="false" ca="false" dt2D="false" dtr="false" t="normal">+(K71*10+L71*20)*12*30</f>
        <v>9741240</v>
      </c>
      <c r="AB71" s="23" t="n">
        <f aca="false" ca="true" dt2D="false" dtr="false" t="normal">SUBTOTAL(9, AC71:AQ71)</f>
        <v>4389935.65</v>
      </c>
      <c r="AC71" s="17" t="n">
        <v>2728315.47</v>
      </c>
      <c r="AD71" s="17" t="n">
        <v>1047486.37</v>
      </c>
      <c r="AE71" s="17" t="n">
        <v>607322.06</v>
      </c>
      <c r="AF71" s="17" t="n"/>
      <c r="AG71" s="17" t="n"/>
      <c r="AH71" s="17" t="n"/>
      <c r="AI71" s="17" t="n"/>
      <c r="AJ71" s="17" t="n">
        <v>0</v>
      </c>
      <c r="AK71" s="17" t="n">
        <v>0</v>
      </c>
      <c r="AL71" s="17" t="n">
        <v>0</v>
      </c>
      <c r="AM71" s="17" t="n">
        <v>0</v>
      </c>
      <c r="AN71" s="17" t="n">
        <v>0</v>
      </c>
      <c r="AO71" s="17" t="n"/>
      <c r="AP71" s="18" t="n"/>
      <c r="AQ71" s="156" t="n">
        <v>6811.75</v>
      </c>
      <c r="AR71" s="3" t="n">
        <f aca="false" ca="false" dt2D="false" dtr="false" t="normal">N71-AB71</f>
        <v>0</v>
      </c>
    </row>
    <row outlineLevel="0" r="72">
      <c r="A72" s="154" t="n">
        <f aca="false" ca="false" dt2D="false" dtr="false" t="normal">+A71+1</f>
        <v>55</v>
      </c>
      <c r="B72" s="138" t="n">
        <f aca="false" ca="false" dt2D="false" dtr="false" t="normal">+B71+1</f>
        <v>55</v>
      </c>
      <c r="C72" s="138" t="s">
        <v>177</v>
      </c>
      <c r="D72" s="138" t="s">
        <v>220</v>
      </c>
      <c r="E72" s="139" t="n">
        <v>1989</v>
      </c>
      <c r="F72" s="139" t="n">
        <v>2017</v>
      </c>
      <c r="G72" s="139" t="s">
        <v>4</v>
      </c>
      <c r="H72" s="139" t="n">
        <v>9</v>
      </c>
      <c r="I72" s="139" t="n">
        <v>3</v>
      </c>
      <c r="J72" s="17" t="n">
        <v>7106.9</v>
      </c>
      <c r="K72" s="17" t="n">
        <v>6247.4</v>
      </c>
      <c r="L72" s="17" t="n">
        <v>0</v>
      </c>
      <c r="M72" s="140" t="n">
        <v>249</v>
      </c>
      <c r="N72" s="16" t="n">
        <f aca="false" ca="false" dt2D="false" dtr="false" t="normal">SUM(P72:T72)</f>
        <v>1827661.8</v>
      </c>
      <c r="O72" s="17" t="n"/>
      <c r="P72" s="18" t="n"/>
      <c r="Q72" s="18" t="n"/>
      <c r="R72" s="18" t="n">
        <v>1710288.97421662</v>
      </c>
      <c r="S72" s="18" t="n">
        <v>117372.82578338</v>
      </c>
      <c r="T72" s="17" t="n">
        <v>0</v>
      </c>
      <c r="U72" s="18" t="n">
        <v>435.178335662295</v>
      </c>
      <c r="V72" s="18" t="n">
        <v>435.178335662295</v>
      </c>
      <c r="W72" s="21" t="n">
        <v>2022</v>
      </c>
      <c r="X72" s="1" t="n">
        <v>2787898.61</v>
      </c>
      <c r="Y72" s="3" t="n">
        <f aca="false" ca="false" dt2D="false" dtr="false" t="normal">+(K72*13.29+L72*22.52)*12*0.85</f>
        <v>846885.0491999999</v>
      </c>
      <c r="Z72" s="3" t="n">
        <f aca="false" ca="false" dt2D="false" dtr="false" t="normal">+(K72*13.29+L72*22.52)*12*30-131853.4</f>
        <v>29758207.16</v>
      </c>
      <c r="AB72" s="23" t="n">
        <f aca="false" ca="true" dt2D="false" dtr="false" t="normal">SUBTOTAL(9, AC72:AQ72)</f>
        <v>1827661.8</v>
      </c>
      <c r="AC72" s="17" t="n"/>
      <c r="AD72" s="17" t="n">
        <v>0</v>
      </c>
      <c r="AE72" s="17" t="n"/>
      <c r="AF72" s="17" t="n">
        <v>1827661.8</v>
      </c>
      <c r="AG72" s="17" t="n">
        <v>0</v>
      </c>
      <c r="AH72" s="17" t="n"/>
      <c r="AI72" s="17" t="n"/>
      <c r="AJ72" s="17" t="n">
        <v>0</v>
      </c>
      <c r="AK72" s="17" t="n"/>
      <c r="AL72" s="17" t="n">
        <v>0</v>
      </c>
      <c r="AM72" s="17" t="n"/>
      <c r="AN72" s="17" t="n">
        <v>0</v>
      </c>
      <c r="AO72" s="17" t="n"/>
      <c r="AP72" s="18" t="n"/>
      <c r="AQ72" s="24" t="n"/>
      <c r="AR72" s="3" t="n">
        <f aca="false" ca="false" dt2D="false" dtr="false" t="normal">N72-AB72</f>
        <v>0</v>
      </c>
    </row>
    <row outlineLevel="0" r="73">
      <c r="A73" s="154" t="n">
        <f aca="false" ca="false" dt2D="false" dtr="false" t="normal">+A72+1</f>
        <v>56</v>
      </c>
      <c r="B73" s="138" t="n">
        <f aca="false" ca="false" dt2D="false" dtr="false" t="normal">+B72+1</f>
        <v>56</v>
      </c>
      <c r="C73" s="138" t="s">
        <v>177</v>
      </c>
      <c r="D73" s="138" t="s">
        <v>222</v>
      </c>
      <c r="E73" s="139" t="n">
        <v>1989</v>
      </c>
      <c r="F73" s="139" t="n">
        <v>2017</v>
      </c>
      <c r="G73" s="139" t="s">
        <v>4</v>
      </c>
      <c r="H73" s="139" t="n">
        <v>9</v>
      </c>
      <c r="I73" s="139" t="n">
        <v>3</v>
      </c>
      <c r="J73" s="17" t="n">
        <v>8049.4</v>
      </c>
      <c r="K73" s="17" t="n">
        <v>6639.6</v>
      </c>
      <c r="L73" s="17" t="n">
        <v>0</v>
      </c>
      <c r="M73" s="140" t="n">
        <v>258</v>
      </c>
      <c r="N73" s="16" t="n">
        <f aca="false" ca="false" dt2D="false" dtr="false" t="normal">SUM(P73:T73)</f>
        <v>2845906.28</v>
      </c>
      <c r="O73" s="17" t="n"/>
      <c r="P73" s="18" t="n"/>
      <c r="Q73" s="18" t="n"/>
      <c r="R73" s="18" t="n"/>
      <c r="S73" s="18" t="n">
        <v>2845906.28</v>
      </c>
      <c r="T73" s="17" t="n">
        <v>0</v>
      </c>
      <c r="U73" s="18" t="n">
        <v>509.870771958109</v>
      </c>
      <c r="V73" s="18" t="n">
        <v>509.870771958109</v>
      </c>
      <c r="W73" s="21" t="n">
        <v>2022</v>
      </c>
      <c r="X73" s="1" t="n">
        <v>4261157.78</v>
      </c>
      <c r="Y73" s="3" t="n">
        <f aca="false" ca="false" dt2D="false" dtr="false" t="normal">+(K73*13.29+L73*22.52)*12*0.85</f>
        <v>900050.8968</v>
      </c>
      <c r="Z73" s="3" t="n">
        <f aca="false" ca="false" dt2D="false" dtr="false" t="normal">+(K73*13.29+L73*22.52)*12*30-14694406.85</f>
        <v>17072095.39</v>
      </c>
      <c r="AB73" s="23" t="n">
        <f aca="false" ca="true" dt2D="false" dtr="false" t="normal">SUBTOTAL(9, AC73:AQ73)</f>
        <v>2845906.28</v>
      </c>
      <c r="AC73" s="17" t="n"/>
      <c r="AD73" s="17" t="n">
        <v>0</v>
      </c>
      <c r="AE73" s="17" t="n"/>
      <c r="AF73" s="17" t="n"/>
      <c r="AG73" s="17" t="n">
        <v>0</v>
      </c>
      <c r="AH73" s="17" t="n"/>
      <c r="AI73" s="17" t="n"/>
      <c r="AJ73" s="17" t="n">
        <v>0</v>
      </c>
      <c r="AK73" s="17" t="n">
        <v>2845906.28</v>
      </c>
      <c r="AL73" s="17" t="n">
        <v>0</v>
      </c>
      <c r="AM73" s="17" t="n"/>
      <c r="AN73" s="17" t="n">
        <v>0</v>
      </c>
      <c r="AO73" s="17" t="n"/>
      <c r="AP73" s="18" t="n"/>
      <c r="AQ73" s="24" t="n"/>
      <c r="AR73" s="3" t="n">
        <f aca="false" ca="false" dt2D="false" dtr="false" t="normal">N73-AB73</f>
        <v>0</v>
      </c>
    </row>
    <row outlineLevel="0" r="74">
      <c r="A74" s="154" t="n">
        <f aca="false" ca="false" dt2D="false" dtr="false" t="normal">+A73+1</f>
        <v>57</v>
      </c>
      <c r="B74" s="138" t="n">
        <f aca="false" ca="false" dt2D="false" dtr="false" t="normal">+B73+1</f>
        <v>57</v>
      </c>
      <c r="C74" s="138" t="s">
        <v>177</v>
      </c>
      <c r="D74" s="138" t="s">
        <v>224</v>
      </c>
      <c r="E74" s="139" t="n">
        <v>1994</v>
      </c>
      <c r="F74" s="139" t="n">
        <v>2013</v>
      </c>
      <c r="G74" s="139" t="s">
        <v>4</v>
      </c>
      <c r="H74" s="139" t="n">
        <v>9</v>
      </c>
      <c r="I74" s="139" t="n">
        <v>3</v>
      </c>
      <c r="J74" s="17" t="n">
        <v>7891.7</v>
      </c>
      <c r="K74" s="17" t="n">
        <v>6600.8</v>
      </c>
      <c r="L74" s="17" t="n">
        <v>0</v>
      </c>
      <c r="M74" s="140" t="n">
        <v>291</v>
      </c>
      <c r="N74" s="16" t="n">
        <f aca="false" ca="false" dt2D="false" dtr="false" t="normal">SUM(P74:T74)</f>
        <v>5847141.2763</v>
      </c>
      <c r="O74" s="17" t="n"/>
      <c r="P74" s="18" t="n"/>
      <c r="Q74" s="18" t="n"/>
      <c r="R74" s="18" t="n">
        <v>1668103.1164</v>
      </c>
      <c r="S74" s="18" t="n">
        <v>4179038.1599</v>
      </c>
      <c r="T74" s="17" t="n">
        <v>0</v>
      </c>
      <c r="U74" s="18" t="n">
        <v>966.918783462486</v>
      </c>
      <c r="V74" s="18" t="n">
        <v>966.918783462486</v>
      </c>
      <c r="W74" s="21" t="n">
        <v>2022</v>
      </c>
      <c r="X74" s="1" t="n">
        <f aca="false" ca="false" dt2D="false" dtr="false" t="normal">4161512.94-301266.52-3086934.55</f>
        <v>773311.8700000001</v>
      </c>
      <c r="Y74" s="3" t="n">
        <f aca="false" ca="false" dt2D="false" dtr="false" t="normal">+(K74*13.29+L74*22.52)*12*0.85</f>
        <v>894791.2464</v>
      </c>
      <c r="Z74" s="3" t="n">
        <f aca="false" ca="false" dt2D="false" dtr="false" t="normal">+(K74*13.29+L74*22.52)*12*30-1198680.53-8354818.57</f>
        <v>22027368.419999998</v>
      </c>
      <c r="AB74" s="23" t="n">
        <f aca="false" ca="true" dt2D="false" dtr="false" t="normal">SUBTOTAL(9, AC74:AQ74)</f>
        <v>5847141.2763</v>
      </c>
      <c r="AC74" s="17" t="n"/>
      <c r="AD74" s="17" t="n">
        <v>0</v>
      </c>
      <c r="AG74" s="17" t="n">
        <v>0</v>
      </c>
      <c r="AH74" s="17" t="n"/>
      <c r="AI74" s="17" t="n"/>
      <c r="AJ74" s="17" t="n">
        <v>0</v>
      </c>
      <c r="AK74" s="17" t="n">
        <v>3018526.85</v>
      </c>
      <c r="AL74" s="17" t="n">
        <v>0</v>
      </c>
      <c r="AM74" s="17" t="n"/>
      <c r="AN74" s="17" t="n">
        <v>0</v>
      </c>
      <c r="AO74" s="17" t="n">
        <v>2550189.857</v>
      </c>
      <c r="AP74" s="18" t="n">
        <f aca="false" ca="false" dt2D="false" dtr="false" t="normal">278424.5693</f>
        <v>278424.5693</v>
      </c>
      <c r="AQ74" s="24" t="n"/>
      <c r="AR74" s="3" t="n">
        <f aca="false" ca="false" dt2D="false" dtr="false" t="normal">N74-AB74</f>
        <v>0</v>
      </c>
    </row>
    <row outlineLevel="0" r="75">
      <c r="A75" s="154" t="n">
        <f aca="false" ca="false" dt2D="false" dtr="false" t="normal">+A74+1</f>
        <v>58</v>
      </c>
      <c r="B75" s="138" t="n">
        <f aca="false" ca="false" dt2D="false" dtr="false" t="normal">+B74+1</f>
        <v>58</v>
      </c>
      <c r="C75" s="138" t="s">
        <v>177</v>
      </c>
      <c r="D75" s="138" t="s">
        <v>226</v>
      </c>
      <c r="E75" s="139" t="n">
        <v>1987</v>
      </c>
      <c r="F75" s="139" t="n">
        <v>2013</v>
      </c>
      <c r="G75" s="139" t="s">
        <v>4</v>
      </c>
      <c r="H75" s="139" t="n">
        <v>3</v>
      </c>
      <c r="I75" s="139" t="n">
        <v>3</v>
      </c>
      <c r="J75" s="17" t="n">
        <v>1395.8</v>
      </c>
      <c r="K75" s="17" t="n">
        <v>1268</v>
      </c>
      <c r="L75" s="17" t="n">
        <v>0</v>
      </c>
      <c r="M75" s="140" t="n">
        <v>63</v>
      </c>
      <c r="N75" s="16" t="n">
        <f aca="false" ca="false" dt2D="false" dtr="false" t="normal">SUM(P75:T75)</f>
        <v>9311700.5</v>
      </c>
      <c r="O75" s="17" t="n"/>
      <c r="P75" s="19" t="n"/>
      <c r="Q75" s="18" t="n"/>
      <c r="R75" s="18" t="n">
        <v>412386.65</v>
      </c>
      <c r="S75" s="18" t="n">
        <v>5662093.78188272</v>
      </c>
      <c r="T75" s="17" t="n">
        <v>3237220.06811728</v>
      </c>
      <c r="U75" s="17" t="n">
        <v>7677.12687056997</v>
      </c>
      <c r="V75" s="17" t="n">
        <v>7677.12687056997</v>
      </c>
      <c r="W75" s="21" t="n">
        <v>2022</v>
      </c>
      <c r="X75" s="1" t="n">
        <v>502354.09</v>
      </c>
      <c r="Y75" s="3" t="n">
        <f aca="false" ca="false" dt2D="false" dtr="false" t="normal">+(K75*10+L75*20)*12*0.85</f>
        <v>129336</v>
      </c>
      <c r="Z75" s="3" t="n">
        <f aca="false" ca="false" dt2D="false" dtr="false" t="normal">+(K75*10+L75*20)*12*30</f>
        <v>4564800</v>
      </c>
      <c r="AB75" s="23" t="n">
        <f aca="false" ca="true" dt2D="false" dtr="false" t="normal">SUBTOTAL(9, AC75:AQ75)</f>
        <v>9311700.5</v>
      </c>
      <c r="AC75" s="17" t="n"/>
      <c r="AD75" s="17" t="n"/>
      <c r="AE75" s="17" t="n"/>
      <c r="AF75" s="17" t="n"/>
      <c r="AG75" s="17" t="n">
        <v>0</v>
      </c>
      <c r="AH75" s="17" t="n"/>
      <c r="AI75" s="17" t="n"/>
      <c r="AJ75" s="17" t="n">
        <v>0</v>
      </c>
      <c r="AK75" s="17" t="n">
        <v>0</v>
      </c>
      <c r="AL75" s="17" t="n">
        <v>0</v>
      </c>
      <c r="AM75" s="17" t="n">
        <v>9311700.5</v>
      </c>
      <c r="AN75" s="17" t="n">
        <v>0</v>
      </c>
      <c r="AO75" s="17" t="n"/>
      <c r="AP75" s="18" t="n"/>
      <c r="AQ75" s="24" t="n"/>
      <c r="AR75" s="3" t="n">
        <f aca="false" ca="false" dt2D="false" dtr="false" t="normal">N75-AB75</f>
        <v>0</v>
      </c>
    </row>
    <row outlineLevel="0" r="76">
      <c r="A76" s="154" t="n">
        <f aca="false" ca="false" dt2D="false" dtr="false" t="normal">+A75+1</f>
        <v>59</v>
      </c>
      <c r="B76" s="138" t="n">
        <f aca="false" ca="false" dt2D="false" dtr="false" t="normal">+B75+1</f>
        <v>59</v>
      </c>
      <c r="C76" s="138" t="s">
        <v>177</v>
      </c>
      <c r="D76" s="138" t="s">
        <v>227</v>
      </c>
      <c r="E76" s="139" t="n">
        <v>1982</v>
      </c>
      <c r="F76" s="139" t="n">
        <v>2005</v>
      </c>
      <c r="G76" s="139" t="s">
        <v>4</v>
      </c>
      <c r="H76" s="139" t="n">
        <v>4</v>
      </c>
      <c r="I76" s="139" t="n">
        <v>3</v>
      </c>
      <c r="J76" s="17" t="n">
        <v>4260.17</v>
      </c>
      <c r="K76" s="17" t="n">
        <v>3632.44</v>
      </c>
      <c r="L76" s="17" t="n">
        <v>448.5</v>
      </c>
      <c r="M76" s="140" t="n">
        <v>282</v>
      </c>
      <c r="N76" s="16" t="n">
        <f aca="false" ca="false" dt2D="false" dtr="false" t="normal">SUM(P76:T76)</f>
        <v>33304826.762599997</v>
      </c>
      <c r="O76" s="17" t="n"/>
      <c r="P76" s="18" t="n">
        <v>9795460.28</v>
      </c>
      <c r="Q76" s="18" t="n"/>
      <c r="R76" s="18" t="n">
        <v>2404077.68</v>
      </c>
      <c r="S76" s="18" t="n">
        <v>21105288.8026</v>
      </c>
      <c r="T76" s="17" t="n">
        <v>0</v>
      </c>
      <c r="U76" s="18" t="n">
        <v>8440.01642904242</v>
      </c>
      <c r="V76" s="18" t="n">
        <v>8440.01642904242</v>
      </c>
      <c r="W76" s="21" t="n">
        <v>2022</v>
      </c>
      <c r="X76" s="1" t="n">
        <v>1942074.8</v>
      </c>
      <c r="Y76" s="3" t="n">
        <f aca="false" ca="false" dt2D="false" dtr="false" t="normal">+(K76*10+L76*20)*12*0.85</f>
        <v>462002.88</v>
      </c>
      <c r="Z76" s="3" t="n">
        <f aca="false" ca="false" dt2D="false" dtr="false" t="normal">+(K76*10+L76*20)*12*30</f>
        <v>16305984.000000002</v>
      </c>
      <c r="AB76" s="23" t="n">
        <f aca="false" ca="true" dt2D="false" dtr="false" t="normal">SUBTOTAL(9, AC76:AQ76)</f>
        <v>33304826.762600005</v>
      </c>
      <c r="AC76" s="17" t="n">
        <v>6954265.38</v>
      </c>
      <c r="AD76" s="17" t="n">
        <v>2374323.58</v>
      </c>
      <c r="AE76" s="17" t="n">
        <v>3305645.72</v>
      </c>
      <c r="AF76" s="17" t="n">
        <v>2650517.18</v>
      </c>
      <c r="AG76" s="17" t="n"/>
      <c r="AH76" s="17" t="n"/>
      <c r="AI76" s="17" t="n"/>
      <c r="AJ76" s="17" t="n"/>
      <c r="AK76" s="17" t="n">
        <v>7951460.72</v>
      </c>
      <c r="AL76" s="17" t="n"/>
      <c r="AM76" s="17" t="n"/>
      <c r="AN76" s="17" t="n">
        <v>9695977.58</v>
      </c>
      <c r="AO76" s="17" t="n">
        <v>328083.3963</v>
      </c>
      <c r="AP76" s="18" t="n">
        <v>44553.2063</v>
      </c>
      <c r="AQ76" s="24" t="n"/>
      <c r="AR76" s="3" t="n">
        <f aca="false" ca="false" dt2D="false" dtr="false" t="normal">N76-AB76</f>
        <v>0</v>
      </c>
    </row>
    <row outlineLevel="0" r="77">
      <c r="A77" s="154" t="n">
        <f aca="false" ca="false" dt2D="false" dtr="false" t="normal">+A76+1</f>
        <v>60</v>
      </c>
      <c r="B77" s="138" t="n">
        <f aca="false" ca="false" dt2D="false" dtr="false" t="normal">+B76+1</f>
        <v>60</v>
      </c>
      <c r="C77" s="138" t="s">
        <v>177</v>
      </c>
      <c r="D77" s="138" t="s">
        <v>229</v>
      </c>
      <c r="E77" s="139" t="n">
        <v>1976</v>
      </c>
      <c r="F77" s="139" t="n">
        <v>2013</v>
      </c>
      <c r="G77" s="139" t="s">
        <v>4</v>
      </c>
      <c r="H77" s="139" t="n">
        <v>4</v>
      </c>
      <c r="I77" s="139" t="n">
        <v>4</v>
      </c>
      <c r="J77" s="17" t="n">
        <v>2991.3</v>
      </c>
      <c r="K77" s="17" t="n">
        <v>2484.4</v>
      </c>
      <c r="L77" s="17" t="n">
        <v>250.6</v>
      </c>
      <c r="M77" s="140" t="n">
        <v>122</v>
      </c>
      <c r="N77" s="16" t="n">
        <f aca="false" ca="false" dt2D="false" dtr="false" t="normal">SUM(P77:T77)</f>
        <v>1171020.99</v>
      </c>
      <c r="O77" s="17" t="n"/>
      <c r="P77" s="18" t="n"/>
      <c r="Q77" s="18" t="n"/>
      <c r="R77" s="18" t="n">
        <v>230063.63</v>
      </c>
      <c r="S77" s="18" t="n">
        <v>940957.36</v>
      </c>
      <c r="T77" s="17" t="n">
        <v>0</v>
      </c>
      <c r="U77" s="18" t="n">
        <v>428.161239488117</v>
      </c>
      <c r="V77" s="18" t="n">
        <v>428.161239488117</v>
      </c>
      <c r="W77" s="21" t="n">
        <v>2022</v>
      </c>
      <c r="X77" s="1" t="n">
        <v>1388531.28</v>
      </c>
      <c r="Y77" s="3" t="n">
        <f aca="false" ca="false" dt2D="false" dtr="false" t="normal">+(K77*10+L77*20)*12*0.85</f>
        <v>304531.2</v>
      </c>
      <c r="Z77" s="3" t="n">
        <f aca="false" ca="false" dt2D="false" dtr="false" t="normal">+(K77*10+L77*20)*12*30</f>
        <v>10748160</v>
      </c>
      <c r="AB77" s="23" t="n">
        <f aca="false" ca="true" dt2D="false" dtr="false" t="normal">SUBTOTAL(9, AC77:AQ77)</f>
        <v>1171020.99</v>
      </c>
      <c r="AC77" s="17" t="n"/>
      <c r="AD77" s="17" t="n">
        <v>0</v>
      </c>
      <c r="AE77" s="17" t="n">
        <v>0</v>
      </c>
      <c r="AF77" s="17" t="n">
        <v>0</v>
      </c>
      <c r="AG77" s="17" t="n">
        <v>1171020.99</v>
      </c>
      <c r="AH77" s="17" t="n"/>
      <c r="AI77" s="17" t="n"/>
      <c r="AJ77" s="17" t="n">
        <v>0</v>
      </c>
      <c r="AK77" s="17" t="n"/>
      <c r="AL77" s="17" t="n">
        <v>0</v>
      </c>
      <c r="AM77" s="17" t="n"/>
      <c r="AN77" s="17" t="n"/>
      <c r="AO77" s="17" t="n"/>
      <c r="AP77" s="18" t="n"/>
      <c r="AQ77" s="191" t="n"/>
      <c r="AR77" s="3" t="n">
        <f aca="false" ca="false" dt2D="false" dtr="false" t="normal">N77-AB77</f>
        <v>0</v>
      </c>
    </row>
    <row outlineLevel="0" r="78">
      <c r="A78" s="154" t="n">
        <f aca="false" ca="false" dt2D="false" dtr="false" t="normal">+A77+1</f>
        <v>61</v>
      </c>
      <c r="B78" s="138" t="n">
        <f aca="false" ca="false" dt2D="false" dtr="false" t="normal">+B77+1</f>
        <v>61</v>
      </c>
      <c r="C78" s="138" t="s">
        <v>177</v>
      </c>
      <c r="D78" s="138" t="s">
        <v>231</v>
      </c>
      <c r="E78" s="139" t="n">
        <v>1977</v>
      </c>
      <c r="F78" s="139" t="n">
        <v>1977</v>
      </c>
      <c r="G78" s="139" t="s">
        <v>4</v>
      </c>
      <c r="H78" s="139" t="n">
        <v>4</v>
      </c>
      <c r="I78" s="139" t="n">
        <v>6</v>
      </c>
      <c r="J78" s="17" t="n">
        <v>5672.9</v>
      </c>
      <c r="K78" s="17" t="n">
        <v>4964.7</v>
      </c>
      <c r="L78" s="17" t="n">
        <v>0</v>
      </c>
      <c r="M78" s="140" t="n">
        <v>207</v>
      </c>
      <c r="N78" s="16" t="n">
        <f aca="false" ca="false" dt2D="false" dtr="false" t="normal">SUM(P78:T78)</f>
        <v>19908141.098</v>
      </c>
      <c r="O78" s="17" t="n"/>
      <c r="P78" s="18" t="n">
        <v>3593219.09</v>
      </c>
      <c r="Q78" s="18" t="n"/>
      <c r="R78" s="18" t="n">
        <v>1638227</v>
      </c>
      <c r="S78" s="18" t="n">
        <v>11618244.7184288</v>
      </c>
      <c r="T78" s="17" t="n">
        <v>3058450.2895712</v>
      </c>
      <c r="U78" s="18" t="n">
        <v>4173.42714734602</v>
      </c>
      <c r="V78" s="18" t="n">
        <v>4173.42714734602</v>
      </c>
      <c r="W78" s="21" t="n">
        <v>2022</v>
      </c>
      <c r="X78" s="1" t="n">
        <f aca="false" ca="false" dt2D="false" dtr="false" t="normal">2390424.58-114155.72</f>
        <v>2276268.86</v>
      </c>
      <c r="Y78" s="3" t="n">
        <f aca="false" ca="false" dt2D="false" dtr="false" t="normal">+(K78*10+L78*20)*12*0.85</f>
        <v>506399.39999999997</v>
      </c>
      <c r="Z78" s="3" t="n">
        <f aca="false" ca="false" dt2D="false" dtr="false" t="normal">+(K78*10+L78*20)*12*30</f>
        <v>17872920</v>
      </c>
      <c r="AB78" s="23" t="n">
        <f aca="false" ca="true" dt2D="false" dtr="false" t="normal">SUBTOTAL(9, AC78:AQ78)</f>
        <v>19908141.098000005</v>
      </c>
      <c r="AC78" s="17" t="n">
        <v>7847760.99</v>
      </c>
      <c r="AD78" s="17" t="n"/>
      <c r="AE78" s="17" t="n"/>
      <c r="AF78" s="17" t="n"/>
      <c r="AG78" s="17" t="n"/>
      <c r="AH78" s="17" t="n"/>
      <c r="AI78" s="17" t="n"/>
      <c r="AJ78" s="17" t="n">
        <v>0</v>
      </c>
      <c r="AK78" s="17" t="n">
        <v>0</v>
      </c>
      <c r="AL78" s="17" t="n">
        <v>0</v>
      </c>
      <c r="AM78" s="17" t="n">
        <v>0</v>
      </c>
      <c r="AN78" s="17" t="n">
        <f aca="false" ca="false" dt2D="false" dtr="false" t="normal">7597182.26+3870122.95</f>
        <v>11467305.21</v>
      </c>
      <c r="AO78" s="17" t="n">
        <v>504570.499</v>
      </c>
      <c r="AP78" s="18" t="n">
        <v>88504.399</v>
      </c>
      <c r="AQ78" s="24" t="n"/>
      <c r="AR78" s="3" t="n">
        <f aca="false" ca="false" dt2D="false" dtr="false" t="normal">N78-AB78</f>
        <v>0</v>
      </c>
    </row>
    <row outlineLevel="0" r="79">
      <c r="A79" s="154" t="n">
        <f aca="false" ca="false" dt2D="false" dtr="false" t="normal">+A78+1</f>
        <v>62</v>
      </c>
      <c r="B79" s="138" t="n">
        <f aca="false" ca="false" dt2D="false" dtr="false" t="normal">+B78+1</f>
        <v>62</v>
      </c>
      <c r="C79" s="138" t="s">
        <v>177</v>
      </c>
      <c r="D79" s="138" t="s">
        <v>233</v>
      </c>
      <c r="E79" s="139" t="n">
        <v>1974</v>
      </c>
      <c r="F79" s="139" t="n">
        <v>2013</v>
      </c>
      <c r="G79" s="139" t="s">
        <v>4</v>
      </c>
      <c r="H79" s="139" t="n">
        <v>4</v>
      </c>
      <c r="I79" s="139" t="n">
        <v>4</v>
      </c>
      <c r="J79" s="17" t="n">
        <v>3890.5</v>
      </c>
      <c r="K79" s="17" t="n">
        <v>3406.6</v>
      </c>
      <c r="L79" s="17" t="n">
        <v>0</v>
      </c>
      <c r="M79" s="140" t="n">
        <v>175</v>
      </c>
      <c r="N79" s="16" t="n">
        <f aca="false" ca="false" dt2D="false" dtr="false" t="normal">SUM(P79:T79)</f>
        <v>15562524.65</v>
      </c>
      <c r="O79" s="17" t="n"/>
      <c r="P79" s="18" t="n">
        <v>2144774.35</v>
      </c>
      <c r="Q79" s="18" t="n"/>
      <c r="R79" s="18" t="n">
        <v>1186883.42</v>
      </c>
      <c r="S79" s="18" t="n">
        <v>12230866.88</v>
      </c>
      <c r="T79" s="18" t="n">
        <v>0</v>
      </c>
      <c r="U79" s="17" t="n">
        <v>4570.22656663242</v>
      </c>
      <c r="V79" s="17" t="n">
        <v>4570.22656663242</v>
      </c>
      <c r="W79" s="21" t="n">
        <v>2022</v>
      </c>
      <c r="X79" s="12" t="n">
        <f aca="false" ca="false" dt2D="false" dtr="false" t="normal">1535272.52</f>
        <v>1535272.52</v>
      </c>
      <c r="Y79" s="3" t="n">
        <f aca="false" ca="false" dt2D="false" dtr="false" t="normal">+(K79*10+L79*20)*12*0.85</f>
        <v>347473.2</v>
      </c>
      <c r="Z79" s="3" t="n">
        <f aca="false" ca="false" dt2D="false" dtr="false" t="normal">+(K79*10+L79*20)*12*30</f>
        <v>12263760</v>
      </c>
      <c r="AB79" s="23" t="n">
        <f aca="false" ca="true" dt2D="false" dtr="false" t="normal">SUBTOTAL(9, AC79:AQ79)</f>
        <v>15562524.65</v>
      </c>
      <c r="AC79" s="17" t="n">
        <v>0</v>
      </c>
      <c r="AD79" s="17" t="n">
        <v>0</v>
      </c>
      <c r="AE79" s="17" t="n">
        <v>0</v>
      </c>
      <c r="AF79" s="17" t="n">
        <v>0</v>
      </c>
      <c r="AG79" s="17" t="n"/>
      <c r="AH79" s="17" t="n"/>
      <c r="AI79" s="17" t="n"/>
      <c r="AJ79" s="17" t="n">
        <v>0</v>
      </c>
      <c r="AK79" s="17" t="n">
        <v>0</v>
      </c>
      <c r="AL79" s="17" t="n">
        <v>0</v>
      </c>
      <c r="AM79" s="17" t="n">
        <v>15562524.65</v>
      </c>
      <c r="AN79" s="17" t="n">
        <v>0</v>
      </c>
      <c r="AO79" s="17" t="n"/>
      <c r="AP79" s="18" t="n"/>
      <c r="AQ79" s="24" t="n"/>
      <c r="AR79" s="3" t="n">
        <f aca="false" ca="false" dt2D="false" dtr="false" t="normal">N79-AB79</f>
        <v>0</v>
      </c>
    </row>
    <row outlineLevel="0" r="80">
      <c r="A80" s="154" t="n">
        <f aca="false" ca="false" dt2D="false" dtr="false" t="normal">+A79+1</f>
        <v>63</v>
      </c>
      <c r="B80" s="138" t="n">
        <f aca="false" ca="false" dt2D="false" dtr="false" t="normal">+B79+1</f>
        <v>63</v>
      </c>
      <c r="C80" s="138" t="s">
        <v>177</v>
      </c>
      <c r="D80" s="138" t="s">
        <v>235</v>
      </c>
      <c r="E80" s="139" t="n">
        <v>1978</v>
      </c>
      <c r="F80" s="139" t="n">
        <v>2008</v>
      </c>
      <c r="G80" s="139" t="s">
        <v>4</v>
      </c>
      <c r="H80" s="139" t="n">
        <v>5</v>
      </c>
      <c r="I80" s="139" t="n">
        <v>4</v>
      </c>
      <c r="J80" s="17" t="n">
        <v>4887.2</v>
      </c>
      <c r="K80" s="17" t="n">
        <v>4152.5</v>
      </c>
      <c r="L80" s="17" t="n">
        <v>141.4</v>
      </c>
      <c r="M80" s="140" t="n">
        <v>187</v>
      </c>
      <c r="N80" s="16" t="n">
        <f aca="false" ca="false" dt2D="false" dtr="false" t="normal">SUM(P80:T80)</f>
        <v>14282939.920000002</v>
      </c>
      <c r="O80" s="17" t="n"/>
      <c r="P80" s="18" t="n"/>
      <c r="Q80" s="18" t="n"/>
      <c r="R80" s="18" t="n">
        <v>1507307.99</v>
      </c>
      <c r="S80" s="18" t="n">
        <v>8730636.48</v>
      </c>
      <c r="T80" s="17" t="n">
        <v>4044995.45</v>
      </c>
      <c r="U80" s="18" t="n">
        <v>3436.89200716524</v>
      </c>
      <c r="V80" s="18" t="n">
        <v>3436.89200716524</v>
      </c>
      <c r="W80" s="21" t="n">
        <v>2022</v>
      </c>
      <c r="X80" s="1" t="n">
        <v>1938809.74</v>
      </c>
      <c r="Y80" s="3" t="n">
        <f aca="false" ca="false" dt2D="false" dtr="false" t="normal">+(K80*10+L80*20)*12*0.85</f>
        <v>452400.6</v>
      </c>
      <c r="Z80" s="3" t="n">
        <f aca="false" ca="false" dt2D="false" dtr="false" t="normal">+(K80*10+L80*20)*12*30-6800843.52</f>
        <v>9166236.48</v>
      </c>
      <c r="AB80" s="23" t="n">
        <f aca="false" ca="true" dt2D="false" dtr="false" t="normal">SUBTOTAL(9, AC80:AQ80)</f>
        <v>14282939.92</v>
      </c>
      <c r="AC80" s="17" t="n"/>
      <c r="AD80" s="17" t="n"/>
      <c r="AE80" s="17" t="n">
        <v>1212218.34</v>
      </c>
      <c r="AF80" s="17" t="n"/>
      <c r="AG80" s="17" t="n"/>
      <c r="AH80" s="17" t="n"/>
      <c r="AI80" s="17" t="n"/>
      <c r="AJ80" s="17" t="n">
        <v>0</v>
      </c>
      <c r="AK80" s="17" t="n"/>
      <c r="AL80" s="17" t="n">
        <v>0</v>
      </c>
      <c r="AM80" s="17" t="n">
        <v>12904791.25</v>
      </c>
      <c r="AN80" s="17" t="n"/>
      <c r="AO80" s="17" t="n"/>
      <c r="AP80" s="18" t="n"/>
      <c r="AQ80" s="156" t="n">
        <f aca="false" ca="false" dt2D="false" dtr="false" t="normal">14909.16+151021.17</f>
        <v>165930.33000000002</v>
      </c>
      <c r="AR80" s="3" t="n">
        <f aca="false" ca="false" dt2D="false" dtr="false" t="normal">N80-AB80</f>
        <v>0</v>
      </c>
    </row>
    <row outlineLevel="0" r="81">
      <c r="A81" s="154" t="n">
        <f aca="false" ca="false" dt2D="false" dtr="false" t="normal">+A80+1</f>
        <v>64</v>
      </c>
      <c r="B81" s="138" t="n">
        <f aca="false" ca="false" dt2D="false" dtr="false" t="normal">+B80+1</f>
        <v>64</v>
      </c>
      <c r="C81" s="138" t="s">
        <v>177</v>
      </c>
      <c r="D81" s="138" t="s">
        <v>237</v>
      </c>
      <c r="E81" s="139" t="n">
        <v>1979</v>
      </c>
      <c r="F81" s="139" t="n">
        <v>2008</v>
      </c>
      <c r="G81" s="139" t="s">
        <v>4</v>
      </c>
      <c r="H81" s="139" t="n">
        <v>5</v>
      </c>
      <c r="I81" s="139" t="n">
        <v>4</v>
      </c>
      <c r="J81" s="17" t="n">
        <v>4897.1</v>
      </c>
      <c r="K81" s="17" t="n">
        <v>4311.9</v>
      </c>
      <c r="L81" s="17" t="n">
        <v>0</v>
      </c>
      <c r="M81" s="140" t="n">
        <v>199</v>
      </c>
      <c r="N81" s="16" t="n">
        <f aca="false" ca="false" dt2D="false" dtr="false" t="normal">SUM(P81:T81)</f>
        <v>14428878.049999999</v>
      </c>
      <c r="O81" s="17" t="n"/>
      <c r="P81" s="18" t="n"/>
      <c r="Q81" s="18" t="n"/>
      <c r="R81" s="18" t="n">
        <v>1319980.63</v>
      </c>
      <c r="S81" s="18" t="n">
        <v>7217514.84</v>
      </c>
      <c r="T81" s="17" t="n">
        <v>5891382.58</v>
      </c>
      <c r="U81" s="18" t="n">
        <v>3456.88840324015</v>
      </c>
      <c r="V81" s="18" t="n">
        <v>3456.88840324015</v>
      </c>
      <c r="W81" s="21" t="n">
        <v>2022</v>
      </c>
      <c r="X81" s="1" t="n">
        <v>2090807.65</v>
      </c>
      <c r="Y81" s="3" t="n">
        <f aca="false" ca="false" dt2D="false" dtr="false" t="normal">+(K81*10+L81*20)*12*0.85</f>
        <v>439813.8</v>
      </c>
      <c r="Z81" s="3" t="n">
        <f aca="false" ca="false" dt2D="false" dtr="false" t="normal">+(K81*10+L81*20)*12*30-8305325.16</f>
        <v>7217514.84</v>
      </c>
      <c r="AB81" s="23" t="n">
        <f aca="false" ca="true" dt2D="false" dtr="false" t="normal">SUBTOTAL(9, AC81:AQ81)</f>
        <v>14428878.05</v>
      </c>
      <c r="AC81" s="17" t="n"/>
      <c r="AD81" s="17" t="n"/>
      <c r="AE81" s="17" t="n">
        <v>1218340.66</v>
      </c>
      <c r="AF81" s="17" t="n"/>
      <c r="AG81" s="17" t="n"/>
      <c r="AH81" s="17" t="n"/>
      <c r="AI81" s="17" t="n"/>
      <c r="AJ81" s="17" t="n">
        <v>0</v>
      </c>
      <c r="AK81" s="17" t="n"/>
      <c r="AL81" s="17" t="n">
        <v>0</v>
      </c>
      <c r="AM81" s="17" t="n">
        <v>13044527.99</v>
      </c>
      <c r="AN81" s="17" t="n"/>
      <c r="AO81" s="17" t="n"/>
      <c r="AP81" s="18" t="n"/>
      <c r="AQ81" s="156" t="n">
        <f aca="false" ca="false" dt2D="false" dtr="false" t="normal">151177.15+14832.25</f>
        <v>166009.4</v>
      </c>
      <c r="AR81" s="3" t="n">
        <f aca="false" ca="false" dt2D="false" dtr="false" t="normal">N81-AB81</f>
        <v>0</v>
      </c>
    </row>
    <row outlineLevel="0" r="82">
      <c r="A82" s="154" t="n">
        <f aca="false" ca="false" dt2D="false" dtr="false" t="normal">+A81+1</f>
        <v>65</v>
      </c>
      <c r="B82" s="138" t="n">
        <f aca="false" ca="false" dt2D="false" dtr="false" t="normal">+B81+1</f>
        <v>65</v>
      </c>
      <c r="C82" s="138" t="s">
        <v>177</v>
      </c>
      <c r="D82" s="138" t="s">
        <v>239</v>
      </c>
      <c r="E82" s="139" t="n">
        <v>1977</v>
      </c>
      <c r="F82" s="139" t="n">
        <v>2008</v>
      </c>
      <c r="G82" s="139" t="s">
        <v>4</v>
      </c>
      <c r="H82" s="139" t="n">
        <v>4</v>
      </c>
      <c r="I82" s="139" t="n">
        <v>4</v>
      </c>
      <c r="J82" s="17" t="n">
        <v>3978.4</v>
      </c>
      <c r="K82" s="17" t="n">
        <v>3426.4</v>
      </c>
      <c r="L82" s="17" t="n">
        <v>0</v>
      </c>
      <c r="M82" s="140" t="n">
        <v>156</v>
      </c>
      <c r="N82" s="16" t="n">
        <f aca="false" ca="false" dt2D="false" dtr="false" t="normal">SUM(P82:T82)</f>
        <v>9367953.2885</v>
      </c>
      <c r="O82" s="17" t="n"/>
      <c r="P82" s="18" t="n"/>
      <c r="Q82" s="18" t="n"/>
      <c r="R82" s="18" t="n">
        <v>1804243.37</v>
      </c>
      <c r="S82" s="18" t="n">
        <v>7563709.9185</v>
      </c>
      <c r="T82" s="17" t="n"/>
      <c r="U82" s="18" t="n">
        <v>2772.4564510256</v>
      </c>
      <c r="V82" s="18" t="n">
        <v>2772.4564510256</v>
      </c>
      <c r="W82" s="21" t="n">
        <v>2022</v>
      </c>
      <c r="X82" s="1" t="n">
        <v>1557234.97</v>
      </c>
      <c r="Y82" s="3" t="n">
        <f aca="false" ca="false" dt2D="false" dtr="false" t="normal">+(K82*10+L82*20)*12*0.85</f>
        <v>349492.8</v>
      </c>
      <c r="Z82" s="3" t="n">
        <f aca="false" ca="false" dt2D="false" dtr="false" t="normal">+(K82*10+L82*20)*12*30</f>
        <v>12335040</v>
      </c>
      <c r="AB82" s="23" t="n">
        <f aca="false" ca="true" dt2D="false" dtr="false" t="normal">SUBTOTAL(9, AC82:AQ82)</f>
        <v>9367953.288500002</v>
      </c>
      <c r="AC82" s="17" t="n">
        <v>6542286.32</v>
      </c>
      <c r="AD82" s="17" t="n">
        <v>0</v>
      </c>
      <c r="AE82" s="17" t="n">
        <v>1697416.27</v>
      </c>
      <c r="AF82" s="17" t="n">
        <v>0</v>
      </c>
      <c r="AG82" s="17" t="n"/>
      <c r="AH82" s="17" t="n"/>
      <c r="AI82" s="17" t="n"/>
      <c r="AJ82" s="17" t="n">
        <v>0</v>
      </c>
      <c r="AK82" s="17" t="n">
        <v>0</v>
      </c>
      <c r="AL82" s="17" t="n">
        <v>0</v>
      </c>
      <c r="AM82" s="17" t="n">
        <v>0</v>
      </c>
      <c r="AN82" s="17" t="n">
        <v>0</v>
      </c>
      <c r="AO82" s="17" t="n">
        <v>937979.5906</v>
      </c>
      <c r="AP82" s="18" t="n">
        <v>109643.8679</v>
      </c>
      <c r="AQ82" s="156" t="n">
        <f aca="false" ca="false" dt2D="false" dtr="false" t="normal">61658.99+18968.25</f>
        <v>80627.23999999999</v>
      </c>
      <c r="AR82" s="3" t="n">
        <f aca="false" ca="false" dt2D="false" dtr="false" t="normal">N82-AB82</f>
        <v>0</v>
      </c>
    </row>
    <row outlineLevel="0" r="83">
      <c r="A83" s="154" t="n">
        <f aca="false" ca="false" dt2D="false" dtr="false" t="normal">+A82+1</f>
        <v>66</v>
      </c>
      <c r="B83" s="138" t="n">
        <f aca="false" ca="false" dt2D="false" dtr="false" t="normal">+B82+1</f>
        <v>66</v>
      </c>
      <c r="C83" s="138" t="s">
        <v>177</v>
      </c>
      <c r="D83" s="138" t="s">
        <v>240</v>
      </c>
      <c r="E83" s="139" t="n">
        <v>1977</v>
      </c>
      <c r="F83" s="139" t="n">
        <v>2013</v>
      </c>
      <c r="G83" s="139" t="s">
        <v>4</v>
      </c>
      <c r="H83" s="139" t="n">
        <v>5</v>
      </c>
      <c r="I83" s="139" t="n">
        <v>4</v>
      </c>
      <c r="J83" s="17" t="n">
        <v>3776.9</v>
      </c>
      <c r="K83" s="17" t="n">
        <v>3428.1</v>
      </c>
      <c r="L83" s="17" t="n">
        <v>0</v>
      </c>
      <c r="M83" s="140" t="n">
        <v>165</v>
      </c>
      <c r="N83" s="16" t="n">
        <f aca="false" ca="false" dt2D="false" dtr="false" t="normal">SUM(P83:T83)</f>
        <v>6007940.01</v>
      </c>
      <c r="O83" s="17" t="n"/>
      <c r="P83" s="18" t="n">
        <v>1902810.53</v>
      </c>
      <c r="Q83" s="18" t="n"/>
      <c r="R83" s="18" t="n">
        <v>1319637.71</v>
      </c>
      <c r="S83" s="18" t="n">
        <v>2785491.77</v>
      </c>
      <c r="T83" s="17" t="n"/>
      <c r="U83" s="18" t="n">
        <v>1785.85611406476</v>
      </c>
      <c r="V83" s="18" t="n">
        <v>1785.85611406476</v>
      </c>
      <c r="W83" s="21" t="n">
        <v>2022</v>
      </c>
      <c r="X83" s="1" t="n">
        <v>1720229.27</v>
      </c>
      <c r="Y83" s="3" t="n">
        <f aca="false" ca="false" dt2D="false" dtr="false" t="normal">+(K83*10+L83*20)*12*0.85</f>
        <v>349666.2</v>
      </c>
      <c r="Z83" s="3" t="n">
        <f aca="false" ca="false" dt2D="false" dtr="false" t="normal">+(K83*10+L83*20)*12*30</f>
        <v>12341160</v>
      </c>
      <c r="AB83" s="23" t="n">
        <f aca="false" ca="true" dt2D="false" dtr="false" t="normal">SUBTOTAL(9, AC83:AQ83)</f>
        <v>6007940.01</v>
      </c>
      <c r="AC83" s="17" t="n"/>
      <c r="AD83" s="17" t="n"/>
      <c r="AE83" s="17" t="n"/>
      <c r="AF83" s="17" t="n"/>
      <c r="AG83" s="17" t="n"/>
      <c r="AH83" s="17" t="n"/>
      <c r="AI83" s="17" t="n"/>
      <c r="AJ83" s="17" t="n"/>
      <c r="AK83" s="17" t="n"/>
      <c r="AL83" s="17" t="n"/>
      <c r="AM83" s="17" t="n"/>
      <c r="AN83" s="17" t="n">
        <v>5951792.49</v>
      </c>
      <c r="AO83" s="17" t="n"/>
      <c r="AP83" s="18" t="n"/>
      <c r="AQ83" s="156" t="n">
        <v>56147.52</v>
      </c>
      <c r="AR83" s="3" t="n">
        <f aca="false" ca="false" dt2D="false" dtr="false" t="normal">N83-AB83</f>
        <v>0</v>
      </c>
    </row>
    <row outlineLevel="0" r="84">
      <c r="A84" s="154" t="n">
        <f aca="false" ca="false" dt2D="false" dtr="false" t="normal">+A83+1</f>
        <v>67</v>
      </c>
      <c r="B84" s="138" t="n">
        <f aca="false" ca="false" dt2D="false" dtr="false" t="normal">+B83+1</f>
        <v>67</v>
      </c>
      <c r="C84" s="138" t="s">
        <v>177</v>
      </c>
      <c r="D84" s="138" t="s">
        <v>242</v>
      </c>
      <c r="E84" s="139" t="n">
        <v>1978</v>
      </c>
      <c r="F84" s="139" t="n">
        <v>2008</v>
      </c>
      <c r="G84" s="139" t="s">
        <v>4</v>
      </c>
      <c r="H84" s="139" t="n">
        <v>5</v>
      </c>
      <c r="I84" s="139" t="n">
        <v>4</v>
      </c>
      <c r="J84" s="17" t="n">
        <v>3883.8</v>
      </c>
      <c r="K84" s="17" t="n">
        <v>3458.3</v>
      </c>
      <c r="L84" s="17" t="n">
        <v>0</v>
      </c>
      <c r="M84" s="140" t="n">
        <v>222</v>
      </c>
      <c r="N84" s="16" t="n">
        <f aca="false" ca="false" dt2D="false" dtr="false" t="normal">SUM(P84:T84)</f>
        <v>13112357.78</v>
      </c>
      <c r="O84" s="17" t="n"/>
      <c r="P84" s="18" t="n">
        <v>3368341.02</v>
      </c>
      <c r="Q84" s="18" t="n"/>
      <c r="R84" s="18" t="n">
        <v>1029202.73</v>
      </c>
      <c r="S84" s="18" t="n">
        <v>8714814.03</v>
      </c>
      <c r="T84" s="17" t="n"/>
      <c r="U84" s="18" t="n">
        <v>3811.25895218628</v>
      </c>
      <c r="V84" s="18" t="n">
        <v>3811.25895218628</v>
      </c>
      <c r="W84" s="21" t="n">
        <v>2022</v>
      </c>
      <c r="X84" s="1" t="n">
        <v>1653003.71</v>
      </c>
      <c r="Y84" s="3" t="n">
        <f aca="false" ca="false" dt2D="false" dtr="false" t="normal">+(K84*10+L84*20)*12*0.85</f>
        <v>352746.6</v>
      </c>
      <c r="Z84" s="3" t="n">
        <f aca="false" ca="false" dt2D="false" dtr="false" t="normal">+(K84*10+L84*20)*12*30</f>
        <v>12449880</v>
      </c>
      <c r="AB84" s="23" t="n">
        <f aca="false" ca="true" dt2D="false" dtr="false" t="normal">SUBTOTAL(9, AC84:AQ84)</f>
        <v>13112357.780000001</v>
      </c>
      <c r="AC84" s="17" t="n"/>
      <c r="AD84" s="17" t="n"/>
      <c r="AE84" s="17" t="n"/>
      <c r="AF84" s="17" t="n"/>
      <c r="AG84" s="17" t="n"/>
      <c r="AH84" s="17" t="n"/>
      <c r="AI84" s="17" t="n"/>
      <c r="AJ84" s="17" t="n"/>
      <c r="AK84" s="17" t="n">
        <v>8640336.74</v>
      </c>
      <c r="AL84" s="17" t="n"/>
      <c r="AM84" s="17" t="n"/>
      <c r="AN84" s="17" t="n">
        <v>4367516.82</v>
      </c>
      <c r="AO84" s="17" t="n"/>
      <c r="AP84" s="18" t="n"/>
      <c r="AQ84" s="156" t="n">
        <f aca="false" ca="false" dt2D="false" dtr="false" t="normal">62868.6+41635.62</f>
        <v>104504.22</v>
      </c>
      <c r="AR84" s="3" t="n">
        <f aca="false" ca="false" dt2D="false" dtr="false" t="normal">N84-AB84</f>
        <v>0</v>
      </c>
    </row>
    <row outlineLevel="0" r="85">
      <c r="A85" s="154" t="n">
        <f aca="false" ca="false" dt2D="false" dtr="false" t="normal">+A84+1</f>
        <v>68</v>
      </c>
      <c r="B85" s="138" t="n">
        <f aca="false" ca="false" dt2D="false" dtr="false" t="normal">+B84+1</f>
        <v>68</v>
      </c>
      <c r="C85" s="138" t="s">
        <v>177</v>
      </c>
      <c r="D85" s="138" t="s">
        <v>243</v>
      </c>
      <c r="E85" s="139" t="n">
        <v>1978</v>
      </c>
      <c r="F85" s="139" t="n">
        <v>2013</v>
      </c>
      <c r="G85" s="139" t="s">
        <v>4</v>
      </c>
      <c r="H85" s="139" t="n">
        <v>5</v>
      </c>
      <c r="I85" s="139" t="n">
        <v>4</v>
      </c>
      <c r="J85" s="17" t="n">
        <v>4866.6</v>
      </c>
      <c r="K85" s="17" t="n">
        <v>4226.8</v>
      </c>
      <c r="L85" s="17" t="n">
        <v>67</v>
      </c>
      <c r="M85" s="140" t="n">
        <v>317</v>
      </c>
      <c r="N85" s="16" t="n">
        <f aca="false" ca="false" dt2D="false" dtr="false" t="normal">SUM(P85:T85)</f>
        <v>6811683.42</v>
      </c>
      <c r="O85" s="17" t="n"/>
      <c r="P85" s="18" t="n">
        <v>2801964.87060001</v>
      </c>
      <c r="Q85" s="18" t="n"/>
      <c r="R85" s="18" t="n">
        <v>360566.9564999</v>
      </c>
      <c r="S85" s="18" t="n">
        <v>3649151.59290009</v>
      </c>
      <c r="T85" s="17" t="n"/>
      <c r="U85" s="18" t="n">
        <v>1621.32380793234</v>
      </c>
      <c r="V85" s="18" t="n">
        <v>1621.32380793234</v>
      </c>
      <c r="W85" s="21" t="n">
        <v>2022</v>
      </c>
      <c r="X85" s="1" t="n">
        <f aca="false" ca="false" dt2D="false" dtr="false" t="normal">2064874.72-682951.44</f>
        <v>1381923.28</v>
      </c>
      <c r="Y85" s="3" t="n">
        <f aca="false" ca="false" dt2D="false" dtr="false" t="normal">+(K85*10+L85*20)*12*0.85</f>
        <v>444801.6</v>
      </c>
      <c r="Z85" s="3" t="n">
        <f aca="false" ca="false" dt2D="false" dtr="false" t="normal">+(K85*10+L85*20)*12*30-4953727.17</f>
        <v>10745152.83</v>
      </c>
      <c r="AB85" s="23" t="n">
        <f aca="false" ca="true" dt2D="false" dtr="false" t="normal">SUBTOTAL(9, AC85:AQ85)</f>
        <v>6811683.42</v>
      </c>
      <c r="AC85" s="17" t="n"/>
      <c r="AD85" s="17" t="n"/>
      <c r="AE85" s="17" t="n"/>
      <c r="AF85" s="17" t="n"/>
      <c r="AG85" s="17" t="n"/>
      <c r="AH85" s="17" t="n"/>
      <c r="AI85" s="17" t="n"/>
      <c r="AJ85" s="17" t="n">
        <v>0</v>
      </c>
      <c r="AK85" s="17" t="n"/>
      <c r="AL85" s="17" t="n">
        <v>0</v>
      </c>
      <c r="AM85" s="17" t="n"/>
      <c r="AN85" s="17" t="n">
        <v>6748339.81</v>
      </c>
      <c r="AO85" s="17" t="n"/>
      <c r="AP85" s="18" t="n"/>
      <c r="AQ85" s="156" t="n">
        <v>63343.61</v>
      </c>
      <c r="AR85" s="3" t="n">
        <f aca="false" ca="false" dt2D="false" dtr="false" t="normal">N85-AB85</f>
        <v>0</v>
      </c>
    </row>
    <row outlineLevel="0" r="86">
      <c r="A86" s="154" t="n">
        <f aca="false" ca="false" dt2D="false" dtr="false" t="normal">+A85+1</f>
        <v>69</v>
      </c>
      <c r="B86" s="138" t="n">
        <f aca="false" ca="false" dt2D="false" dtr="false" t="normal">+B85+1</f>
        <v>69</v>
      </c>
      <c r="C86" s="138" t="s">
        <v>177</v>
      </c>
      <c r="D86" s="138" t="s">
        <v>245</v>
      </c>
      <c r="E86" s="139" t="n">
        <v>1981</v>
      </c>
      <c r="F86" s="139" t="n">
        <v>2009</v>
      </c>
      <c r="G86" s="139" t="s">
        <v>4</v>
      </c>
      <c r="H86" s="139" t="n">
        <v>5</v>
      </c>
      <c r="I86" s="139" t="n">
        <v>4</v>
      </c>
      <c r="J86" s="17" t="n">
        <v>6938.7</v>
      </c>
      <c r="K86" s="17" t="n">
        <v>6182.6</v>
      </c>
      <c r="L86" s="17" t="n">
        <v>0</v>
      </c>
      <c r="M86" s="140" t="n">
        <v>194</v>
      </c>
      <c r="N86" s="16" t="n">
        <f aca="false" ca="false" dt2D="false" dtr="false" t="normal">SUM(P86:T86)</f>
        <v>31028207.49</v>
      </c>
      <c r="O86" s="17" t="n"/>
      <c r="P86" s="17" t="n">
        <v>2786108.66</v>
      </c>
      <c r="Q86" s="18" t="n"/>
      <c r="R86" s="18" t="n">
        <v>2179383.78</v>
      </c>
      <c r="S86" s="18" t="n">
        <v>16449520.2167738</v>
      </c>
      <c r="T86" s="17" t="n">
        <v>9613194.8332262</v>
      </c>
      <c r="U86" s="18" t="n">
        <v>5081.87407834468</v>
      </c>
      <c r="V86" s="18" t="n">
        <v>5081.87407834468</v>
      </c>
      <c r="W86" s="21" t="n">
        <v>2022</v>
      </c>
      <c r="X86" s="1" t="n">
        <f aca="false" ca="false" dt2D="false" dtr="false" t="normal">2933225.6-137130.98</f>
        <v>2796094.62</v>
      </c>
      <c r="Y86" s="3" t="n">
        <f aca="false" ca="false" dt2D="false" dtr="false" t="normal">+(K86*10+L86*20)*12*0.85</f>
        <v>630625.2</v>
      </c>
      <c r="Z86" s="3" t="n">
        <f aca="false" ca="false" dt2D="false" dtr="false" t="normal">+(K86*10+L86*20)*12*30</f>
        <v>22257360</v>
      </c>
      <c r="AB86" s="23" t="n">
        <f aca="false" ca="true" dt2D="false" dtr="false" t="normal">SUBTOTAL(9, AC86:AQ86)</f>
        <v>31028207.490000002</v>
      </c>
      <c r="AC86" s="17" t="n">
        <v>9954639.86</v>
      </c>
      <c r="AD86" s="17" t="n">
        <v>6212728.62</v>
      </c>
      <c r="AE86" s="17" t="n"/>
      <c r="AF86" s="17" t="n">
        <v>4876418.04</v>
      </c>
      <c r="AG86" s="17" t="n"/>
      <c r="AH86" s="17" t="n"/>
      <c r="AI86" s="17" t="n"/>
      <c r="AJ86" s="17" t="n">
        <v>0</v>
      </c>
      <c r="AK86" s="17" t="n">
        <v>9984420.97</v>
      </c>
      <c r="AL86" s="17" t="n">
        <v>0</v>
      </c>
      <c r="AM86" s="17" t="n"/>
      <c r="AN86" s="17" t="n"/>
      <c r="AO86" s="17" t="n"/>
      <c r="AP86" s="18" t="n"/>
      <c r="AQ86" s="24" t="n"/>
      <c r="AR86" s="3" t="n">
        <f aca="false" ca="false" dt2D="false" dtr="false" t="normal">N86-AB86</f>
        <v>0</v>
      </c>
    </row>
    <row customFormat="true" ht="15" outlineLevel="0" r="87" s="184">
      <c r="A87" s="154" t="n">
        <f aca="false" ca="false" dt2D="false" dtr="false" t="normal">+A86+1</f>
        <v>70</v>
      </c>
      <c r="B87" s="138" t="n">
        <f aca="false" ca="false" dt2D="false" dtr="false" t="normal">+B86+1</f>
        <v>70</v>
      </c>
      <c r="C87" s="138" t="s">
        <v>177</v>
      </c>
      <c r="D87" s="138" t="s">
        <v>247</v>
      </c>
      <c r="E87" s="139" t="s">
        <v>209</v>
      </c>
      <c r="F87" s="139" t="n"/>
      <c r="G87" s="139" t="s">
        <v>4</v>
      </c>
      <c r="H87" s="139" t="s">
        <v>150</v>
      </c>
      <c r="I87" s="139" t="s">
        <v>151</v>
      </c>
      <c r="J87" s="17" t="n">
        <v>8385.68</v>
      </c>
      <c r="K87" s="17" t="n">
        <v>7039.3</v>
      </c>
      <c r="L87" s="17" t="n">
        <v>0</v>
      </c>
      <c r="M87" s="140" t="n">
        <v>255</v>
      </c>
      <c r="N87" s="16" t="n">
        <f aca="false" ca="false" dt2D="false" dtr="false" t="normal">SUM(P87:T87)</f>
        <v>8794774.9253161</v>
      </c>
      <c r="O87" s="17" t="n">
        <v>0</v>
      </c>
      <c r="P87" s="18" t="n"/>
      <c r="Q87" s="18" t="n">
        <v>0</v>
      </c>
      <c r="R87" s="18" t="n">
        <v>5101944.1894</v>
      </c>
      <c r="S87" s="18" t="n">
        <v>3692830.7359161</v>
      </c>
      <c r="T87" s="17" t="n"/>
      <c r="U87" s="18" t="n">
        <v>1281.56972116579</v>
      </c>
      <c r="V87" s="18" t="n">
        <v>1172.283020064</v>
      </c>
      <c r="W87" s="21" t="n">
        <v>2022</v>
      </c>
      <c r="X87" s="184" t="n">
        <v>4147710.76</v>
      </c>
      <c r="Y87" s="3" t="n">
        <f aca="false" ca="false" dt2D="false" dtr="false" t="normal">+(K87*13.29+L87*22.52)*12*0.85</f>
        <v>954233.4293999998</v>
      </c>
      <c r="Z87" s="3" t="n">
        <f aca="false" ca="false" dt2D="false" dtr="false" t="normal">+(K87*13.29+L87*22.52)*12*30</f>
        <v>33678826.919999994</v>
      </c>
      <c r="AA87" s="3" t="n"/>
      <c r="AB87" s="23" t="n">
        <f aca="false" ca="true" dt2D="false" dtr="false" t="normal">SUBTOTAL(9, AC87:AQ87)</f>
        <v>8794774.925316095</v>
      </c>
      <c r="AC87" s="27" t="n"/>
      <c r="AD87" s="27" t="n"/>
      <c r="AE87" s="27" t="n"/>
      <c r="AF87" s="27" t="n"/>
      <c r="AG87" s="27" t="n"/>
      <c r="AH87" s="27" t="n"/>
      <c r="AI87" s="27" t="n"/>
      <c r="AJ87" s="27" t="n">
        <v>8608489.92</v>
      </c>
      <c r="AK87" s="27" t="n"/>
      <c r="AL87" s="27" t="n"/>
      <c r="AM87" s="27" t="n"/>
      <c r="AN87" s="27" t="n"/>
      <c r="AO87" s="27" t="n">
        <v>162285.005316096</v>
      </c>
      <c r="AP87" s="27" t="n">
        <v>24000</v>
      </c>
      <c r="AQ87" s="194" t="n"/>
      <c r="AR87" s="3" t="n">
        <f aca="false" ca="false" dt2D="false" dtr="false" t="normal">N87-AB87</f>
        <v>0</v>
      </c>
      <c r="AT87" s="187" t="n"/>
    </row>
    <row outlineLevel="0" r="88">
      <c r="A88" s="154" t="n">
        <f aca="false" ca="false" dt2D="false" dtr="false" t="normal">+A87+1</f>
        <v>71</v>
      </c>
      <c r="B88" s="138" t="n">
        <f aca="false" ca="false" dt2D="false" dtr="false" t="normal">+B87+1</f>
        <v>71</v>
      </c>
      <c r="C88" s="138" t="s">
        <v>177</v>
      </c>
      <c r="D88" s="138" t="s">
        <v>248</v>
      </c>
      <c r="E88" s="139" t="n">
        <v>1990</v>
      </c>
      <c r="F88" s="139" t="n">
        <v>2005</v>
      </c>
      <c r="G88" s="139" t="s">
        <v>4</v>
      </c>
      <c r="H88" s="139" t="n">
        <v>5</v>
      </c>
      <c r="I88" s="139" t="n">
        <v>4</v>
      </c>
      <c r="J88" s="17" t="n">
        <v>4982</v>
      </c>
      <c r="K88" s="17" t="n">
        <v>4404.6</v>
      </c>
      <c r="L88" s="17" t="n">
        <v>0</v>
      </c>
      <c r="M88" s="140" t="n">
        <v>212</v>
      </c>
      <c r="N88" s="16" t="n">
        <f aca="false" ca="false" dt2D="false" dtr="false" t="normal">SUM(P88:T88)</f>
        <v>28792487.709999997</v>
      </c>
      <c r="O88" s="17" t="n"/>
      <c r="P88" s="18" t="n">
        <v>8060872.43</v>
      </c>
      <c r="Q88" s="18" t="n"/>
      <c r="R88" s="18" t="n">
        <v>2550477</v>
      </c>
      <c r="S88" s="18" t="n">
        <v>16238030.8016122</v>
      </c>
      <c r="T88" s="17" t="n">
        <v>1943107.4783878</v>
      </c>
      <c r="U88" s="18" t="n">
        <v>6693.40369423152</v>
      </c>
      <c r="V88" s="18" t="n">
        <v>6693.40369423152</v>
      </c>
      <c r="W88" s="21" t="n">
        <v>2022</v>
      </c>
      <c r="X88" s="1" t="n">
        <f aca="false" ca="false" dt2D="false" dtr="false" t="normal">2210839.58-109631.78</f>
        <v>2101207.8000000003</v>
      </c>
      <c r="Y88" s="3" t="n">
        <f aca="false" ca="false" dt2D="false" dtr="false" t="normal">+(K88*10+L88*20)*12*0.85</f>
        <v>449269.2</v>
      </c>
      <c r="Z88" s="3" t="n">
        <f aca="false" ca="false" dt2D="false" dtr="false" t="normal">+(K88*10+L88*20)*12*30-126359.21</f>
        <v>15730200.79</v>
      </c>
      <c r="AB88" s="23" t="n">
        <f aca="false" ca="true" dt2D="false" dtr="false" t="normal">SUBTOTAL(9, AC88:AQ88)</f>
        <v>28792487.709999997</v>
      </c>
      <c r="AC88" s="17" t="n">
        <v>0</v>
      </c>
      <c r="AD88" s="17" t="n">
        <v>0</v>
      </c>
      <c r="AE88" s="17" t="n"/>
      <c r="AF88" s="17" t="n">
        <v>0</v>
      </c>
      <c r="AG88" s="17" t="n">
        <v>0</v>
      </c>
      <c r="AH88" s="17" t="n"/>
      <c r="AI88" s="17" t="n"/>
      <c r="AJ88" s="17" t="n">
        <v>0</v>
      </c>
      <c r="AK88" s="17" t="n">
        <v>12527051.33</v>
      </c>
      <c r="AL88" s="17" t="n">
        <v>0</v>
      </c>
      <c r="AM88" s="17" t="n">
        <v>16115638.25</v>
      </c>
      <c r="AN88" s="17" t="n">
        <v>0</v>
      </c>
      <c r="AO88" s="17" t="n"/>
      <c r="AP88" s="18" t="n"/>
      <c r="AQ88" s="156" t="n">
        <f aca="false" ca="false" dt2D="false" dtr="false" t="normal">149798.13</f>
        <v>149798.13</v>
      </c>
      <c r="AR88" s="3" t="n">
        <f aca="false" ca="false" dt2D="false" dtr="false" t="normal">N88-AB88</f>
        <v>0</v>
      </c>
    </row>
    <row outlineLevel="0" r="89">
      <c r="A89" s="154" t="n">
        <f aca="false" ca="false" dt2D="false" dtr="false" t="normal">+A88+1</f>
        <v>72</v>
      </c>
      <c r="B89" s="138" t="n">
        <f aca="false" ca="false" dt2D="false" dtr="false" t="normal">+B88+1</f>
        <v>72</v>
      </c>
      <c r="C89" s="138" t="s">
        <v>177</v>
      </c>
      <c r="D89" s="138" t="s">
        <v>249</v>
      </c>
      <c r="E89" s="139" t="n">
        <v>1970</v>
      </c>
      <c r="F89" s="139" t="n">
        <v>2013</v>
      </c>
      <c r="G89" s="139" t="s">
        <v>4</v>
      </c>
      <c r="H89" s="139" t="n">
        <v>5</v>
      </c>
      <c r="I89" s="139" t="n">
        <v>4</v>
      </c>
      <c r="J89" s="17" t="n">
        <v>3068</v>
      </c>
      <c r="K89" s="17" t="n">
        <v>2483.8</v>
      </c>
      <c r="L89" s="17" t="n">
        <v>584.2</v>
      </c>
      <c r="M89" s="140" t="n">
        <v>142</v>
      </c>
      <c r="N89" s="16" t="n">
        <f aca="false" ca="false" dt2D="false" dtr="false" t="normal">SUM(P89:T89)</f>
        <v>1066659.0699999998</v>
      </c>
      <c r="O89" s="17" t="n"/>
      <c r="P89" s="18" t="n"/>
      <c r="Q89" s="18" t="n"/>
      <c r="R89" s="18" t="n">
        <v>138246.74536532</v>
      </c>
      <c r="S89" s="17" t="n">
        <v>928412.32463468</v>
      </c>
      <c r="T89" s="17" t="n"/>
      <c r="U89" s="18" t="n">
        <v>389.5879743694</v>
      </c>
      <c r="V89" s="18" t="n">
        <v>389.5879743694</v>
      </c>
      <c r="W89" s="21" t="n">
        <v>2022</v>
      </c>
      <c r="X89" s="1" t="n">
        <v>504168.77</v>
      </c>
      <c r="Y89" s="3" t="n">
        <f aca="false" ca="false" dt2D="false" dtr="false" t="normal">+(K89*10+L89*20)*12*0.85</f>
        <v>372524.39999999997</v>
      </c>
      <c r="Z89" s="3" t="n">
        <f aca="false" ca="false" dt2D="false" dtr="false" t="normal">+(K89*10+L89*20)*12*30</f>
        <v>13147920</v>
      </c>
      <c r="AB89" s="23" t="n">
        <f aca="false" ca="true" dt2D="false" dtr="false" t="normal">SUBTOTAL(9, AC89:AQ89)</f>
        <v>1066659.0699999998</v>
      </c>
      <c r="AC89" s="17" t="n"/>
      <c r="AE89" s="17" t="n">
        <v>1057009.16</v>
      </c>
      <c r="AF89" s="17" t="n"/>
      <c r="AG89" s="17" t="n">
        <v>0</v>
      </c>
      <c r="AH89" s="17" t="n"/>
      <c r="AI89" s="17" t="n"/>
      <c r="AJ89" s="17" t="n">
        <v>0</v>
      </c>
      <c r="AL89" s="17" t="n">
        <v>0</v>
      </c>
      <c r="AM89" s="17" t="n">
        <v>0</v>
      </c>
      <c r="AN89" s="17" t="n">
        <v>0</v>
      </c>
      <c r="AO89" s="17" t="n"/>
      <c r="AP89" s="18" t="n"/>
      <c r="AQ89" s="156" t="n">
        <f aca="false" ca="false" dt2D="false" dtr="false" t="normal">9649.91</f>
        <v>9649.91</v>
      </c>
      <c r="AR89" s="3" t="n">
        <f aca="false" ca="false" dt2D="false" dtr="false" t="normal">N89-AB89</f>
        <v>0</v>
      </c>
    </row>
    <row outlineLevel="0" r="90">
      <c r="A90" s="154" t="n">
        <f aca="false" ca="false" dt2D="false" dtr="false" t="normal">+A89+1</f>
        <v>73</v>
      </c>
      <c r="B90" s="138" t="n">
        <f aca="false" ca="false" dt2D="false" dtr="false" t="normal">+B89+1</f>
        <v>73</v>
      </c>
      <c r="C90" s="138" t="s">
        <v>177</v>
      </c>
      <c r="D90" s="138" t="s">
        <v>250</v>
      </c>
      <c r="E90" s="139" t="n">
        <v>1996</v>
      </c>
      <c r="F90" s="139" t="n"/>
      <c r="G90" s="139" t="s">
        <v>4</v>
      </c>
      <c r="H90" s="139" t="n">
        <v>5</v>
      </c>
      <c r="I90" s="139" t="n">
        <v>2</v>
      </c>
      <c r="J90" s="17" t="n">
        <v>3019</v>
      </c>
      <c r="K90" s="17" t="n">
        <v>2443.9</v>
      </c>
      <c r="L90" s="17" t="n">
        <v>0</v>
      </c>
      <c r="M90" s="140" t="n">
        <v>97</v>
      </c>
      <c r="N90" s="16" t="n">
        <f aca="false" ca="false" dt2D="false" dtr="false" t="normal">SUM(P90:T90)</f>
        <v>5016954.08</v>
      </c>
      <c r="O90" s="17" t="n"/>
      <c r="P90" s="18" t="n">
        <v>421112.51</v>
      </c>
      <c r="Q90" s="18" t="n"/>
      <c r="R90" s="18" t="n">
        <v>1310388.09</v>
      </c>
      <c r="S90" s="18" t="n">
        <v>3285453.48</v>
      </c>
      <c r="T90" s="17" t="n"/>
      <c r="U90" s="18" t="n">
        <v>2280.82285808939</v>
      </c>
      <c r="V90" s="18" t="n">
        <v>2280.82285808939</v>
      </c>
      <c r="W90" s="21" t="n">
        <v>2022</v>
      </c>
      <c r="X90" s="1" t="n">
        <v>1738823.16</v>
      </c>
      <c r="Y90" s="3" t="n">
        <f aca="false" ca="false" dt2D="false" dtr="false" t="normal">+(K90*10+L90*20)*12*0.85</f>
        <v>249277.8</v>
      </c>
      <c r="Z90" s="3" t="n">
        <f aca="false" ca="false" dt2D="false" dtr="false" t="normal">+(K90*10+L90*20)*12*30</f>
        <v>8798040</v>
      </c>
      <c r="AB90" s="23" t="n">
        <f aca="false" ca="true" dt2D="false" dtr="false" t="normal">SUBTOTAL(9, AC90:AQ90)</f>
        <v>5016954.08</v>
      </c>
      <c r="AC90" s="17" t="n">
        <v>1651323.46</v>
      </c>
      <c r="AD90" s="17" t="n"/>
      <c r="AE90" s="17" t="n">
        <v>819773.26</v>
      </c>
      <c r="AF90" s="17" t="n">
        <v>732192.34</v>
      </c>
      <c r="AG90" s="17" t="n"/>
      <c r="AH90" s="17" t="n"/>
      <c r="AI90" s="17" t="n"/>
      <c r="AJ90" s="17" t="n">
        <v>0</v>
      </c>
      <c r="AK90" s="17" t="n"/>
      <c r="AL90" s="17" t="n">
        <v>0</v>
      </c>
      <c r="AM90" s="17" t="n">
        <v>1813665.02</v>
      </c>
      <c r="AN90" s="17" t="n">
        <v>0</v>
      </c>
      <c r="AO90" s="17" t="n"/>
      <c r="AP90" s="18" t="n"/>
      <c r="AQ90" s="156" t="n">
        <v>0</v>
      </c>
      <c r="AR90" s="3" t="n">
        <f aca="false" ca="false" dt2D="false" dtr="false" t="normal">N90-AB90</f>
        <v>0</v>
      </c>
    </row>
    <row outlineLevel="0" r="91">
      <c r="A91" s="154" t="n">
        <f aca="false" ca="false" dt2D="false" dtr="false" t="normal">+A90+1</f>
        <v>74</v>
      </c>
      <c r="B91" s="138" t="n">
        <f aca="false" ca="false" dt2D="false" dtr="false" t="normal">+B90+1</f>
        <v>74</v>
      </c>
      <c r="C91" s="138" t="s">
        <v>177</v>
      </c>
      <c r="D91" s="138" t="s">
        <v>252</v>
      </c>
      <c r="E91" s="139" t="n">
        <v>1982</v>
      </c>
      <c r="F91" s="139" t="n">
        <v>2013</v>
      </c>
      <c r="G91" s="139" t="s">
        <v>4</v>
      </c>
      <c r="H91" s="139" t="n">
        <v>5</v>
      </c>
      <c r="I91" s="139" t="n">
        <v>4</v>
      </c>
      <c r="J91" s="17" t="n">
        <v>4923.9</v>
      </c>
      <c r="K91" s="17" t="n">
        <v>4353.2</v>
      </c>
      <c r="L91" s="17" t="n">
        <v>0</v>
      </c>
      <c r="M91" s="140" t="n">
        <v>184</v>
      </c>
      <c r="N91" s="16" t="n">
        <f aca="false" ca="false" dt2D="false" dtr="false" t="normal">SUM(P91:T91)</f>
        <v>1966660.12</v>
      </c>
      <c r="O91" s="17" t="n"/>
      <c r="P91" s="18" t="n"/>
      <c r="Q91" s="18" t="n"/>
      <c r="R91" s="27" t="n">
        <v>1966660.12</v>
      </c>
      <c r="S91" s="18" t="n"/>
      <c r="T91" s="17" t="n"/>
      <c r="U91" s="18" t="n">
        <v>461.010927276946</v>
      </c>
      <c r="V91" s="18" t="n">
        <v>461.010927276946</v>
      </c>
      <c r="W91" s="21" t="n">
        <v>2022</v>
      </c>
      <c r="X91" s="1" t="n">
        <v>2027227.26</v>
      </c>
      <c r="Y91" s="3" t="n">
        <f aca="false" ca="false" dt2D="false" dtr="false" t="normal">+(K91*10+L91*20)*12*0.85</f>
        <v>444026.39999999997</v>
      </c>
      <c r="Z91" s="3" t="n">
        <f aca="false" ca="false" dt2D="false" dtr="false" t="normal">+(K91*10+L91*20)*12*30</f>
        <v>15671520</v>
      </c>
      <c r="AB91" s="23" t="n">
        <f aca="false" ca="true" dt2D="false" dtr="false" t="normal">SUBTOTAL(9, AC91:AQ91)</f>
        <v>1966660.1199999999</v>
      </c>
      <c r="AC91" s="17" t="n">
        <v>0</v>
      </c>
      <c r="AD91" s="17" t="n">
        <v>0</v>
      </c>
      <c r="AE91" s="17" t="n">
        <v>0</v>
      </c>
      <c r="AF91" s="17" t="n">
        <v>0</v>
      </c>
      <c r="AG91" s="17" t="n">
        <v>1842675.65</v>
      </c>
      <c r="AH91" s="17" t="n"/>
      <c r="AI91" s="17" t="n"/>
      <c r="AJ91" s="17" t="n">
        <v>0</v>
      </c>
      <c r="AK91" s="17" t="n">
        <v>0</v>
      </c>
      <c r="AL91" s="17" t="n">
        <v>0</v>
      </c>
      <c r="AM91" s="17" t="n">
        <v>0</v>
      </c>
      <c r="AN91" s="17" t="n">
        <v>0</v>
      </c>
      <c r="AO91" s="17" t="n">
        <v>123984.47</v>
      </c>
      <c r="AP91" s="17" t="n"/>
      <c r="AQ91" s="24" t="n"/>
      <c r="AR91" s="3" t="n">
        <f aca="false" ca="false" dt2D="false" dtr="false" t="normal">N91-AB91</f>
        <v>0</v>
      </c>
    </row>
    <row outlineLevel="0" r="92">
      <c r="A92" s="154" t="n">
        <f aca="false" ca="false" dt2D="false" dtr="false" t="normal">+A91+1</f>
        <v>75</v>
      </c>
      <c r="B92" s="138" t="n">
        <f aca="false" ca="false" dt2D="false" dtr="false" t="normal">+B91+1</f>
        <v>75</v>
      </c>
      <c r="C92" s="138" t="s">
        <v>177</v>
      </c>
      <c r="D92" s="138" t="s">
        <v>254</v>
      </c>
      <c r="E92" s="139" t="n">
        <v>1981</v>
      </c>
      <c r="F92" s="139" t="n">
        <v>2013</v>
      </c>
      <c r="G92" s="139" t="s">
        <v>4</v>
      </c>
      <c r="H92" s="139" t="n">
        <v>5</v>
      </c>
      <c r="I92" s="139" t="n">
        <v>4</v>
      </c>
      <c r="J92" s="17" t="n">
        <v>4944.1</v>
      </c>
      <c r="K92" s="17" t="n">
        <v>4354.9</v>
      </c>
      <c r="L92" s="17" t="n">
        <v>0</v>
      </c>
      <c r="M92" s="140" t="n">
        <v>212</v>
      </c>
      <c r="N92" s="16" t="n">
        <f aca="false" ca="false" dt2D="false" dtr="false" t="normal">SUM(P92:T92)</f>
        <v>1967908.07</v>
      </c>
      <c r="O92" s="17" t="n"/>
      <c r="P92" s="18" t="n"/>
      <c r="Q92" s="18" t="n"/>
      <c r="R92" s="27" t="n">
        <v>1967908.07</v>
      </c>
      <c r="S92" s="18" t="n"/>
      <c r="T92" s="17" t="n"/>
      <c r="U92" s="18" t="n">
        <v>461.106314879791</v>
      </c>
      <c r="V92" s="18" t="n">
        <v>461.106314879791</v>
      </c>
      <c r="W92" s="21" t="n">
        <v>2022</v>
      </c>
      <c r="X92" s="1" t="n">
        <v>2139968.22</v>
      </c>
      <c r="Y92" s="3" t="n">
        <f aca="false" ca="false" dt2D="false" dtr="false" t="normal">+(K92*10+L92*20)*12*0.85</f>
        <v>444199.8</v>
      </c>
      <c r="Z92" s="3" t="n">
        <f aca="false" ca="false" dt2D="false" dtr="false" t="normal">+(K92*10+L92*20)*12*30</f>
        <v>15677640</v>
      </c>
      <c r="AB92" s="23" t="n">
        <f aca="false" ca="true" dt2D="false" dtr="false" t="normal">SUBTOTAL(9, AC92:AQ92)</f>
        <v>1967908.07</v>
      </c>
      <c r="AC92" s="17" t="n">
        <v>0</v>
      </c>
      <c r="AD92" s="17" t="n">
        <v>0</v>
      </c>
      <c r="AE92" s="17" t="n">
        <v>0</v>
      </c>
      <c r="AF92" s="17" t="n">
        <v>0</v>
      </c>
      <c r="AG92" s="17" t="n">
        <v>1840005.31</v>
      </c>
      <c r="AH92" s="17" t="n"/>
      <c r="AI92" s="17" t="n"/>
      <c r="AJ92" s="17" t="n">
        <v>0</v>
      </c>
      <c r="AK92" s="17" t="n">
        <v>0</v>
      </c>
      <c r="AL92" s="17" t="n">
        <v>0</v>
      </c>
      <c r="AM92" s="17" t="n">
        <v>0</v>
      </c>
      <c r="AN92" s="17" t="n">
        <v>0</v>
      </c>
      <c r="AO92" s="17" t="n">
        <v>127902.76</v>
      </c>
      <c r="AP92" s="17" t="n"/>
      <c r="AQ92" s="24" t="n"/>
      <c r="AR92" s="3" t="n">
        <f aca="false" ca="false" dt2D="false" dtr="false" t="normal">N92-AB92</f>
        <v>0</v>
      </c>
    </row>
    <row outlineLevel="0" r="93">
      <c r="A93" s="154" t="n">
        <f aca="false" ca="false" dt2D="false" dtr="false" t="normal">+A92+1</f>
        <v>76</v>
      </c>
      <c r="B93" s="138" t="n">
        <f aca="false" ca="false" dt2D="false" dtr="false" t="normal">+B92+1</f>
        <v>76</v>
      </c>
      <c r="C93" s="138" t="s">
        <v>177</v>
      </c>
      <c r="D93" s="138" t="s">
        <v>256</v>
      </c>
      <c r="E93" s="139" t="n">
        <v>1985</v>
      </c>
      <c r="F93" s="139" t="n">
        <v>2013</v>
      </c>
      <c r="G93" s="139" t="s">
        <v>4</v>
      </c>
      <c r="H93" s="139" t="n">
        <v>5</v>
      </c>
      <c r="I93" s="139" t="n">
        <v>4</v>
      </c>
      <c r="J93" s="17" t="n">
        <v>4831.5</v>
      </c>
      <c r="K93" s="17" t="n">
        <v>4248.9</v>
      </c>
      <c r="L93" s="17" t="n">
        <v>0</v>
      </c>
      <c r="M93" s="140" t="n">
        <v>185</v>
      </c>
      <c r="N93" s="16" t="n">
        <f aca="false" ca="false" dt2D="false" dtr="false" t="normal">SUM(P93:T93)</f>
        <v>2104373.4299999997</v>
      </c>
      <c r="O93" s="17" t="n"/>
      <c r="P93" s="18" t="n"/>
      <c r="Q93" s="18" t="n"/>
      <c r="R93" s="18" t="n">
        <v>1146251.65</v>
      </c>
      <c r="S93" s="18" t="n">
        <v>958121.78</v>
      </c>
      <c r="T93" s="17" t="n"/>
      <c r="U93" s="18" t="n">
        <v>512.853072559957</v>
      </c>
      <c r="V93" s="18" t="n">
        <v>512.853072559957</v>
      </c>
      <c r="W93" s="21" t="n">
        <v>2022</v>
      </c>
      <c r="X93" s="1" t="n">
        <f aca="false" ca="false" dt2D="false" dtr="false" t="normal">2031310.17-1377300.63</f>
        <v>654009.54</v>
      </c>
      <c r="Y93" s="3" t="n">
        <f aca="false" ca="false" dt2D="false" dtr="false" t="normal">+(K93*10+L93*20)*12*0.85</f>
        <v>433387.8</v>
      </c>
      <c r="Z93" s="3" t="n">
        <f aca="false" ca="false" dt2D="false" dtr="false" t="normal">+(K93*10+L93*20)*12*30-4430181.56</f>
        <v>10865858.440000001</v>
      </c>
      <c r="AB93" s="23" t="n">
        <f aca="false" ca="true" dt2D="false" dtr="false" t="normal">SUBTOTAL(9, AC93:AQ93)</f>
        <v>2104373.43</v>
      </c>
      <c r="AC93" s="17" t="n">
        <v>0</v>
      </c>
      <c r="AD93" s="17" t="n">
        <v>0</v>
      </c>
      <c r="AE93" s="17" t="n">
        <v>0</v>
      </c>
      <c r="AF93" s="17" t="n">
        <v>0</v>
      </c>
      <c r="AG93" s="17" t="n">
        <v>1980515.44</v>
      </c>
      <c r="AH93" s="17" t="n"/>
      <c r="AI93" s="17" t="n"/>
      <c r="AJ93" s="17" t="n">
        <v>0</v>
      </c>
      <c r="AK93" s="17" t="n"/>
      <c r="AL93" s="17" t="n">
        <v>0</v>
      </c>
      <c r="AM93" s="17" t="n">
        <v>0</v>
      </c>
      <c r="AN93" s="17" t="n"/>
      <c r="AO93" s="17" t="n">
        <v>123857.99</v>
      </c>
      <c r="AP93" s="18" t="n"/>
      <c r="AQ93" s="24" t="n"/>
      <c r="AR93" s="3" t="n">
        <f aca="false" ca="false" dt2D="false" dtr="false" t="normal">N93-AB93</f>
        <v>0</v>
      </c>
    </row>
    <row outlineLevel="0" r="94">
      <c r="A94" s="154" t="n">
        <f aca="false" ca="false" dt2D="false" dtr="false" t="normal">+A93+1</f>
        <v>77</v>
      </c>
      <c r="B94" s="138" t="n">
        <f aca="false" ca="false" dt2D="false" dtr="false" t="normal">+B93+1</f>
        <v>77</v>
      </c>
      <c r="C94" s="138" t="s">
        <v>177</v>
      </c>
      <c r="D94" s="138" t="s">
        <v>257</v>
      </c>
      <c r="E94" s="139" t="n">
        <v>1973</v>
      </c>
      <c r="F94" s="139" t="n">
        <v>2013</v>
      </c>
      <c r="G94" s="139" t="s">
        <v>4</v>
      </c>
      <c r="H94" s="139" t="n">
        <v>4</v>
      </c>
      <c r="I94" s="139" t="n">
        <v>4</v>
      </c>
      <c r="J94" s="17" t="n">
        <v>2799.6</v>
      </c>
      <c r="K94" s="17" t="n">
        <v>1950.2</v>
      </c>
      <c r="L94" s="17" t="n">
        <v>849.4</v>
      </c>
      <c r="M94" s="140" t="n">
        <v>97</v>
      </c>
      <c r="N94" s="16" t="n">
        <f aca="false" ca="false" dt2D="false" dtr="false" t="normal">SUM(P94:T94)</f>
        <v>856186.02</v>
      </c>
      <c r="O94" s="17" t="n"/>
      <c r="P94" s="18" t="n"/>
      <c r="Q94" s="18" t="n"/>
      <c r="S94" s="18" t="n">
        <v>856186.02</v>
      </c>
      <c r="T94" s="17" t="n"/>
      <c r="U94" s="18" t="n">
        <v>305.82441063009</v>
      </c>
      <c r="V94" s="18" t="n">
        <v>305.82441063009</v>
      </c>
      <c r="W94" s="21" t="n">
        <v>2022</v>
      </c>
      <c r="X94" s="1" t="n">
        <v>1792695.27</v>
      </c>
      <c r="Y94" s="3" t="n">
        <f aca="false" ca="false" dt2D="false" dtr="false" t="normal">+(K94*10+L94*20)*12*0.85</f>
        <v>372198</v>
      </c>
      <c r="Z94" s="3" t="n">
        <f aca="false" ca="false" dt2D="false" dtr="false" t="normal">+(K94*10+L94*20)*12*30</f>
        <v>13136400</v>
      </c>
      <c r="AB94" s="23" t="n">
        <f aca="false" ca="true" dt2D="false" dtr="false" t="normal">SUBTOTAL(9, AC94:AQ94)</f>
        <v>856186.02</v>
      </c>
      <c r="AC94" s="17" t="n">
        <v>0</v>
      </c>
      <c r="AD94" s="17" t="n">
        <v>0</v>
      </c>
      <c r="AE94" s="17" t="n">
        <v>0</v>
      </c>
      <c r="AF94" s="17" t="n">
        <v>0</v>
      </c>
      <c r="AG94" s="17" t="n">
        <v>856186.02</v>
      </c>
      <c r="AH94" s="17" t="n"/>
      <c r="AI94" s="17" t="n"/>
      <c r="AJ94" s="17" t="n">
        <v>0</v>
      </c>
      <c r="AK94" s="17" t="n">
        <v>0</v>
      </c>
      <c r="AL94" s="17" t="n">
        <v>0</v>
      </c>
      <c r="AM94" s="17" t="n"/>
      <c r="AN94" s="17" t="n"/>
      <c r="AO94" s="17" t="n"/>
      <c r="AP94" s="18" t="n"/>
      <c r="AQ94" s="191" t="n"/>
      <c r="AR94" s="3" t="n">
        <f aca="false" ca="false" dt2D="false" dtr="false" t="normal">N94-AB94</f>
        <v>0</v>
      </c>
    </row>
    <row outlineLevel="0" r="95">
      <c r="A95" s="154" t="n">
        <f aca="false" ca="false" dt2D="false" dtr="false" t="normal">+A94+1</f>
        <v>78</v>
      </c>
      <c r="B95" s="138" t="n">
        <f aca="false" ca="false" dt2D="false" dtr="false" t="normal">+B94+1</f>
        <v>78</v>
      </c>
      <c r="C95" s="138" t="s">
        <v>177</v>
      </c>
      <c r="D95" s="138" t="s">
        <v>259</v>
      </c>
      <c r="E95" s="139" t="n">
        <v>1976</v>
      </c>
      <c r="F95" s="139" t="n">
        <v>2013</v>
      </c>
      <c r="G95" s="139" t="s">
        <v>4</v>
      </c>
      <c r="H95" s="139" t="n">
        <v>4</v>
      </c>
      <c r="I95" s="139" t="n">
        <v>6</v>
      </c>
      <c r="J95" s="17" t="n">
        <v>5727.3</v>
      </c>
      <c r="K95" s="17" t="n">
        <v>4928.1</v>
      </c>
      <c r="L95" s="17" t="n">
        <v>70.7</v>
      </c>
      <c r="M95" s="140" t="n">
        <v>234</v>
      </c>
      <c r="N95" s="16" t="n">
        <f aca="false" ca="false" dt2D="false" dtr="false" t="normal">SUM(P95:T95)</f>
        <v>2284407.2</v>
      </c>
      <c r="O95" s="17" t="n"/>
      <c r="P95" s="18" t="n">
        <v>1556194.47</v>
      </c>
      <c r="Q95" s="18" t="n"/>
      <c r="R95" s="18" t="n">
        <v>274059.371186</v>
      </c>
      <c r="S95" s="18" t="n">
        <v>454153.358814</v>
      </c>
      <c r="T95" s="17" t="n"/>
      <c r="U95" s="18" t="n">
        <v>459.361733053133</v>
      </c>
      <c r="V95" s="18" t="n">
        <v>459.361733053133</v>
      </c>
      <c r="W95" s="21" t="n">
        <v>2022</v>
      </c>
      <c r="X95" s="1" t="n">
        <f aca="false" ca="false" dt2D="false" dtr="false" t="normal">2269068.63-1153662.35-337091.58</f>
        <v>778314.6999999997</v>
      </c>
      <c r="Y95" s="3" t="n">
        <f aca="false" ca="false" dt2D="false" dtr="false" t="normal">+(K95*10+L95*20)*12*0.85</f>
        <v>517089</v>
      </c>
      <c r="Z95" s="3" t="n">
        <f aca="false" ca="false" dt2D="false" dtr="false" t="normal">+(K95*10+L95*20)*12*30-1213002.672-2895880.10928442</f>
        <v>14141317.218715582</v>
      </c>
      <c r="AB95" s="23" t="n">
        <f aca="false" ca="true" dt2D="false" dtr="false" t="normal">SUBTOTAL(9, AC95:AQ95)</f>
        <v>2284407.2</v>
      </c>
      <c r="AC95" s="17" t="n">
        <v>0</v>
      </c>
      <c r="AD95" s="17" t="n">
        <v>0</v>
      </c>
      <c r="AE95" s="17" t="n"/>
      <c r="AF95" s="17" t="n">
        <v>0</v>
      </c>
      <c r="AG95" s="17" t="n">
        <v>2082908.19</v>
      </c>
      <c r="AH95" s="17" t="n"/>
      <c r="AI95" s="17" t="n"/>
      <c r="AJ95" s="17" t="n">
        <v>0</v>
      </c>
      <c r="AK95" s="17" t="n">
        <v>0</v>
      </c>
      <c r="AL95" s="17" t="n">
        <v>0</v>
      </c>
      <c r="AM95" s="17" t="n">
        <v>0</v>
      </c>
      <c r="AN95" s="17" t="n">
        <v>0</v>
      </c>
      <c r="AO95" s="17" t="n">
        <v>199499.01</v>
      </c>
      <c r="AP95" s="18" t="n">
        <v>2000</v>
      </c>
      <c r="AQ95" s="24" t="n"/>
      <c r="AR95" s="3" t="n">
        <f aca="false" ca="false" dt2D="false" dtr="false" t="normal">N95-AB95</f>
        <v>0</v>
      </c>
    </row>
    <row outlineLevel="0" r="96">
      <c r="A96" s="154" t="n">
        <f aca="false" ca="false" dt2D="false" dtr="false" t="normal">+A95+1</f>
        <v>79</v>
      </c>
      <c r="B96" s="138" t="n">
        <f aca="false" ca="false" dt2D="false" dtr="false" t="normal">+B95+1</f>
        <v>79</v>
      </c>
      <c r="C96" s="138" t="s">
        <v>177</v>
      </c>
      <c r="D96" s="138" t="s">
        <v>261</v>
      </c>
      <c r="E96" s="139" t="n">
        <v>1979</v>
      </c>
      <c r="F96" s="139" t="n">
        <v>2013</v>
      </c>
      <c r="G96" s="139" t="s">
        <v>4</v>
      </c>
      <c r="H96" s="139" t="n">
        <v>4</v>
      </c>
      <c r="I96" s="139" t="n">
        <v>6</v>
      </c>
      <c r="J96" s="17" t="n">
        <v>5599.1</v>
      </c>
      <c r="K96" s="17" t="n">
        <v>5005.9</v>
      </c>
      <c r="L96" s="17" t="n">
        <v>0</v>
      </c>
      <c r="M96" s="140" t="n">
        <v>207</v>
      </c>
      <c r="N96" s="16" t="n">
        <f aca="false" ca="false" dt2D="false" dtr="false" t="normal">SUM(P96:T96)</f>
        <v>16584444.2196</v>
      </c>
      <c r="O96" s="17" t="n"/>
      <c r="P96" s="18" t="n"/>
      <c r="Q96" s="18" t="n"/>
      <c r="R96" s="18" t="n">
        <v>2768356.94</v>
      </c>
      <c r="S96" s="18" t="n">
        <v>13816087.2796</v>
      </c>
      <c r="T96" s="17" t="n"/>
      <c r="U96" s="18" t="n">
        <v>3356.42391522894</v>
      </c>
      <c r="V96" s="18" t="n">
        <v>3356.42391522894</v>
      </c>
      <c r="W96" s="21" t="n">
        <v>2022</v>
      </c>
      <c r="X96" s="1" t="n">
        <v>2371814.14</v>
      </c>
      <c r="Y96" s="3" t="n">
        <f aca="false" ca="false" dt2D="false" dtr="false" t="normal">+(K96*10+L96*20)*12*0.85</f>
        <v>510601.8</v>
      </c>
      <c r="Z96" s="3" t="n">
        <f aca="false" ca="false" dt2D="false" dtr="false" t="normal">+(K96*10+L96*20)*12*30-3198417.38</f>
        <v>14822822.620000001</v>
      </c>
      <c r="AB96" s="23" t="n">
        <f aca="false" ca="true" dt2D="false" dtr="false" t="normal">SUBTOTAL(9, AC96:AQ96)</f>
        <v>16584444.2196</v>
      </c>
      <c r="AC96" s="17" t="n">
        <v>8268601.63</v>
      </c>
      <c r="AD96" s="17" t="n"/>
      <c r="AE96" s="17" t="n">
        <v>3198417.38</v>
      </c>
      <c r="AF96" s="17" t="n">
        <v>2797224.34</v>
      </c>
      <c r="AG96" s="17" t="n"/>
      <c r="AH96" s="17" t="n"/>
      <c r="AI96" s="17" t="n"/>
      <c r="AJ96" s="17" t="n">
        <v>0</v>
      </c>
      <c r="AK96" s="17" t="n">
        <v>0</v>
      </c>
      <c r="AL96" s="17" t="n">
        <v>0</v>
      </c>
      <c r="AM96" s="17" t="n">
        <v>0</v>
      </c>
      <c r="AN96" s="17" t="n">
        <v>0</v>
      </c>
      <c r="AO96" s="17" t="n">
        <v>1945255.4768</v>
      </c>
      <c r="AP96" s="18" t="n">
        <v>203313.0628</v>
      </c>
      <c r="AQ96" s="156" t="n">
        <f aca="false" ca="false" dt2D="false" dtr="false" t="normal">100443.46+35541.21+35647.66</f>
        <v>171632.33000000002</v>
      </c>
      <c r="AR96" s="3" t="n">
        <f aca="false" ca="false" dt2D="false" dtr="false" t="normal">N96-AB96</f>
        <v>0</v>
      </c>
    </row>
    <row outlineLevel="0" r="97">
      <c r="A97" s="154" t="n">
        <f aca="false" ca="false" dt2D="false" dtr="false" t="normal">+A96+1</f>
        <v>80</v>
      </c>
      <c r="B97" s="138" t="n">
        <f aca="false" ca="false" dt2D="false" dtr="false" t="normal">+B96+1</f>
        <v>80</v>
      </c>
      <c r="C97" s="138" t="s">
        <v>177</v>
      </c>
      <c r="D97" s="138" t="s">
        <v>263</v>
      </c>
      <c r="E97" s="139" t="n">
        <v>1976</v>
      </c>
      <c r="F97" s="139" t="n">
        <v>2013</v>
      </c>
      <c r="G97" s="139" t="s">
        <v>4</v>
      </c>
      <c r="H97" s="139" t="n">
        <v>4</v>
      </c>
      <c r="I97" s="139" t="n">
        <v>6</v>
      </c>
      <c r="J97" s="17" t="n">
        <v>5761.37</v>
      </c>
      <c r="K97" s="17" t="n">
        <v>4953.17</v>
      </c>
      <c r="L97" s="17" t="n">
        <v>0</v>
      </c>
      <c r="M97" s="140" t="n">
        <v>208</v>
      </c>
      <c r="N97" s="16" t="n">
        <f aca="false" ca="false" dt2D="false" dtr="false" t="normal">SUM(P97:T97)</f>
        <v>6345618.89105144</v>
      </c>
      <c r="O97" s="17" t="n"/>
      <c r="P97" s="18" t="n"/>
      <c r="Q97" s="18" t="n"/>
      <c r="R97" s="18" t="n">
        <v>3001913.74</v>
      </c>
      <c r="S97" s="18" t="n">
        <v>3343705.15105144</v>
      </c>
      <c r="T97" s="18" t="n"/>
      <c r="U97" s="17" t="n">
        <v>1397.2343773615</v>
      </c>
      <c r="V97" s="17" t="n">
        <v>1397.2343773615</v>
      </c>
      <c r="W97" s="21" t="n">
        <v>2022</v>
      </c>
      <c r="X97" s="1" t="n">
        <f aca="false" ca="false" dt2D="false" dtr="false" t="normal">2496690.4</f>
        <v>2496690.4</v>
      </c>
      <c r="Y97" s="3" t="n">
        <f aca="false" ca="false" dt2D="false" dtr="false" t="normal">+(K97*10+L97*20)*12*0.85</f>
        <v>505223.3399999999</v>
      </c>
      <c r="Z97" s="3" t="n">
        <f aca="false" ca="false" dt2D="false" dtr="false" t="normal">+(K97*10+L97*20)*12*30</f>
        <v>17831411.999999996</v>
      </c>
      <c r="AB97" s="23" t="n">
        <f aca="false" ca="true" dt2D="false" dtr="false" t="normal">SUBTOTAL(9, AC97:AQ97)</f>
        <v>6345618.891051442</v>
      </c>
      <c r="AC97" s="17" t="n">
        <v>0</v>
      </c>
      <c r="AD97" s="17" t="n"/>
      <c r="AE97" s="17" t="n">
        <v>3491728.21</v>
      </c>
      <c r="AF97" s="17" t="n"/>
      <c r="AG97" s="17" t="n"/>
      <c r="AH97" s="17" t="n"/>
      <c r="AI97" s="17" t="n"/>
      <c r="AJ97" s="17" t="n">
        <v>0</v>
      </c>
      <c r="AK97" s="17" t="n">
        <v>0</v>
      </c>
      <c r="AL97" s="17" t="n">
        <v>0</v>
      </c>
      <c r="AM97" s="17" t="n">
        <v>0</v>
      </c>
      <c r="AN97" s="17" t="n"/>
      <c r="AO97" s="17" t="n">
        <v>2595059.90459222</v>
      </c>
      <c r="AP97" s="18" t="n">
        <v>223901.306459222</v>
      </c>
      <c r="AQ97" s="156" t="n">
        <f aca="false" ca="false" dt2D="false" dtr="false" t="normal">34929.47</f>
        <v>34929.47</v>
      </c>
      <c r="AR97" s="3" t="n">
        <f aca="false" ca="false" dt2D="false" dtr="false" t="normal">N97-AB97</f>
        <v>0</v>
      </c>
    </row>
    <row outlineLevel="0" r="98">
      <c r="A98" s="154" t="n">
        <f aca="false" ca="false" dt2D="false" dtr="false" t="normal">+A97+1</f>
        <v>81</v>
      </c>
      <c r="B98" s="138" t="n">
        <f aca="false" ca="false" dt2D="false" dtr="false" t="normal">+B97+1</f>
        <v>81</v>
      </c>
      <c r="C98" s="138" t="s">
        <v>177</v>
      </c>
      <c r="D98" s="138" t="s">
        <v>265</v>
      </c>
      <c r="E98" s="139" t="n">
        <v>1964</v>
      </c>
      <c r="F98" s="139" t="n">
        <v>1978</v>
      </c>
      <c r="G98" s="139" t="s">
        <v>4</v>
      </c>
      <c r="H98" s="139" t="n">
        <v>4</v>
      </c>
      <c r="I98" s="139" t="n">
        <v>4</v>
      </c>
      <c r="J98" s="17" t="n">
        <v>2691.4</v>
      </c>
      <c r="K98" s="17" t="n">
        <v>2511.6</v>
      </c>
      <c r="L98" s="17" t="n">
        <v>55</v>
      </c>
      <c r="M98" s="140" t="n">
        <v>136</v>
      </c>
      <c r="N98" s="16" t="n">
        <f aca="false" ca="false" dt2D="false" dtr="false" t="normal">SUM(P98:T98)</f>
        <v>9789695.05</v>
      </c>
      <c r="O98" s="17" t="n"/>
      <c r="P98" s="18" t="n">
        <v>1737458.06</v>
      </c>
      <c r="Q98" s="18" t="n"/>
      <c r="R98" s="18" t="n">
        <v>1030975.08</v>
      </c>
      <c r="S98" s="18" t="n">
        <v>7021261.91</v>
      </c>
      <c r="T98" s="17" t="n"/>
      <c r="U98" s="18" t="n">
        <v>3907.57326202332</v>
      </c>
      <c r="V98" s="18" t="n">
        <v>3907.57326202332</v>
      </c>
      <c r="W98" s="21" t="n">
        <v>2022</v>
      </c>
      <c r="X98" s="1" t="n">
        <v>1127947.91</v>
      </c>
      <c r="Y98" s="3" t="n">
        <f aca="false" ca="false" dt2D="false" dtr="false" t="normal">+(K98*10+L98*20)*12*0.85</f>
        <v>267403.2</v>
      </c>
      <c r="Z98" s="3" t="n">
        <f aca="false" ca="false" dt2D="false" dtr="false" t="normal">+(K98*10+L98*20)*12*30-1866218.37</f>
        <v>7571541.63</v>
      </c>
      <c r="AB98" s="23" t="n">
        <f aca="false" ca="true" dt2D="false" dtr="false" t="normal">SUBTOTAL(9, AC98:AQ98)</f>
        <v>9789695.05</v>
      </c>
      <c r="AC98" s="17" t="n">
        <v>2770302.43</v>
      </c>
      <c r="AD98" s="17" t="n"/>
      <c r="AE98" s="195" t="n"/>
      <c r="AF98" s="17" t="n"/>
      <c r="AG98" s="17" t="n"/>
      <c r="AH98" s="17" t="n"/>
      <c r="AI98" s="17" t="n"/>
      <c r="AJ98" s="17" t="n">
        <v>0</v>
      </c>
      <c r="AK98" s="17" t="n">
        <v>6779379.82</v>
      </c>
      <c r="AL98" s="17" t="n">
        <v>0</v>
      </c>
      <c r="AM98" s="17" t="n">
        <v>0</v>
      </c>
      <c r="AN98" s="17" t="n">
        <v>0</v>
      </c>
      <c r="AO98" s="17" t="n">
        <v>216012.8</v>
      </c>
      <c r="AP98" s="18" t="n">
        <v>24000</v>
      </c>
      <c r="AQ98" s="24" t="n"/>
      <c r="AR98" s="3" t="n">
        <f aca="false" ca="false" dt2D="false" dtr="false" t="normal">N98-AB98</f>
        <v>0</v>
      </c>
    </row>
    <row outlineLevel="0" r="99">
      <c r="A99" s="154" t="n">
        <f aca="false" ca="false" dt2D="false" dtr="false" t="normal">+A98+1</f>
        <v>82</v>
      </c>
      <c r="B99" s="138" t="n">
        <f aca="false" ca="false" dt2D="false" dtr="false" t="normal">+B98+1</f>
        <v>82</v>
      </c>
      <c r="C99" s="138" t="s">
        <v>177</v>
      </c>
      <c r="D99" s="138" t="s">
        <v>267</v>
      </c>
      <c r="E99" s="139" t="n">
        <v>1964</v>
      </c>
      <c r="F99" s="139" t="n">
        <v>2013</v>
      </c>
      <c r="G99" s="139" t="s">
        <v>4</v>
      </c>
      <c r="H99" s="139" t="n">
        <v>4</v>
      </c>
      <c r="I99" s="139" t="n">
        <v>2</v>
      </c>
      <c r="J99" s="17" t="n">
        <v>1305.4</v>
      </c>
      <c r="K99" s="17" t="n">
        <v>1212.2</v>
      </c>
      <c r="L99" s="17" t="n">
        <v>0</v>
      </c>
      <c r="M99" s="140" t="n">
        <v>58</v>
      </c>
      <c r="N99" s="16" t="n">
        <f aca="false" ca="false" dt2D="false" dtr="false" t="normal">SUM(P99:T99)</f>
        <v>5315487.65</v>
      </c>
      <c r="O99" s="17" t="n"/>
      <c r="P99" s="18" t="n">
        <v>474969.94</v>
      </c>
      <c r="Q99" s="18" t="n"/>
      <c r="R99" s="18" t="n">
        <v>552763.5</v>
      </c>
      <c r="S99" s="18" t="n">
        <v>4287754.21</v>
      </c>
      <c r="T99" s="17" t="n"/>
      <c r="U99" s="18" t="n">
        <v>4437.72322024592</v>
      </c>
      <c r="V99" s="18" t="n">
        <v>4437.72322024592</v>
      </c>
      <c r="W99" s="21" t="n">
        <v>2022</v>
      </c>
      <c r="X99" s="1" t="n">
        <f aca="false" ca="false" dt2D="false" dtr="false" t="normal">572097.59-28183.24</f>
        <v>543914.35</v>
      </c>
      <c r="Y99" s="3" t="n">
        <f aca="false" ca="false" dt2D="false" dtr="false" t="normal">+(K99*10+L99*20)*12*0.85</f>
        <v>123644.4</v>
      </c>
      <c r="Z99" s="3" t="n">
        <f aca="false" ca="false" dt2D="false" dtr="false" t="normal">+(K99*10+L99*20)*12*30-225791.95</f>
        <v>4138128.05</v>
      </c>
      <c r="AB99" s="23" t="n">
        <f aca="false" ca="true" dt2D="false" dtr="false" t="normal">SUBTOTAL(9, AC99:AQ99)</f>
        <v>5315487.649999999</v>
      </c>
      <c r="AC99" s="17" t="n">
        <v>1643046.08</v>
      </c>
      <c r="AD99" s="17" t="n"/>
      <c r="AE99" s="195" t="n"/>
      <c r="AF99" s="17" t="n"/>
      <c r="AG99" s="17" t="n"/>
      <c r="AH99" s="17" t="n"/>
      <c r="AI99" s="17" t="n"/>
      <c r="AJ99" s="17" t="n">
        <v>0</v>
      </c>
      <c r="AK99" s="17" t="n">
        <v>3461614.25</v>
      </c>
      <c r="AL99" s="17" t="n">
        <v>0</v>
      </c>
      <c r="AM99" s="17" t="n">
        <v>0</v>
      </c>
      <c r="AN99" s="17" t="n">
        <v>0</v>
      </c>
      <c r="AO99" s="17" t="n">
        <v>156962.18</v>
      </c>
      <c r="AP99" s="18" t="n">
        <v>24000</v>
      </c>
      <c r="AQ99" s="156" t="n">
        <f aca="false" ca="false" dt2D="false" dtr="false" t="normal">29865.14</f>
        <v>29865.14</v>
      </c>
      <c r="AR99" s="3" t="n">
        <f aca="false" ca="false" dt2D="false" dtr="false" t="normal">N99-AB99</f>
        <v>0</v>
      </c>
    </row>
    <row outlineLevel="0" r="100">
      <c r="A100" s="154" t="n">
        <f aca="false" ca="false" dt2D="false" dtr="false" t="normal">+A99+1</f>
        <v>83</v>
      </c>
      <c r="B100" s="138" t="n">
        <f aca="false" ca="false" dt2D="false" dtr="false" t="normal">+B99+1</f>
        <v>83</v>
      </c>
      <c r="C100" s="138" t="s">
        <v>177</v>
      </c>
      <c r="D100" s="138" t="s">
        <v>268</v>
      </c>
      <c r="E100" s="139" t="n">
        <v>1964</v>
      </c>
      <c r="F100" s="139" t="n">
        <v>2013</v>
      </c>
      <c r="G100" s="139" t="s">
        <v>4</v>
      </c>
      <c r="H100" s="139" t="n">
        <v>4</v>
      </c>
      <c r="I100" s="139" t="n">
        <v>2</v>
      </c>
      <c r="J100" s="17" t="n">
        <v>1348</v>
      </c>
      <c r="K100" s="17" t="n">
        <v>1248.9</v>
      </c>
      <c r="L100" s="17" t="n">
        <v>0</v>
      </c>
      <c r="M100" s="140" t="n">
        <v>74</v>
      </c>
      <c r="N100" s="16" t="n">
        <f aca="false" ca="false" dt2D="false" dtr="false" t="normal">SUM(P100:T100)</f>
        <v>3123256.04</v>
      </c>
      <c r="O100" s="17" t="n"/>
      <c r="P100" s="18" t="n"/>
      <c r="Q100" s="18" t="n"/>
      <c r="R100" s="18" t="n">
        <v>228782.46</v>
      </c>
      <c r="S100" s="18" t="n">
        <v>2894473.58</v>
      </c>
      <c r="T100" s="17" t="n"/>
      <c r="U100" s="18" t="n">
        <v>2646.4424873643</v>
      </c>
      <c r="V100" s="18" t="n">
        <v>2646.4424873643</v>
      </c>
      <c r="W100" s="21" t="n">
        <v>2022</v>
      </c>
      <c r="X100" s="1" t="n">
        <v>546149.31</v>
      </c>
      <c r="Y100" s="3" t="n">
        <f aca="false" ca="false" dt2D="false" dtr="false" t="normal">+(K100*10+L100*20)*12*0.85</f>
        <v>127387.8</v>
      </c>
      <c r="Z100" s="3" t="n">
        <f aca="false" ca="false" dt2D="false" dtr="false" t="normal">+(K100*10+L100*20)*12*30</f>
        <v>4496040</v>
      </c>
      <c r="AB100" s="23" t="n">
        <f aca="false" ca="true" dt2D="false" dtr="false" t="normal">SUBTOTAL(9, AC100:AQ100)</f>
        <v>3123256.04</v>
      </c>
      <c r="AC100" s="17" t="n"/>
      <c r="AD100" s="17" t="n"/>
      <c r="AE100" s="195" t="n">
        <v>417598.24</v>
      </c>
      <c r="AF100" s="17" t="n"/>
      <c r="AG100" s="17" t="n"/>
      <c r="AH100" s="17" t="n"/>
      <c r="AI100" s="17" t="n"/>
      <c r="AJ100" s="17" t="n">
        <v>0</v>
      </c>
      <c r="AK100" s="17" t="n">
        <v>2705657.8</v>
      </c>
      <c r="AL100" s="17" t="n">
        <v>0</v>
      </c>
      <c r="AM100" s="17" t="n">
        <v>0</v>
      </c>
      <c r="AN100" s="17" t="n">
        <v>0</v>
      </c>
      <c r="AO100" s="17" t="n"/>
      <c r="AP100" s="18" t="n"/>
      <c r="AQ100" s="24" t="n"/>
      <c r="AR100" s="3" t="n">
        <f aca="false" ca="false" dt2D="false" dtr="false" t="normal">N100-AB100</f>
        <v>0</v>
      </c>
    </row>
    <row outlineLevel="0" r="101">
      <c r="A101" s="154" t="n">
        <f aca="false" ca="false" dt2D="false" dtr="false" t="normal">+A100+1</f>
        <v>84</v>
      </c>
      <c r="B101" s="138" t="n">
        <f aca="false" ca="false" dt2D="false" dtr="false" t="normal">+B100+1</f>
        <v>84</v>
      </c>
      <c r="C101" s="138" t="s">
        <v>177</v>
      </c>
      <c r="D101" s="138" t="s">
        <v>270</v>
      </c>
      <c r="E101" s="139" t="n">
        <v>1979</v>
      </c>
      <c r="F101" s="139" t="n">
        <v>2013</v>
      </c>
      <c r="G101" s="139" t="s">
        <v>4</v>
      </c>
      <c r="H101" s="139" t="n">
        <v>4</v>
      </c>
      <c r="I101" s="139" t="n">
        <v>4</v>
      </c>
      <c r="J101" s="17" t="n">
        <v>3976.8</v>
      </c>
      <c r="K101" s="17" t="n">
        <v>3445</v>
      </c>
      <c r="L101" s="17" t="n">
        <v>0</v>
      </c>
      <c r="M101" s="140" t="n">
        <v>147</v>
      </c>
      <c r="N101" s="16" t="n">
        <f aca="false" ca="false" dt2D="false" dtr="false" t="normal">SUM(P101:T101)</f>
        <v>11055411.04</v>
      </c>
      <c r="O101" s="17" t="n"/>
      <c r="P101" s="18" t="n"/>
      <c r="Q101" s="18" t="n"/>
      <c r="R101" s="18" t="n">
        <v>1880810.18</v>
      </c>
      <c r="S101" s="18" t="n">
        <v>9174600.86</v>
      </c>
      <c r="T101" s="17" t="n"/>
      <c r="U101" s="18" t="n">
        <v>3261.87863357678</v>
      </c>
      <c r="V101" s="18" t="n">
        <v>3261.87863357678</v>
      </c>
      <c r="W101" s="21" t="n">
        <v>2022</v>
      </c>
      <c r="X101" s="1" t="n">
        <v>1631711.2</v>
      </c>
      <c r="Y101" s="3" t="n">
        <f aca="false" ca="false" dt2D="false" dtr="false" t="normal">+(K101*10+L101*20)*12*0.85</f>
        <v>351390</v>
      </c>
      <c r="Z101" s="3" t="n">
        <f aca="false" ca="false" dt2D="false" dtr="false" t="normal">+(K101*10+L101*20)*12*30</f>
        <v>12402000</v>
      </c>
      <c r="AB101" s="23" t="n">
        <f aca="false" ca="true" dt2D="false" dtr="false" t="normal">SUBTOTAL(9, AC101:AQ101)</f>
        <v>11055411.040000003</v>
      </c>
      <c r="AC101" s="17" t="n">
        <v>6273586.15</v>
      </c>
      <c r="AD101" s="17" t="n"/>
      <c r="AE101" s="195" t="n">
        <v>1824432.9</v>
      </c>
      <c r="AF101" s="17" t="n">
        <v>2750949.97</v>
      </c>
      <c r="AG101" s="17" t="n"/>
      <c r="AH101" s="17" t="n"/>
      <c r="AI101" s="17" t="n"/>
      <c r="AJ101" s="17" t="n">
        <v>0</v>
      </c>
      <c r="AK101" s="17" t="n">
        <v>0</v>
      </c>
      <c r="AL101" s="17" t="n">
        <v>0</v>
      </c>
      <c r="AM101" s="17" t="n">
        <v>0</v>
      </c>
      <c r="AN101" s="17" t="n">
        <v>0</v>
      </c>
      <c r="AO101" s="17" t="n">
        <v>75835.89</v>
      </c>
      <c r="AP101" s="18" t="n">
        <v>18000</v>
      </c>
      <c r="AQ101" s="156" t="n">
        <f aca="false" ca="false" dt2D="false" dtr="false" t="normal">112606.13</f>
        <v>112606.13</v>
      </c>
      <c r="AR101" s="3" t="n">
        <f aca="false" ca="false" dt2D="false" dtr="false" t="normal">N101-AB101</f>
        <v>0</v>
      </c>
    </row>
    <row outlineLevel="0" r="102">
      <c r="A102" s="154" t="n">
        <f aca="false" ca="false" dt2D="false" dtr="false" t="normal">+A101+1</f>
        <v>85</v>
      </c>
      <c r="B102" s="138" t="n">
        <f aca="false" ca="false" dt2D="false" dtr="false" t="normal">+B101+1</f>
        <v>85</v>
      </c>
      <c r="C102" s="138" t="s">
        <v>177</v>
      </c>
      <c r="D102" s="138" t="s">
        <v>272</v>
      </c>
      <c r="E102" s="139" t="n">
        <v>1979</v>
      </c>
      <c r="F102" s="139" t="n">
        <v>2013</v>
      </c>
      <c r="G102" s="139" t="s">
        <v>4</v>
      </c>
      <c r="H102" s="139" t="n">
        <v>4</v>
      </c>
      <c r="I102" s="139" t="n">
        <v>4</v>
      </c>
      <c r="J102" s="17" t="n">
        <v>3917.8</v>
      </c>
      <c r="K102" s="17" t="n">
        <v>3440.2</v>
      </c>
      <c r="L102" s="17" t="n">
        <v>0</v>
      </c>
      <c r="M102" s="140" t="n">
        <v>140</v>
      </c>
      <c r="N102" s="16" t="n">
        <f aca="false" ca="false" dt2D="false" dtr="false" t="normal">SUM(P102:T102)</f>
        <v>11026170.239999998</v>
      </c>
      <c r="O102" s="17" t="n"/>
      <c r="P102" s="18" t="n"/>
      <c r="Q102" s="18" t="n"/>
      <c r="R102" s="18" t="n">
        <v>1936128.04</v>
      </c>
      <c r="S102" s="18" t="n">
        <v>9090042.2</v>
      </c>
      <c r="T102" s="17" t="n"/>
      <c r="U102" s="18" t="n">
        <v>3254.41713738736</v>
      </c>
      <c r="V102" s="18" t="n">
        <v>3254.41713738736</v>
      </c>
      <c r="W102" s="21" t="n">
        <v>2022</v>
      </c>
      <c r="X102" s="1" t="n">
        <v>1687407.14</v>
      </c>
      <c r="Y102" s="3" t="n">
        <f aca="false" ca="false" dt2D="false" dtr="false" t="normal">+(K102*10+L102*20)*12*0.85</f>
        <v>350900.39999999997</v>
      </c>
      <c r="Z102" s="3" t="n">
        <f aca="false" ca="false" dt2D="false" dtr="false" t="normal">+(K102*10+L102*20)*12*30</f>
        <v>12384720</v>
      </c>
      <c r="AB102" s="23" t="n">
        <f aca="false" ca="true" dt2D="false" dtr="false" t="normal">SUBTOTAL(9, AC102:AQ102)</f>
        <v>11026170.239999998</v>
      </c>
      <c r="AC102" s="17" t="n">
        <v>6230360.19</v>
      </c>
      <c r="AD102" s="17" t="n"/>
      <c r="AE102" s="195" t="n">
        <v>1824432.9</v>
      </c>
      <c r="AF102" s="17" t="n">
        <v>2756248.99</v>
      </c>
      <c r="AG102" s="17" t="n"/>
      <c r="AH102" s="17" t="n"/>
      <c r="AI102" s="17" t="n"/>
      <c r="AJ102" s="17" t="n">
        <v>0</v>
      </c>
      <c r="AK102" s="17" t="n">
        <v>0</v>
      </c>
      <c r="AL102" s="17" t="n">
        <v>0</v>
      </c>
      <c r="AM102" s="17" t="n">
        <v>0</v>
      </c>
      <c r="AN102" s="17" t="n">
        <v>0</v>
      </c>
      <c r="AO102" s="17" t="n">
        <v>75653.79</v>
      </c>
      <c r="AP102" s="18" t="n">
        <v>18000</v>
      </c>
      <c r="AQ102" s="156" t="n">
        <f aca="false" ca="false" dt2D="false" dtr="false" t="normal">121474.37</f>
        <v>121474.37</v>
      </c>
      <c r="AR102" s="3" t="n">
        <f aca="false" ca="false" dt2D="false" dtr="false" t="normal">N102-AB102</f>
        <v>0</v>
      </c>
    </row>
    <row outlineLevel="0" r="103">
      <c r="A103" s="154" t="n">
        <f aca="false" ca="false" dt2D="false" dtr="false" t="normal">+A102+1</f>
        <v>86</v>
      </c>
      <c r="B103" s="138" t="n">
        <f aca="false" ca="false" dt2D="false" dtr="false" t="normal">+B102+1</f>
        <v>86</v>
      </c>
      <c r="C103" s="138" t="s">
        <v>177</v>
      </c>
      <c r="D103" s="138" t="s">
        <v>274</v>
      </c>
      <c r="E103" s="139" t="n">
        <v>1979</v>
      </c>
      <c r="F103" s="139" t="n">
        <v>2013</v>
      </c>
      <c r="G103" s="139" t="s">
        <v>4</v>
      </c>
      <c r="H103" s="139" t="n">
        <v>4</v>
      </c>
      <c r="I103" s="139" t="n">
        <v>4</v>
      </c>
      <c r="J103" s="17" t="n">
        <v>3969.95</v>
      </c>
      <c r="K103" s="17" t="n">
        <v>3453.7</v>
      </c>
      <c r="L103" s="17" t="n">
        <v>0</v>
      </c>
      <c r="M103" s="140" t="n">
        <v>154</v>
      </c>
      <c r="N103" s="16" t="n">
        <f aca="false" ca="false" dt2D="false" dtr="false" t="normal">SUM(P103:T103)</f>
        <v>9221762.19</v>
      </c>
      <c r="O103" s="17" t="n"/>
      <c r="P103" s="18" t="n"/>
      <c r="Q103" s="18" t="n"/>
      <c r="R103" s="18" t="n">
        <v>1705810.55</v>
      </c>
      <c r="S103" s="18" t="n">
        <v>7515951.64</v>
      </c>
      <c r="T103" s="17" t="n"/>
      <c r="U103" s="18" t="n">
        <v>2729.30044473984</v>
      </c>
      <c r="V103" s="18" t="n">
        <v>2729.30044473984</v>
      </c>
      <c r="W103" s="21" t="n">
        <v>2022</v>
      </c>
      <c r="X103" s="1" t="n">
        <v>1455712.65</v>
      </c>
      <c r="Y103" s="3" t="n">
        <f aca="false" ca="false" dt2D="false" dtr="false" t="normal">+(K103*10+L103*20)*12*0.85</f>
        <v>352277.39999999997</v>
      </c>
      <c r="Z103" s="3" t="n">
        <f aca="false" ca="false" dt2D="false" dtr="false" t="normal">+(K103*10+L103*20)*12*30</f>
        <v>12433320</v>
      </c>
      <c r="AB103" s="23" t="n">
        <f aca="false" ca="true" dt2D="false" dtr="false" t="normal">SUBTOTAL(9, AC103:AQ103)</f>
        <v>9221762.190000001</v>
      </c>
      <c r="AC103" s="17" t="n">
        <v>6321167.09</v>
      </c>
      <c r="AD103" s="17" t="n"/>
      <c r="AE103" s="195" t="n"/>
      <c r="AF103" s="17" t="n">
        <v>2717347.73</v>
      </c>
      <c r="AG103" s="17" t="n"/>
      <c r="AH103" s="17" t="n"/>
      <c r="AI103" s="17" t="n"/>
      <c r="AJ103" s="17" t="n">
        <v>0</v>
      </c>
      <c r="AK103" s="17" t="n">
        <v>0</v>
      </c>
      <c r="AL103" s="17" t="n">
        <v>0</v>
      </c>
      <c r="AM103" s="17" t="n">
        <v>0</v>
      </c>
      <c r="AN103" s="17" t="n">
        <v>0</v>
      </c>
      <c r="AO103" s="17" t="n">
        <v>75730.05</v>
      </c>
      <c r="AP103" s="18" t="n">
        <v>18000</v>
      </c>
      <c r="AQ103" s="156" t="n">
        <f aca="false" ca="false" dt2D="false" dtr="false" t="normal">108774.59-19257.27</f>
        <v>89517.31999999999</v>
      </c>
      <c r="AR103" s="3" t="n">
        <f aca="false" ca="false" dt2D="false" dtr="false" t="normal">N103-AB103</f>
        <v>0</v>
      </c>
    </row>
    <row outlineLevel="0" r="104">
      <c r="A104" s="154" t="n">
        <f aca="false" ca="false" dt2D="false" dtr="false" t="normal">+A103+1</f>
        <v>87</v>
      </c>
      <c r="B104" s="138" t="n">
        <f aca="false" ca="false" dt2D="false" dtr="false" t="normal">+B103+1</f>
        <v>87</v>
      </c>
      <c r="C104" s="138" t="s">
        <v>177</v>
      </c>
      <c r="D104" s="138" t="s">
        <v>276</v>
      </c>
      <c r="E104" s="139" t="n">
        <v>1961</v>
      </c>
      <c r="F104" s="139" t="n">
        <v>2013</v>
      </c>
      <c r="G104" s="139" t="s">
        <v>4</v>
      </c>
      <c r="H104" s="139" t="n">
        <v>4</v>
      </c>
      <c r="I104" s="139" t="n">
        <v>3</v>
      </c>
      <c r="J104" s="17" t="n">
        <v>3049.5</v>
      </c>
      <c r="K104" s="17" t="n">
        <v>2277.6</v>
      </c>
      <c r="L104" s="17" t="n">
        <v>771.9</v>
      </c>
      <c r="M104" s="140" t="n">
        <v>94</v>
      </c>
      <c r="N104" s="16" t="n">
        <f aca="false" ca="false" dt2D="false" dtr="false" t="normal">SUM(P104:T104)</f>
        <v>1026615.76</v>
      </c>
      <c r="O104" s="17" t="n"/>
      <c r="P104" s="18" t="n"/>
      <c r="Q104" s="18" t="n"/>
      <c r="R104" s="18" t="n">
        <v>105566.35</v>
      </c>
      <c r="S104" s="18" t="n">
        <v>921049.41</v>
      </c>
      <c r="T104" s="17" t="n"/>
      <c r="U104" s="18" t="n">
        <v>361.554433637016</v>
      </c>
      <c r="V104" s="18" t="n">
        <v>361.554433637016</v>
      </c>
      <c r="W104" s="21" t="n">
        <v>2022</v>
      </c>
      <c r="X104" s="1" t="n">
        <v>1647685.87</v>
      </c>
      <c r="Y104" s="3" t="n">
        <f aca="false" ca="false" dt2D="false" dtr="false" t="normal">+(K104*10+L104*20)*12*0.85</f>
        <v>389782.8</v>
      </c>
      <c r="Z104" s="3" t="n">
        <f aca="false" ca="false" dt2D="false" dtr="false" t="normal">+(K104*10+L104*20)*12*30-1902349.22</f>
        <v>11854690.78</v>
      </c>
      <c r="AB104" s="23" t="n">
        <f aca="false" ca="true" dt2D="false" dtr="false" t="normal">SUBTOTAL(9, AC104:AQ104)</f>
        <v>1026615.7599999999</v>
      </c>
      <c r="AC104" s="17" t="n"/>
      <c r="AE104" s="195" t="n">
        <v>642270.27</v>
      </c>
      <c r="AF104" s="17" t="n"/>
      <c r="AG104" s="17" t="n"/>
      <c r="AH104" s="17" t="n"/>
      <c r="AI104" s="17" t="n"/>
      <c r="AJ104" s="17" t="n">
        <v>0</v>
      </c>
      <c r="AK104" s="17" t="n">
        <v>0</v>
      </c>
      <c r="AL104" s="17" t="n">
        <v>0</v>
      </c>
      <c r="AM104" s="17" t="n">
        <v>0</v>
      </c>
      <c r="AN104" s="17" t="n">
        <v>0</v>
      </c>
      <c r="AO104" s="17" t="n">
        <v>352588.91</v>
      </c>
      <c r="AP104" s="18" t="n">
        <v>24000</v>
      </c>
      <c r="AQ104" s="156" t="n">
        <v>7756.58</v>
      </c>
      <c r="AR104" s="3" t="n">
        <f aca="false" ca="false" dt2D="false" dtr="false" t="normal">N104-AB104</f>
        <v>0</v>
      </c>
    </row>
    <row outlineLevel="0" r="105">
      <c r="A105" s="154" t="n">
        <f aca="false" ca="false" dt2D="false" dtr="false" t="normal">+A104+1</f>
        <v>88</v>
      </c>
      <c r="B105" s="138" t="n">
        <f aca="false" ca="false" dt2D="false" dtr="false" t="normal">+B104+1</f>
        <v>88</v>
      </c>
      <c r="C105" s="138" t="s">
        <v>177</v>
      </c>
      <c r="D105" s="138" t="s">
        <v>277</v>
      </c>
      <c r="E105" s="139" t="n">
        <v>1963</v>
      </c>
      <c r="F105" s="139" t="n">
        <v>2005</v>
      </c>
      <c r="G105" s="139" t="s">
        <v>4</v>
      </c>
      <c r="H105" s="139" t="n">
        <v>4</v>
      </c>
      <c r="I105" s="139" t="n">
        <v>2</v>
      </c>
      <c r="J105" s="17" t="n">
        <v>1240.4</v>
      </c>
      <c r="K105" s="17" t="n">
        <v>1075.8</v>
      </c>
      <c r="L105" s="17" t="n">
        <v>111.9</v>
      </c>
      <c r="M105" s="140" t="n">
        <v>70</v>
      </c>
      <c r="N105" s="16" t="n">
        <f aca="false" ca="false" dt2D="false" dtr="false" t="normal">SUM(P105:T105)</f>
        <v>2150653.5872</v>
      </c>
      <c r="O105" s="17" t="n"/>
      <c r="P105" s="18" t="n"/>
      <c r="Q105" s="18" t="n"/>
      <c r="R105" s="18" t="n">
        <v>132559.2</v>
      </c>
      <c r="S105" s="18" t="n">
        <v>2018094.3872</v>
      </c>
      <c r="T105" s="17" t="n"/>
      <c r="U105" s="18" t="n">
        <v>1896.04168679289</v>
      </c>
      <c r="V105" s="18" t="n">
        <v>1896.04168679289</v>
      </c>
      <c r="W105" s="21" t="n">
        <v>2022</v>
      </c>
      <c r="X105" s="1" t="n">
        <v>669629.45</v>
      </c>
      <c r="Y105" s="3" t="n">
        <f aca="false" ca="false" dt2D="false" dtr="false" t="normal">+(K105*10+L105*20)*12*0.85</f>
        <v>132559.19999999998</v>
      </c>
      <c r="Z105" s="3" t="n">
        <f aca="false" ca="false" dt2D="false" dtr="false" t="normal">+(K105*10+L105*20)*12*30-1442997.24</f>
        <v>3235562.76</v>
      </c>
      <c r="AB105" s="23" t="n">
        <f aca="false" ca="true" dt2D="false" dtr="false" t="normal">SUBTOTAL(9, AC105:AQ105)</f>
        <v>2150653.5872</v>
      </c>
      <c r="AC105" s="17" t="n"/>
      <c r="AD105" s="17" t="n">
        <v>588065.09</v>
      </c>
      <c r="AE105" s="195" t="n"/>
      <c r="AF105" s="17" t="n">
        <v>500447.33</v>
      </c>
      <c r="AG105" s="17" t="n">
        <v>469911.83</v>
      </c>
      <c r="AH105" s="17" t="n"/>
      <c r="AI105" s="17" t="n"/>
      <c r="AJ105" s="17" t="n">
        <v>0</v>
      </c>
      <c r="AK105" s="17" t="n"/>
      <c r="AL105" s="17" t="n">
        <v>0</v>
      </c>
      <c r="AM105" s="17" t="n">
        <v>0</v>
      </c>
      <c r="AN105" s="17" t="n">
        <v>0</v>
      </c>
      <c r="AO105" s="17" t="n">
        <v>513326.799</v>
      </c>
      <c r="AP105" s="18" t="n">
        <v>73858.7182</v>
      </c>
      <c r="AQ105" s="156" t="n">
        <v>5043.82</v>
      </c>
      <c r="AR105" s="3" t="n">
        <f aca="false" ca="false" dt2D="false" dtr="false" t="normal">N105-AB105</f>
        <v>0</v>
      </c>
    </row>
    <row outlineLevel="0" r="106">
      <c r="A106" s="154" t="n">
        <f aca="false" ca="false" dt2D="false" dtr="false" t="normal">+A105+1</f>
        <v>89</v>
      </c>
      <c r="B106" s="138" t="n">
        <f aca="false" ca="false" dt2D="false" dtr="false" t="normal">+B105+1</f>
        <v>89</v>
      </c>
      <c r="C106" s="138" t="s">
        <v>177</v>
      </c>
      <c r="D106" s="138" t="s">
        <v>279</v>
      </c>
      <c r="E106" s="139" t="n">
        <v>1965</v>
      </c>
      <c r="F106" s="139" t="n">
        <v>2005</v>
      </c>
      <c r="G106" s="139" t="s">
        <v>4</v>
      </c>
      <c r="H106" s="139" t="n">
        <v>4</v>
      </c>
      <c r="I106" s="139" t="n">
        <v>4</v>
      </c>
      <c r="J106" s="17" t="n">
        <v>2661.8</v>
      </c>
      <c r="K106" s="17" t="n">
        <v>2220.4</v>
      </c>
      <c r="L106" s="17" t="n">
        <v>229.71</v>
      </c>
      <c r="M106" s="140" t="n">
        <v>111</v>
      </c>
      <c r="N106" s="16" t="n">
        <f aca="false" ca="false" dt2D="false" dtr="false" t="normal">SUM(P106:T106)</f>
        <v>1593951.19</v>
      </c>
      <c r="O106" s="17" t="n"/>
      <c r="P106" s="18" t="n"/>
      <c r="Q106" s="18" t="n"/>
      <c r="R106" s="18" t="n">
        <v>1593951.19</v>
      </c>
      <c r="S106" s="18" t="n"/>
      <c r="T106" s="18" t="n"/>
      <c r="U106" s="17" t="n">
        <v>660.426346425263</v>
      </c>
      <c r="V106" s="17" t="n">
        <v>660.426346425263</v>
      </c>
      <c r="W106" s="21" t="n">
        <v>2022</v>
      </c>
      <c r="X106" s="1" t="n">
        <f aca="false" ca="false" dt2D="false" dtr="false" t="normal">1243271.94-96320.77</f>
        <v>1146951.17</v>
      </c>
      <c r="Y106" s="3" t="n">
        <f aca="false" ca="false" dt2D="false" dtr="false" t="normal">+(K106*10+L106*20)*12*0.85</f>
        <v>273341.64</v>
      </c>
      <c r="Z106" s="3" t="n">
        <f aca="false" ca="false" dt2D="false" dtr="false" t="normal">+(K106*10+L106*20)*12*30</f>
        <v>9647352</v>
      </c>
      <c r="AB106" s="23" t="n">
        <f aca="false" ca="true" dt2D="false" dtr="false" t="normal">SUBTOTAL(9, AC106:AQ106)</f>
        <v>1593951.19</v>
      </c>
      <c r="AC106" s="17" t="n"/>
      <c r="AD106" s="17" t="n"/>
      <c r="AE106" s="195" t="n"/>
      <c r="AF106" s="17" t="n"/>
      <c r="AG106" s="17" t="n">
        <v>1092251.81</v>
      </c>
      <c r="AH106" s="17" t="n"/>
      <c r="AI106" s="17" t="n"/>
      <c r="AJ106" s="17" t="n"/>
      <c r="AK106" s="17" t="n"/>
      <c r="AL106" s="17" t="n">
        <v>0</v>
      </c>
      <c r="AM106" s="17" t="n">
        <v>0</v>
      </c>
      <c r="AN106" s="17" t="n">
        <v>0</v>
      </c>
      <c r="AO106" s="17" t="n">
        <v>501699.38</v>
      </c>
      <c r="AP106" s="18" t="n"/>
      <c r="AQ106" s="24" t="n"/>
      <c r="AR106" s="3" t="n">
        <f aca="false" ca="false" dt2D="false" dtr="false" t="normal">N106-AB106</f>
        <v>0</v>
      </c>
    </row>
    <row outlineLevel="0" r="107">
      <c r="A107" s="154" t="n">
        <f aca="false" ca="false" dt2D="false" dtr="false" t="normal">+A106+1</f>
        <v>90</v>
      </c>
      <c r="B107" s="138" t="n">
        <f aca="false" ca="false" dt2D="false" dtr="false" t="normal">+B106+1</f>
        <v>90</v>
      </c>
      <c r="C107" s="138" t="s">
        <v>177</v>
      </c>
      <c r="D107" s="138" t="s">
        <v>281</v>
      </c>
      <c r="E107" s="139" t="n">
        <v>1977</v>
      </c>
      <c r="F107" s="139" t="n">
        <v>2013</v>
      </c>
      <c r="G107" s="139" t="s">
        <v>4</v>
      </c>
      <c r="H107" s="139" t="n">
        <v>4</v>
      </c>
      <c r="I107" s="139" t="n">
        <v>4</v>
      </c>
      <c r="J107" s="17" t="n">
        <v>3916.4</v>
      </c>
      <c r="K107" s="17" t="n">
        <v>3440.3</v>
      </c>
      <c r="L107" s="17" t="n">
        <v>0</v>
      </c>
      <c r="M107" s="140" t="n">
        <v>163</v>
      </c>
      <c r="N107" s="16" t="n">
        <f aca="false" ca="false" dt2D="false" dtr="false" t="normal">SUM(P107:T107)</f>
        <v>20295397.65</v>
      </c>
      <c r="O107" s="17" t="n"/>
      <c r="P107" s="18" t="n"/>
      <c r="Q107" s="18" t="n"/>
      <c r="R107" s="18" t="n">
        <v>1967138.52</v>
      </c>
      <c r="S107" s="18" t="n">
        <v>12246295.3996866</v>
      </c>
      <c r="T107" s="17" t="n">
        <v>6081963.7303134</v>
      </c>
      <c r="U107" s="18" t="n">
        <v>6077.95452422365</v>
      </c>
      <c r="V107" s="18" t="n">
        <v>6077.95452422365</v>
      </c>
      <c r="W107" s="21" t="n">
        <v>2022</v>
      </c>
      <c r="X107" s="1" t="n">
        <v>1681538.39</v>
      </c>
      <c r="Y107" s="3" t="n">
        <f aca="false" ca="false" dt2D="false" dtr="false" t="normal">+(K107*10+L107*20)*12*0.85</f>
        <v>350910.6</v>
      </c>
      <c r="Z107" s="3" t="n">
        <f aca="false" ca="false" dt2D="false" dtr="false" t="normal">+(K107*10+L107*20)*12*30</f>
        <v>12385080</v>
      </c>
      <c r="AB107" s="23" t="n">
        <f aca="false" ca="true" dt2D="false" dtr="false" t="normal">SUBTOTAL(9, AC107:AQ107)</f>
        <v>20295397.65</v>
      </c>
      <c r="AC107" s="17" t="n"/>
      <c r="AD107" s="17" t="n"/>
      <c r="AE107" s="195" t="n"/>
      <c r="AF107" s="17" t="n"/>
      <c r="AG107" s="17" t="n"/>
      <c r="AH107" s="17" t="n"/>
      <c r="AI107" s="17" t="n"/>
      <c r="AJ107" s="17" t="n"/>
      <c r="AK107" s="17" t="n">
        <v>8833594.16</v>
      </c>
      <c r="AL107" s="17" t="n">
        <v>0</v>
      </c>
      <c r="AM107" s="17" t="n">
        <v>11280169.18</v>
      </c>
      <c r="AO107" s="17" t="n">
        <v>157634.31</v>
      </c>
      <c r="AP107" s="18" t="n">
        <v>24000</v>
      </c>
      <c r="AQ107" s="24" t="n"/>
      <c r="AR107" s="3" t="n">
        <f aca="false" ca="false" dt2D="false" dtr="false" t="normal">N107-AB107</f>
        <v>0</v>
      </c>
    </row>
    <row outlineLevel="0" r="108">
      <c r="A108" s="154" t="n">
        <f aca="false" ca="false" dt2D="false" dtr="false" t="normal">+A107+1</f>
        <v>91</v>
      </c>
      <c r="B108" s="138" t="n">
        <f aca="false" ca="false" dt2D="false" dtr="false" t="normal">+B107+1</f>
        <v>91</v>
      </c>
      <c r="C108" s="138" t="s">
        <v>177</v>
      </c>
      <c r="D108" s="138" t="s">
        <v>283</v>
      </c>
      <c r="E108" s="139" t="n">
        <v>1992</v>
      </c>
      <c r="F108" s="139" t="n">
        <v>2013</v>
      </c>
      <c r="G108" s="139" t="s">
        <v>4</v>
      </c>
      <c r="H108" s="139" t="n">
        <v>5</v>
      </c>
      <c r="I108" s="139" t="n">
        <v>4</v>
      </c>
      <c r="J108" s="17" t="n">
        <v>5274.7</v>
      </c>
      <c r="K108" s="17" t="n">
        <v>4397.95</v>
      </c>
      <c r="L108" s="17" t="n">
        <v>82.7</v>
      </c>
      <c r="M108" s="140" t="n">
        <v>351</v>
      </c>
      <c r="N108" s="16" t="n">
        <f aca="false" ca="false" dt2D="false" dtr="false" t="normal">SUM(P108:T108)</f>
        <v>26145732.75</v>
      </c>
      <c r="O108" s="17" t="n"/>
      <c r="P108" s="18" t="n">
        <v>2576094.22</v>
      </c>
      <c r="Q108" s="18" t="n"/>
      <c r="R108" s="18" t="n">
        <v>2358216.97</v>
      </c>
      <c r="S108" s="18" t="n">
        <v>13394024.1628471</v>
      </c>
      <c r="T108" s="17" t="n">
        <v>7817397.3971529</v>
      </c>
      <c r="U108" s="18" t="n">
        <v>6185.31075242366</v>
      </c>
      <c r="V108" s="18" t="n">
        <v>6185.31075242366</v>
      </c>
      <c r="W108" s="21" t="n">
        <v>2022</v>
      </c>
      <c r="X108" s="1" t="n">
        <v>1987606.27</v>
      </c>
      <c r="Y108" s="3" t="n">
        <f aca="false" ca="false" dt2D="false" dtr="false" t="normal">+(K108*10+L108*20)*12*0.85</f>
        <v>465461.7</v>
      </c>
      <c r="Z108" s="3" t="n">
        <f aca="false" ca="false" dt2D="false" dtr="false" t="normal">+(K108*10+L108*20)*12*30</f>
        <v>16428060</v>
      </c>
      <c r="AB108" s="23" t="n">
        <f aca="false" ca="true" dt2D="false" dtr="false" t="normal">SUBTOTAL(9, AC108:AQ108)</f>
        <v>26145732.75</v>
      </c>
      <c r="AC108" s="17" t="n"/>
      <c r="AE108" s="195" t="n">
        <v>3146864.52</v>
      </c>
      <c r="AF108" s="17" t="n">
        <v>2896787.04</v>
      </c>
      <c r="AG108" s="17" t="n">
        <v>0</v>
      </c>
      <c r="AH108" s="17" t="n"/>
      <c r="AI108" s="17" t="n"/>
      <c r="AJ108" s="17" t="n">
        <v>0</v>
      </c>
      <c r="AK108" s="17" t="n">
        <v>9859124.1</v>
      </c>
      <c r="AL108" s="17" t="n">
        <v>0</v>
      </c>
      <c r="AM108" s="17" t="n">
        <v>6508599.59</v>
      </c>
      <c r="AN108" s="17" t="n">
        <v>3276300</v>
      </c>
      <c r="AO108" s="17" t="n">
        <v>434057.5</v>
      </c>
      <c r="AP108" s="18" t="n">
        <v>24000</v>
      </c>
      <c r="AQ108" s="24" t="n"/>
      <c r="AR108" s="3" t="n">
        <f aca="false" ca="false" dt2D="false" dtr="false" t="normal">N108-AB108</f>
        <v>0</v>
      </c>
    </row>
    <row outlineLevel="0" r="109">
      <c r="A109" s="154" t="n">
        <f aca="false" ca="false" dt2D="false" dtr="false" t="normal">+A108+1</f>
        <v>92</v>
      </c>
      <c r="B109" s="138" t="n">
        <f aca="false" ca="false" dt2D="false" dtr="false" t="normal">+B108+1</f>
        <v>92</v>
      </c>
      <c r="C109" s="138" t="s">
        <v>177</v>
      </c>
      <c r="D109" s="138" t="s">
        <v>285</v>
      </c>
      <c r="E109" s="139" t="n">
        <v>1987</v>
      </c>
      <c r="F109" s="139" t="n">
        <v>1987</v>
      </c>
      <c r="G109" s="139" t="s">
        <v>4</v>
      </c>
      <c r="H109" s="139" t="n">
        <v>5</v>
      </c>
      <c r="I109" s="139" t="n">
        <v>3</v>
      </c>
      <c r="J109" s="17" t="n">
        <v>5170.7</v>
      </c>
      <c r="K109" s="17" t="n">
        <v>2871.7</v>
      </c>
      <c r="L109" s="17" t="n">
        <v>2299</v>
      </c>
      <c r="M109" s="140" t="n">
        <v>334</v>
      </c>
      <c r="N109" s="16" t="n">
        <f aca="false" ca="false" dt2D="false" dtr="false" t="normal">SUM(P109:T109)</f>
        <v>13931248.442200001</v>
      </c>
      <c r="O109" s="17" t="n"/>
      <c r="P109" s="18" t="n">
        <v>3490403.93</v>
      </c>
      <c r="Q109" s="18" t="n"/>
      <c r="R109" s="18" t="n">
        <v>2203254.02</v>
      </c>
      <c r="S109" s="18" t="n">
        <v>8237590.4922</v>
      </c>
      <c r="T109" s="17" t="n"/>
      <c r="U109" s="18" t="n">
        <v>2825.76786646081</v>
      </c>
      <c r="V109" s="18" t="n">
        <v>2825.76786646081</v>
      </c>
      <c r="W109" s="21" t="n">
        <v>2022</v>
      </c>
      <c r="X109" s="1" t="n">
        <v>2578731.31</v>
      </c>
      <c r="Y109" s="3" t="n">
        <f aca="false" ca="false" dt2D="false" dtr="false" t="normal">+(K109*10+L109*20)*12*0.85</f>
        <v>761909.4</v>
      </c>
      <c r="Z109" s="3" t="n">
        <f aca="false" ca="false" dt2D="false" dtr="false" t="normal">+(K109*10+L109*20)*12*30</f>
        <v>26890920</v>
      </c>
      <c r="AB109" s="23" t="n">
        <f aca="false" ca="true" dt2D="false" dtr="false" t="normal">SUBTOTAL(9, AC109:AQ109)</f>
        <v>13931248.4422</v>
      </c>
      <c r="AC109" s="17" t="n"/>
      <c r="AE109" s="195" t="n">
        <v>2731732.82</v>
      </c>
      <c r="AG109" s="17" t="n">
        <v>0</v>
      </c>
      <c r="AH109" s="17" t="n"/>
      <c r="AI109" s="17" t="n"/>
      <c r="AJ109" s="17" t="n">
        <v>0</v>
      </c>
      <c r="AK109" s="17" t="n">
        <v>9356498.15</v>
      </c>
      <c r="AL109" s="17" t="n">
        <v>0</v>
      </c>
      <c r="AM109" s="17" t="n"/>
      <c r="AN109" s="17" t="n">
        <v>1381241.93</v>
      </c>
      <c r="AO109" s="17" t="n">
        <v>311041.2811</v>
      </c>
      <c r="AP109" s="18" t="n">
        <v>45051.6011</v>
      </c>
      <c r="AQ109" s="156" t="n">
        <f aca="false" ca="false" dt2D="false" dtr="false" t="normal">23622.51+70525+11535.15</f>
        <v>105682.65999999999</v>
      </c>
      <c r="AR109" s="3" t="n">
        <f aca="false" ca="false" dt2D="false" dtr="false" t="normal">N109-AB109</f>
        <v>0</v>
      </c>
    </row>
    <row outlineLevel="0" r="110">
      <c r="A110" s="154" t="n">
        <f aca="false" ca="false" dt2D="false" dtr="false" t="normal">+A109+1</f>
        <v>93</v>
      </c>
      <c r="B110" s="138" t="n">
        <f aca="false" ca="false" dt2D="false" dtr="false" t="normal">+B109+1</f>
        <v>93</v>
      </c>
      <c r="C110" s="138" t="s">
        <v>177</v>
      </c>
      <c r="D110" s="138" t="s">
        <v>286</v>
      </c>
      <c r="E110" s="139" t="n">
        <v>1970</v>
      </c>
      <c r="F110" s="139" t="n">
        <v>2013</v>
      </c>
      <c r="G110" s="139" t="s">
        <v>4</v>
      </c>
      <c r="H110" s="139" t="n">
        <v>4</v>
      </c>
      <c r="I110" s="139" t="n">
        <v>4</v>
      </c>
      <c r="J110" s="17" t="n">
        <v>3209.3</v>
      </c>
      <c r="K110" s="17" t="n">
        <v>2718.2</v>
      </c>
      <c r="L110" s="17" t="n">
        <v>0</v>
      </c>
      <c r="M110" s="140" t="n">
        <v>128</v>
      </c>
      <c r="N110" s="16" t="n">
        <f aca="false" ca="false" dt2D="false" dtr="false" t="normal">SUM(P110:T110)</f>
        <v>1092667.3</v>
      </c>
      <c r="O110" s="17" t="n"/>
      <c r="P110" s="18" t="n">
        <v>923688.17</v>
      </c>
      <c r="Q110" s="18" t="n"/>
      <c r="R110" s="18" t="n"/>
      <c r="S110" s="18" t="n">
        <v>168979.13</v>
      </c>
      <c r="T110" s="17" t="n">
        <v>0</v>
      </c>
      <c r="U110" s="18" t="n">
        <v>401.981936575675</v>
      </c>
      <c r="V110" s="18" t="n">
        <v>401.981936575675</v>
      </c>
      <c r="W110" s="21" t="n">
        <v>2022</v>
      </c>
      <c r="X110" s="1" t="n">
        <v>1140903.55</v>
      </c>
      <c r="Y110" s="3" t="n">
        <f aca="false" ca="false" dt2D="false" dtr="false" t="normal">+(K110*10+L110*20)*12*0.85</f>
        <v>277256.39999999997</v>
      </c>
      <c r="Z110" s="3" t="n">
        <f aca="false" ca="false" dt2D="false" dtr="false" t="normal">+(K110*10+L110*20)*12*30</f>
        <v>9785520</v>
      </c>
      <c r="AB110" s="23" t="n">
        <f aca="false" ca="true" dt2D="false" dtr="false" t="normal">SUBTOTAL(9, AC110:AQ110)</f>
        <v>1092667.3</v>
      </c>
      <c r="AC110" s="17" t="n">
        <v>0</v>
      </c>
      <c r="AD110" s="17" t="n">
        <v>0</v>
      </c>
      <c r="AE110" s="195" t="n">
        <v>0</v>
      </c>
      <c r="AF110" s="17" t="n">
        <v>0</v>
      </c>
      <c r="AG110" s="17" t="n">
        <v>1092667.3</v>
      </c>
      <c r="AH110" s="17" t="n"/>
      <c r="AI110" s="17" t="n"/>
      <c r="AJ110" s="17" t="n">
        <v>0</v>
      </c>
      <c r="AK110" s="17" t="n">
        <v>0</v>
      </c>
      <c r="AL110" s="17" t="n">
        <v>0</v>
      </c>
      <c r="AM110" s="17" t="n"/>
      <c r="AN110" s="17" t="n">
        <v>0</v>
      </c>
      <c r="AO110" s="17" t="n"/>
      <c r="AP110" s="18" t="n"/>
      <c r="AQ110" s="191" t="n"/>
      <c r="AR110" s="3" t="n">
        <f aca="false" ca="false" dt2D="false" dtr="false" t="normal">N110-AB110</f>
        <v>0</v>
      </c>
    </row>
    <row outlineLevel="0" r="111">
      <c r="A111" s="154" t="n">
        <f aca="false" ca="false" dt2D="false" dtr="false" t="normal">+A110+1</f>
        <v>94</v>
      </c>
      <c r="B111" s="138" t="n">
        <f aca="false" ca="false" dt2D="false" dtr="false" t="normal">+B110+1</f>
        <v>94</v>
      </c>
      <c r="C111" s="138" t="s">
        <v>177</v>
      </c>
      <c r="D111" s="138" t="s">
        <v>288</v>
      </c>
      <c r="E111" s="139" t="n">
        <v>1973</v>
      </c>
      <c r="F111" s="139" t="n">
        <v>2013</v>
      </c>
      <c r="G111" s="139" t="s">
        <v>4</v>
      </c>
      <c r="H111" s="139" t="n">
        <v>4</v>
      </c>
      <c r="I111" s="139" t="n">
        <v>4</v>
      </c>
      <c r="J111" s="17" t="n">
        <v>4678.76</v>
      </c>
      <c r="K111" s="17" t="n">
        <v>3451.8</v>
      </c>
      <c r="L111" s="17" t="n">
        <v>0</v>
      </c>
      <c r="M111" s="140" t="n">
        <v>168</v>
      </c>
      <c r="N111" s="16" t="n">
        <f aca="false" ca="false" dt2D="false" dtr="false" t="normal">SUM(P111:T111)</f>
        <v>1966896.6600000001</v>
      </c>
      <c r="O111" s="17" t="n"/>
      <c r="P111" s="18" t="n"/>
      <c r="Q111" s="18" t="n"/>
      <c r="R111" s="18" t="n">
        <v>1874829.57</v>
      </c>
      <c r="S111" s="18" t="n">
        <v>69906.9700000002</v>
      </c>
      <c r="T111" s="18" t="n">
        <v>22160.1199999999</v>
      </c>
      <c r="U111" s="17" t="n">
        <v>563.397804044267</v>
      </c>
      <c r="V111" s="17" t="n">
        <v>563.397804044267</v>
      </c>
      <c r="W111" s="21" t="n">
        <v>2022</v>
      </c>
      <c r="X111" s="12" t="n">
        <f aca="false" ca="false" dt2D="false" dtr="false" t="normal">1522745.97</f>
        <v>1522745.97</v>
      </c>
      <c r="Y111" s="3" t="n">
        <f aca="false" ca="false" dt2D="false" dtr="false" t="normal">+(K111*10+L111*20)*12*0.85</f>
        <v>352083.6</v>
      </c>
      <c r="Z111" s="3" t="n">
        <f aca="false" ca="false" dt2D="false" dtr="false" t="normal">+(K111*10+L111*20)*12*30</f>
        <v>12426480</v>
      </c>
      <c r="AB111" s="23" t="n">
        <f aca="false" ca="true" dt2D="false" dtr="false" t="normal">SUBTOTAL(9, AC111:AQ111)</f>
        <v>1966896.6600000001</v>
      </c>
      <c r="AC111" s="17" t="n">
        <v>0</v>
      </c>
      <c r="AD111" s="17" t="n">
        <v>0</v>
      </c>
      <c r="AE111" s="195" t="n">
        <v>0</v>
      </c>
      <c r="AF111" s="17" t="n">
        <v>0</v>
      </c>
      <c r="AG111" s="17" t="n"/>
      <c r="AH111" s="17" t="n"/>
      <c r="AI111" s="17" t="n"/>
      <c r="AJ111" s="17" t="n">
        <v>0</v>
      </c>
      <c r="AK111" s="17" t="n">
        <v>0</v>
      </c>
      <c r="AL111" s="17" t="n">
        <v>0</v>
      </c>
      <c r="AM111" s="17" t="n">
        <v>0</v>
      </c>
      <c r="AN111" s="17" t="n">
        <v>1937343.33</v>
      </c>
      <c r="AO111" s="17" t="n"/>
      <c r="AP111" s="18" t="n"/>
      <c r="AQ111" s="156" t="n">
        <f aca="false" ca="false" dt2D="false" dtr="false" t="normal">29553.33</f>
        <v>29553.33</v>
      </c>
      <c r="AR111" s="3" t="n">
        <f aca="false" ca="false" dt2D="false" dtr="false" t="normal">N111-AB111</f>
        <v>0</v>
      </c>
    </row>
    <row outlineLevel="0" r="112">
      <c r="A112" s="154" t="n">
        <f aca="false" ca="false" dt2D="false" dtr="false" t="normal">+A111+1</f>
        <v>95</v>
      </c>
      <c r="B112" s="138" t="n">
        <f aca="false" ca="false" dt2D="false" dtr="false" t="normal">+B111+1</f>
        <v>95</v>
      </c>
      <c r="C112" s="138" t="s">
        <v>177</v>
      </c>
      <c r="D112" s="138" t="s">
        <v>290</v>
      </c>
      <c r="E112" s="139" t="n">
        <v>1989</v>
      </c>
      <c r="F112" s="139" t="n">
        <v>2012</v>
      </c>
      <c r="G112" s="139" t="s">
        <v>4</v>
      </c>
      <c r="H112" s="139" t="n">
        <v>9</v>
      </c>
      <c r="I112" s="139" t="n">
        <v>1</v>
      </c>
      <c r="J112" s="17" t="n">
        <v>5704.32</v>
      </c>
      <c r="K112" s="17" t="n">
        <v>3900.7</v>
      </c>
      <c r="L112" s="17" t="n">
        <v>0</v>
      </c>
      <c r="M112" s="140" t="n">
        <v>280</v>
      </c>
      <c r="N112" s="16" t="n">
        <f aca="false" ca="false" dt2D="false" dtr="false" t="normal">SUM(P112:T112)</f>
        <v>3410150.6500000004</v>
      </c>
      <c r="O112" s="17" t="n"/>
      <c r="P112" s="18" t="n"/>
      <c r="Q112" s="18" t="n"/>
      <c r="R112" s="18" t="n">
        <v>2691688.4906</v>
      </c>
      <c r="S112" s="18" t="n">
        <v>718462.1594</v>
      </c>
      <c r="T112" s="18" t="n"/>
      <c r="U112" s="17" t="n">
        <v>895.486428334914</v>
      </c>
      <c r="V112" s="17" t="n">
        <v>895.486428334914</v>
      </c>
      <c r="W112" s="21" t="n">
        <v>2022</v>
      </c>
      <c r="X112" s="1" t="n">
        <v>2162917.4</v>
      </c>
      <c r="Y112" s="3" t="n">
        <f aca="false" ca="false" dt2D="false" dtr="false" t="normal">+(K112*13.29+L112*22.52)*12*0.85</f>
        <v>528771.0905999999</v>
      </c>
      <c r="Z112" s="3" t="n">
        <f aca="false" ca="false" dt2D="false" dtr="false" t="normal">+(K112*13.29+L112*22.52)*12*30</f>
        <v>18662509.08</v>
      </c>
      <c r="AB112" s="23" t="n">
        <f aca="false" ca="true" dt2D="false" dtr="false" t="normal">SUBTOTAL(9, AC112:AQ112)</f>
        <v>3410150.65</v>
      </c>
      <c r="AC112" s="17" t="n">
        <v>0</v>
      </c>
      <c r="AD112" s="17" t="n">
        <v>0</v>
      </c>
      <c r="AE112" s="195" t="n">
        <v>0</v>
      </c>
      <c r="AF112" s="17" t="n">
        <v>0</v>
      </c>
      <c r="AG112" s="17" t="n">
        <v>0</v>
      </c>
      <c r="AH112" s="17" t="n"/>
      <c r="AI112" s="17" t="n"/>
      <c r="AJ112" s="17" t="n">
        <v>0</v>
      </c>
      <c r="AK112" s="17" t="n">
        <v>3264065.71</v>
      </c>
      <c r="AL112" s="17" t="n">
        <v>0</v>
      </c>
      <c r="AM112" s="17" t="n">
        <v>0</v>
      </c>
      <c r="AN112" s="17" t="n">
        <v>0</v>
      </c>
      <c r="AO112" s="17" t="n">
        <v>122084.94</v>
      </c>
      <c r="AP112" s="17" t="n">
        <v>24000</v>
      </c>
      <c r="AQ112" s="24" t="n"/>
      <c r="AR112" s="3" t="n">
        <f aca="false" ca="false" dt2D="false" dtr="false" t="normal">N112-AB112</f>
        <v>0</v>
      </c>
    </row>
    <row outlineLevel="0" r="113">
      <c r="A113" s="154" t="n">
        <f aca="false" ca="false" dt2D="false" dtr="false" t="normal">+A112+1</f>
        <v>96</v>
      </c>
      <c r="B113" s="138" t="n">
        <f aca="false" ca="false" dt2D="false" dtr="false" t="normal">+B112+1</f>
        <v>96</v>
      </c>
      <c r="C113" s="138" t="s">
        <v>177</v>
      </c>
      <c r="D113" s="138" t="s">
        <v>292</v>
      </c>
      <c r="E113" s="139" t="n">
        <v>1992</v>
      </c>
      <c r="F113" s="139" t="n">
        <v>2013</v>
      </c>
      <c r="G113" s="139" t="s">
        <v>4</v>
      </c>
      <c r="H113" s="139" t="n">
        <v>10</v>
      </c>
      <c r="I113" s="139" t="n">
        <v>4</v>
      </c>
      <c r="J113" s="17" t="n">
        <v>12644.49</v>
      </c>
      <c r="K113" s="17" t="n">
        <v>10557.43</v>
      </c>
      <c r="L113" s="17" t="n">
        <v>90.5</v>
      </c>
      <c r="M113" s="140" t="n">
        <v>379</v>
      </c>
      <c r="N113" s="16" t="n">
        <f aca="false" ca="false" dt2D="false" dtr="false" t="normal">SUM(P113:T113)</f>
        <v>8427335.0921</v>
      </c>
      <c r="O113" s="17" t="n"/>
      <c r="P113" s="18" t="n"/>
      <c r="Q113" s="18" t="n"/>
      <c r="R113" s="18" t="n">
        <v>6910298.3</v>
      </c>
      <c r="S113" s="18" t="n">
        <v>1517036.7921</v>
      </c>
      <c r="T113" s="17" t="n"/>
      <c r="U113" s="18" t="n">
        <v>808.578890357976</v>
      </c>
      <c r="V113" s="18" t="n">
        <v>808.578890357976</v>
      </c>
      <c r="W113" s="21" t="n">
        <v>2022</v>
      </c>
      <c r="X113" s="1" t="n">
        <v>6495346.24</v>
      </c>
      <c r="Y113" s="3" t="n">
        <f aca="false" ca="false" dt2D="false" dtr="false" t="normal">+(K113*13.29+L113*22.52)*12*0.85</f>
        <v>1451932.3079399997</v>
      </c>
      <c r="Z113" s="3" t="n">
        <f aca="false" ca="false" dt2D="false" dtr="false" t="normal">+(K113*13.29+L113*22.52)*12*30</f>
        <v>51244669.691999994</v>
      </c>
      <c r="AB113" s="23" t="n">
        <f aca="false" ca="true" dt2D="false" dtr="false" t="normal">SUBTOTAL(9, AC113:AQ113)</f>
        <v>8427335.0921</v>
      </c>
      <c r="AC113" s="17" t="n">
        <v>0</v>
      </c>
      <c r="AD113" s="17" t="n">
        <v>0</v>
      </c>
      <c r="AE113" s="195" t="n">
        <v>0</v>
      </c>
      <c r="AF113" s="17" t="n">
        <v>0</v>
      </c>
      <c r="AG113" s="17" t="n">
        <v>0</v>
      </c>
      <c r="AH113" s="17" t="n"/>
      <c r="AI113" s="17" t="n"/>
      <c r="AJ113" s="17" t="n">
        <v>0</v>
      </c>
      <c r="AK113" s="17" t="n">
        <v>7551202.7</v>
      </c>
      <c r="AL113" s="17" t="n">
        <v>0</v>
      </c>
      <c r="AM113" s="17" t="n">
        <v>0</v>
      </c>
      <c r="AN113" s="17" t="n">
        <v>0</v>
      </c>
      <c r="AO113" s="17" t="n">
        <v>852132.3921</v>
      </c>
      <c r="AP113" s="18" t="n">
        <v>24000</v>
      </c>
      <c r="AQ113" s="24" t="n"/>
      <c r="AR113" s="3" t="n">
        <f aca="false" ca="false" dt2D="false" dtr="false" t="normal">N113-AB113</f>
        <v>0</v>
      </c>
    </row>
    <row outlineLevel="0" r="114">
      <c r="A114" s="154" t="n">
        <f aca="false" ca="false" dt2D="false" dtr="false" t="normal">+A113+1</f>
        <v>97</v>
      </c>
      <c r="B114" s="138" t="n">
        <f aca="false" ca="false" dt2D="false" dtr="false" t="normal">+B113+1</f>
        <v>97</v>
      </c>
      <c r="C114" s="138" t="s">
        <v>177</v>
      </c>
      <c r="D114" s="138" t="s">
        <v>294</v>
      </c>
      <c r="E114" s="139" t="n">
        <v>1980</v>
      </c>
      <c r="F114" s="139" t="n">
        <v>2008</v>
      </c>
      <c r="G114" s="139" t="s">
        <v>4</v>
      </c>
      <c r="H114" s="139" t="n">
        <v>5</v>
      </c>
      <c r="I114" s="139" t="n">
        <v>6</v>
      </c>
      <c r="J114" s="17" t="n">
        <v>7149.4</v>
      </c>
      <c r="K114" s="17" t="n">
        <v>6325.2</v>
      </c>
      <c r="L114" s="17" t="n">
        <v>0</v>
      </c>
      <c r="M114" s="140" t="n">
        <v>293</v>
      </c>
      <c r="N114" s="16" t="n">
        <f aca="false" ca="false" dt2D="false" dtr="false" t="normal">SUM(P114:T114)</f>
        <v>17704648.1106</v>
      </c>
      <c r="O114" s="17" t="n"/>
      <c r="P114" s="18" t="n"/>
      <c r="Q114" s="18" t="n"/>
      <c r="R114" s="18" t="n">
        <v>1661064.07</v>
      </c>
      <c r="S114" s="18" t="n">
        <v>16043584.0406</v>
      </c>
      <c r="T114" s="18" t="n"/>
      <c r="U114" s="18" t="n">
        <v>2919.95625857762</v>
      </c>
      <c r="V114" s="18" t="n">
        <v>2919.95625857762</v>
      </c>
      <c r="W114" s="21" t="n">
        <v>2022</v>
      </c>
      <c r="X114" s="1" t="n">
        <v>3044323.81</v>
      </c>
      <c r="Y114" s="3" t="n">
        <f aca="false" ca="false" dt2D="false" dtr="false" t="normal">+(K114*10+L114*20)*12*0.85</f>
        <v>645170.4</v>
      </c>
      <c r="Z114" s="3" t="n">
        <f aca="false" ca="false" dt2D="false" dtr="false" t="normal">+(K114*10+L114*20)*12*30</f>
        <v>22770720</v>
      </c>
      <c r="AB114" s="23" t="n">
        <f aca="false" ca="true" dt2D="false" dtr="false" t="normal">SUBTOTAL(9, AC114:AQ114)</f>
        <v>17704648.110600002</v>
      </c>
      <c r="AD114" s="17" t="n"/>
      <c r="AE114" s="201" t="n"/>
      <c r="AG114" s="17" t="n"/>
      <c r="AH114" s="17" t="n"/>
      <c r="AI114" s="17" t="n"/>
      <c r="AJ114" s="17" t="n">
        <v>0</v>
      </c>
      <c r="AK114" s="17" t="n">
        <v>12780973.57</v>
      </c>
      <c r="AL114" s="17" t="n">
        <v>0</v>
      </c>
      <c r="AM114" s="17" t="n"/>
      <c r="AN114" s="17" t="n"/>
      <c r="AO114" s="17" t="n">
        <v>4341944.4309</v>
      </c>
      <c r="AP114" s="18" t="n">
        <v>461523.4197</v>
      </c>
      <c r="AQ114" s="156" t="n">
        <v>120206.69</v>
      </c>
      <c r="AR114" s="3" t="n">
        <f aca="false" ca="false" dt2D="false" dtr="false" t="normal">N114-AB114</f>
        <v>0</v>
      </c>
    </row>
    <row outlineLevel="0" r="115">
      <c r="A115" s="154" t="n">
        <f aca="false" ca="false" dt2D="false" dtr="false" t="normal">+A114+1</f>
        <v>98</v>
      </c>
      <c r="B115" s="138" t="n">
        <f aca="false" ca="false" dt2D="false" dtr="false" t="normal">+B114+1</f>
        <v>98</v>
      </c>
      <c r="C115" s="138" t="s">
        <v>177</v>
      </c>
      <c r="D115" s="138" t="s">
        <v>295</v>
      </c>
      <c r="E115" s="139" t="n">
        <v>1991</v>
      </c>
      <c r="F115" s="139" t="n">
        <v>2013</v>
      </c>
      <c r="G115" s="139" t="s">
        <v>4</v>
      </c>
      <c r="H115" s="139" t="n">
        <v>5</v>
      </c>
      <c r="I115" s="139" t="n">
        <v>6</v>
      </c>
      <c r="J115" s="17" t="n">
        <v>7178.4</v>
      </c>
      <c r="K115" s="17" t="n">
        <v>6274.92</v>
      </c>
      <c r="L115" s="17" t="n">
        <v>0</v>
      </c>
      <c r="M115" s="140" t="n">
        <v>326</v>
      </c>
      <c r="N115" s="16" t="n">
        <f aca="false" ca="false" dt2D="false" dtr="false" t="normal">SUM(P115:T115)</f>
        <v>23158024.849999998</v>
      </c>
      <c r="O115" s="17" t="n"/>
      <c r="P115" s="18" t="n"/>
      <c r="Q115" s="18" t="n"/>
      <c r="R115" s="18" t="n">
        <v>3540174.47</v>
      </c>
      <c r="S115" s="18" t="n">
        <v>19617850.38</v>
      </c>
      <c r="T115" s="17" t="n"/>
      <c r="U115" s="18" t="n">
        <v>3868.56816843862</v>
      </c>
      <c r="V115" s="18" t="n">
        <v>3868.56816843862</v>
      </c>
      <c r="W115" s="21" t="n">
        <v>2022</v>
      </c>
      <c r="X115" s="1" t="n">
        <v>2900132.63</v>
      </c>
      <c r="Y115" s="3" t="n">
        <f aca="false" ca="false" dt2D="false" dtr="false" t="normal">+(K115*10+L115*20)*12*0.85</f>
        <v>640041.8399999999</v>
      </c>
      <c r="Z115" s="3" t="n">
        <f aca="false" ca="false" dt2D="false" dtr="false" t="normal">+(K115*10+L115*20)*12*30</f>
        <v>22589711.999999996</v>
      </c>
      <c r="AB115" s="23" t="n">
        <f aca="false" ca="true" dt2D="false" dtr="false" t="normal">SUBTOTAL(9, AC115:AQ115)</f>
        <v>23158024.849999998</v>
      </c>
      <c r="AC115" s="17" t="n"/>
      <c r="AD115" s="17" t="n"/>
      <c r="AE115" s="195" t="n"/>
      <c r="AF115" s="17" t="n"/>
      <c r="AG115" s="17" t="n"/>
      <c r="AH115" s="17" t="n"/>
      <c r="AI115" s="17" t="n"/>
      <c r="AJ115" s="17" t="n"/>
      <c r="AK115" s="17" t="n"/>
      <c r="AL115" s="17" t="n">
        <v>0</v>
      </c>
      <c r="AM115" s="17" t="n">
        <v>22920438.08</v>
      </c>
      <c r="AN115" s="17" t="n"/>
      <c r="AO115" s="17" t="n">
        <v>237586.77</v>
      </c>
      <c r="AP115" s="18" t="n"/>
      <c r="AQ115" s="24" t="n"/>
      <c r="AR115" s="3" t="n">
        <f aca="false" ca="false" dt2D="false" dtr="false" t="normal">N115-AB115</f>
        <v>0</v>
      </c>
    </row>
    <row outlineLevel="0" r="116">
      <c r="A116" s="154" t="n">
        <f aca="false" ca="false" dt2D="false" dtr="false" t="normal">+A115+1</f>
        <v>99</v>
      </c>
      <c r="B116" s="138" t="n">
        <f aca="false" ca="false" dt2D="false" dtr="false" t="normal">+B115+1</f>
        <v>99</v>
      </c>
      <c r="C116" s="138" t="s">
        <v>177</v>
      </c>
      <c r="D116" s="138" t="s">
        <v>297</v>
      </c>
      <c r="E116" s="139" t="n">
        <v>1988</v>
      </c>
      <c r="F116" s="139" t="n">
        <v>2013</v>
      </c>
      <c r="G116" s="139" t="s">
        <v>4</v>
      </c>
      <c r="H116" s="139" t="n">
        <v>5</v>
      </c>
      <c r="I116" s="139" t="n">
        <v>6</v>
      </c>
      <c r="J116" s="17" t="n">
        <v>7060</v>
      </c>
      <c r="K116" s="17" t="n">
        <v>6080.7</v>
      </c>
      <c r="L116" s="17" t="n">
        <v>143.1</v>
      </c>
      <c r="M116" s="140" t="n">
        <v>261</v>
      </c>
      <c r="N116" s="16" t="n">
        <f aca="false" ca="false" dt2D="false" dtr="false" t="normal">SUM(P116:T116)</f>
        <v>23277496.14</v>
      </c>
      <c r="O116" s="17" t="n"/>
      <c r="P116" s="18" t="n"/>
      <c r="Q116" s="18" t="n"/>
      <c r="R116" s="18" t="n">
        <v>3405808.57</v>
      </c>
      <c r="S116" s="18" t="n">
        <v>19871687.57</v>
      </c>
      <c r="T116" s="17" t="n"/>
      <c r="U116" s="18" t="n">
        <v>3917.95082274471</v>
      </c>
      <c r="V116" s="18" t="n">
        <v>3917.95082274471</v>
      </c>
      <c r="W116" s="21" t="n">
        <v>2022</v>
      </c>
      <c r="X116" s="1" t="n">
        <v>2756384.77</v>
      </c>
      <c r="Y116" s="3" t="n">
        <f aca="false" ca="false" dt2D="false" dtr="false" t="normal">+(K116*10+L116*20)*12*0.85</f>
        <v>649423.7999999999</v>
      </c>
      <c r="Z116" s="3" t="n">
        <f aca="false" ca="false" dt2D="false" dtr="false" t="normal">+(K116*10+L116*20)*12*30</f>
        <v>22920840</v>
      </c>
      <c r="AB116" s="23" t="n">
        <f aca="false" ca="true" dt2D="false" dtr="false" t="normal">SUBTOTAL(9, AC116:AQ116)</f>
        <v>23277496.14</v>
      </c>
      <c r="AC116" s="17" t="n"/>
      <c r="AD116" s="17" t="n"/>
      <c r="AE116" s="195" t="n"/>
      <c r="AF116" s="17" t="n"/>
      <c r="AG116" s="17" t="n"/>
      <c r="AH116" s="17" t="n"/>
      <c r="AI116" s="17" t="n"/>
      <c r="AJ116" s="17" t="n"/>
      <c r="AK116" s="17" t="n"/>
      <c r="AL116" s="17" t="n">
        <v>0</v>
      </c>
      <c r="AM116" s="17" t="n">
        <v>23040371.91</v>
      </c>
      <c r="AN116" s="17" t="n"/>
      <c r="AO116" s="17" t="n">
        <v>237124.23</v>
      </c>
      <c r="AP116" s="18" t="n"/>
      <c r="AQ116" s="24" t="n"/>
      <c r="AR116" s="3" t="n">
        <f aca="false" ca="false" dt2D="false" dtr="false" t="normal">N116-AB116</f>
        <v>0</v>
      </c>
    </row>
    <row outlineLevel="0" r="117">
      <c r="A117" s="154" t="n">
        <f aca="false" ca="false" dt2D="false" dtr="false" t="normal">+A116+1</f>
        <v>100</v>
      </c>
      <c r="B117" s="138" t="n">
        <f aca="false" ca="false" dt2D="false" dtr="false" t="normal">+B116+1</f>
        <v>100</v>
      </c>
      <c r="C117" s="138" t="s">
        <v>177</v>
      </c>
      <c r="D117" s="138" t="s">
        <v>299</v>
      </c>
      <c r="E117" s="139" t="n">
        <v>1975</v>
      </c>
      <c r="F117" s="139" t="n">
        <v>2013</v>
      </c>
      <c r="G117" s="139" t="s">
        <v>4</v>
      </c>
      <c r="H117" s="139" t="n">
        <v>4</v>
      </c>
      <c r="I117" s="139" t="n">
        <v>4</v>
      </c>
      <c r="J117" s="17" t="n">
        <v>2912.6</v>
      </c>
      <c r="K117" s="17" t="n">
        <v>2004.3</v>
      </c>
      <c r="L117" s="17" t="n">
        <v>902.2</v>
      </c>
      <c r="M117" s="140" t="n">
        <v>104</v>
      </c>
      <c r="N117" s="16" t="n">
        <f aca="false" ca="false" dt2D="false" dtr="false" t="normal">SUM(P117:T117)</f>
        <v>671631.14</v>
      </c>
      <c r="O117" s="17" t="n"/>
      <c r="P117" s="18" t="n"/>
      <c r="Q117" s="18" t="n"/>
      <c r="R117" s="18" t="n">
        <v>671631.14</v>
      </c>
      <c r="S117" s="18" t="n"/>
      <c r="T117" s="17" t="n"/>
      <c r="U117" s="18" t="n">
        <v>396.280464006109</v>
      </c>
      <c r="V117" s="18" t="n">
        <v>396.280464006109</v>
      </c>
      <c r="W117" s="21" t="n">
        <v>2022</v>
      </c>
      <c r="X117" s="1" t="n">
        <v>1936703.42</v>
      </c>
      <c r="Y117" s="3" t="n">
        <f aca="false" ca="false" dt2D="false" dtr="false" t="normal">+(K117*10+L117*20)*12*0.85</f>
        <v>388487.39999999997</v>
      </c>
      <c r="Z117" s="3" t="n">
        <f aca="false" ca="false" dt2D="false" dtr="false" t="normal">+(K117*10+L117*20)*12*30</f>
        <v>13711320</v>
      </c>
      <c r="AB117" s="23" t="n">
        <f aca="false" ca="true" dt2D="false" dtr="false" t="normal">SUBTOTAL(9, AC117:AQ117)</f>
        <v>671631.14</v>
      </c>
      <c r="AC117" s="17" t="n"/>
      <c r="AD117" s="17" t="n"/>
      <c r="AE117" s="195" t="n">
        <v>655531.02</v>
      </c>
      <c r="AF117" s="17" t="n"/>
      <c r="AG117" s="17" t="n"/>
      <c r="AH117" s="17" t="n"/>
      <c r="AI117" s="17" t="n"/>
      <c r="AJ117" s="17" t="n"/>
      <c r="AK117" s="17" t="n"/>
      <c r="AL117" s="17" t="n"/>
      <c r="AM117" s="17" t="n"/>
      <c r="AO117" s="17" t="n"/>
      <c r="AP117" s="18" t="n"/>
      <c r="AQ117" s="156" t="n">
        <v>16100.12</v>
      </c>
      <c r="AR117" s="3" t="n">
        <f aca="false" ca="false" dt2D="false" dtr="false" t="normal">N117-AB117</f>
        <v>0</v>
      </c>
    </row>
    <row outlineLevel="0" r="118">
      <c r="A118" s="154" t="n">
        <f aca="false" ca="false" dt2D="false" dtr="false" t="normal">+A117+1</f>
        <v>101</v>
      </c>
      <c r="B118" s="138" t="n">
        <f aca="false" ca="false" dt2D="false" dtr="false" t="normal">+B117+1</f>
        <v>101</v>
      </c>
      <c r="C118" s="138" t="s">
        <v>177</v>
      </c>
      <c r="D118" s="138" t="s">
        <v>301</v>
      </c>
      <c r="E118" s="139" t="n">
        <v>1993</v>
      </c>
      <c r="F118" s="139" t="n">
        <v>2013</v>
      </c>
      <c r="G118" s="139" t="s">
        <v>4</v>
      </c>
      <c r="H118" s="139" t="n">
        <v>5</v>
      </c>
      <c r="I118" s="139" t="n">
        <v>2</v>
      </c>
      <c r="J118" s="17" t="n">
        <v>2382.7</v>
      </c>
      <c r="K118" s="17" t="n">
        <v>2177.75</v>
      </c>
      <c r="L118" s="17" t="n">
        <v>0</v>
      </c>
      <c r="M118" s="140" t="n">
        <v>103</v>
      </c>
      <c r="N118" s="16" t="n">
        <f aca="false" ca="false" dt2D="false" dtr="false" t="normal">SUM(P118:T118)</f>
        <v>8384626.2694999995</v>
      </c>
      <c r="O118" s="17" t="n"/>
      <c r="P118" s="18" t="n">
        <v>376305.81</v>
      </c>
      <c r="Q118" s="18" t="n"/>
      <c r="R118" s="18" t="n">
        <v>751589.24</v>
      </c>
      <c r="S118" s="18" t="n">
        <v>7256731.2195</v>
      </c>
      <c r="T118" s="17" t="n"/>
      <c r="U118" s="18" t="n">
        <v>4052.69127386647</v>
      </c>
      <c r="V118" s="18" t="n">
        <v>4052.69127386647</v>
      </c>
      <c r="W118" s="21" t="n">
        <v>2022</v>
      </c>
      <c r="X118" s="1" t="n">
        <v>1043569.01</v>
      </c>
      <c r="Y118" s="3" t="n">
        <f aca="false" ca="false" dt2D="false" dtr="false" t="normal">+(K118*10+L118*20)*12*0.85</f>
        <v>222130.5</v>
      </c>
      <c r="Z118" s="3" t="n">
        <f aca="false" ca="false" dt2D="false" dtr="false" t="normal">+(K118*10+L118*20)*12*30</f>
        <v>7839900</v>
      </c>
      <c r="AB118" s="23" t="n">
        <f aca="false" ca="true" dt2D="false" dtr="false" t="normal">SUBTOTAL(9, AC118:AQ118)</f>
        <v>8384626.2695</v>
      </c>
      <c r="AC118" s="17" t="n"/>
      <c r="AD118" s="17" t="n">
        <v>1337737.05</v>
      </c>
      <c r="AE118" s="195" t="n">
        <v>613148.77</v>
      </c>
      <c r="AF118" s="17" t="n">
        <v>943239.55</v>
      </c>
      <c r="AG118" s="17" t="n"/>
      <c r="AH118" s="17" t="n"/>
      <c r="AI118" s="17" t="n"/>
      <c r="AJ118" s="17" t="n">
        <v>0</v>
      </c>
      <c r="AK118" s="17" t="n">
        <v>3170792.72</v>
      </c>
      <c r="AL118" s="17" t="n">
        <v>0</v>
      </c>
      <c r="AM118" s="17" t="n">
        <v>0</v>
      </c>
      <c r="AN118" s="17" t="n">
        <v>0</v>
      </c>
      <c r="AO118" s="17" t="n">
        <v>2090379.2509</v>
      </c>
      <c r="AP118" s="18" t="n">
        <v>229328.9286</v>
      </c>
      <c r="AQ118" s="24" t="n"/>
      <c r="AR118" s="3" t="n">
        <f aca="false" ca="false" dt2D="false" dtr="false" t="normal">N118-AB118</f>
        <v>0</v>
      </c>
    </row>
    <row outlineLevel="0" r="119">
      <c r="A119" s="154" t="n">
        <f aca="false" ca="false" dt2D="false" dtr="false" t="normal">+A118+1</f>
        <v>102</v>
      </c>
      <c r="B119" s="138" t="n">
        <f aca="false" ca="false" dt2D="false" dtr="false" t="normal">+B118+1</f>
        <v>102</v>
      </c>
      <c r="C119" s="138" t="s">
        <v>177</v>
      </c>
      <c r="D119" s="138" t="s">
        <v>303</v>
      </c>
      <c r="E119" s="139" t="n">
        <v>1966</v>
      </c>
      <c r="F119" s="139" t="n">
        <v>2013</v>
      </c>
      <c r="G119" s="139" t="s">
        <v>4</v>
      </c>
      <c r="H119" s="139" t="n">
        <v>4</v>
      </c>
      <c r="I119" s="139" t="n">
        <v>6</v>
      </c>
      <c r="J119" s="17" t="n">
        <v>2829.5</v>
      </c>
      <c r="K119" s="17" t="n">
        <v>2537.8</v>
      </c>
      <c r="L119" s="17" t="n">
        <v>230.6</v>
      </c>
      <c r="M119" s="140" t="n">
        <v>144</v>
      </c>
      <c r="N119" s="16" t="n">
        <f aca="false" ca="false" dt2D="false" dtr="false" t="normal">SUM(P119:T119)</f>
        <v>3582145.82</v>
      </c>
      <c r="O119" s="17" t="n"/>
      <c r="P119" s="18" t="n"/>
      <c r="Q119" s="18" t="n"/>
      <c r="R119" s="18" t="n">
        <v>1506343.88</v>
      </c>
      <c r="S119" s="18" t="n">
        <v>2075801.94</v>
      </c>
      <c r="T119" s="17" t="n">
        <v>0</v>
      </c>
      <c r="U119" s="18" t="n">
        <v>1293.94083947406</v>
      </c>
      <c r="V119" s="18" t="n">
        <v>1293.94083947406</v>
      </c>
      <c r="W119" s="21" t="n">
        <v>2022</v>
      </c>
      <c r="X119" s="1" t="n">
        <v>1303433.04</v>
      </c>
      <c r="Y119" s="3" t="n">
        <f aca="false" ca="false" dt2D="false" dtr="false" t="normal">+(K119*10+L119*20)*12*0.85</f>
        <v>305898</v>
      </c>
      <c r="Z119" s="3" t="n">
        <f aca="false" ca="false" dt2D="false" dtr="false" t="normal">+(K119*10+L119*20)*12*30</f>
        <v>10796400</v>
      </c>
      <c r="AB119" s="23" t="n">
        <f aca="false" ca="true" dt2D="false" dtr="false" t="normal">SUBTOTAL(9, AC119:AQ119)</f>
        <v>3582145.82</v>
      </c>
      <c r="AC119" s="17" t="n">
        <v>2763321.73</v>
      </c>
      <c r="AD119" s="17" t="n"/>
      <c r="AE119" s="195" t="n"/>
      <c r="AF119" s="17" t="n"/>
      <c r="AG119" s="17" t="n"/>
      <c r="AH119" s="17" t="n">
        <v>0</v>
      </c>
      <c r="AI119" s="17" t="n"/>
      <c r="AJ119" s="17" t="n">
        <v>0</v>
      </c>
      <c r="AK119" s="17" t="n">
        <v>0</v>
      </c>
      <c r="AL119" s="17" t="n">
        <v>0</v>
      </c>
      <c r="AM119" s="17" t="n">
        <v>0</v>
      </c>
      <c r="AN119" s="17" t="n">
        <v>0</v>
      </c>
      <c r="AO119" s="17" t="n">
        <v>788750.73</v>
      </c>
      <c r="AP119" s="18" t="n"/>
      <c r="AQ119" s="156" t="n">
        <v>30073.36</v>
      </c>
      <c r="AR119" s="3" t="n">
        <f aca="false" ca="false" dt2D="false" dtr="false" t="normal">N119-AB119</f>
        <v>0</v>
      </c>
    </row>
    <row outlineLevel="0" r="120">
      <c r="A120" s="154" t="n">
        <f aca="false" ca="false" dt2D="false" dtr="false" t="normal">+A119+1</f>
        <v>103</v>
      </c>
      <c r="B120" s="138" t="n">
        <f aca="false" ca="false" dt2D="false" dtr="false" t="normal">+B119+1</f>
        <v>103</v>
      </c>
      <c r="C120" s="138" t="s">
        <v>177</v>
      </c>
      <c r="D120" s="138" t="s">
        <v>305</v>
      </c>
      <c r="E120" s="139" t="n">
        <v>1973</v>
      </c>
      <c r="F120" s="139" t="n">
        <v>2013</v>
      </c>
      <c r="G120" s="139" t="s">
        <v>4</v>
      </c>
      <c r="H120" s="139" t="n">
        <v>5</v>
      </c>
      <c r="I120" s="139" t="n">
        <v>4</v>
      </c>
      <c r="J120" s="17" t="n">
        <v>3187.3</v>
      </c>
      <c r="K120" s="17" t="n">
        <v>2508.4</v>
      </c>
      <c r="L120" s="17" t="n">
        <v>678.9</v>
      </c>
      <c r="M120" s="140" t="n">
        <v>119</v>
      </c>
      <c r="N120" s="16" t="n">
        <f aca="false" ca="false" dt2D="false" dtr="false" t="normal">SUM(P120:T120)</f>
        <v>1007223.29</v>
      </c>
      <c r="O120" s="17" t="n"/>
      <c r="P120" s="18" t="n"/>
      <c r="Q120" s="18" t="n"/>
      <c r="R120" s="18" t="n">
        <v>1007223.29</v>
      </c>
      <c r="S120" s="18" t="n"/>
      <c r="T120" s="17" t="n"/>
      <c r="U120" s="18" t="n">
        <v>317.841737520786</v>
      </c>
      <c r="V120" s="18" t="n">
        <v>317.841737520786</v>
      </c>
      <c r="W120" s="21" t="n">
        <v>2022</v>
      </c>
      <c r="X120" s="1" t="n">
        <v>1840438.6</v>
      </c>
      <c r="Y120" s="3" t="n">
        <f aca="false" ca="false" dt2D="false" dtr="false" t="normal">+(K120*10+L120*20)*12*0.85</f>
        <v>394352.39999999997</v>
      </c>
      <c r="Z120" s="3" t="n">
        <f aca="false" ca="false" dt2D="false" dtr="false" t="normal">+(K120*10+L120*20)*12*30</f>
        <v>13918320</v>
      </c>
      <c r="AB120" s="23" t="n">
        <f aca="false" ca="true" dt2D="false" dtr="false" t="normal">SUBTOTAL(9, AC120:AQ120)</f>
        <v>1007223.29</v>
      </c>
      <c r="AC120" s="17" t="n">
        <v>0</v>
      </c>
      <c r="AD120" s="17" t="n">
        <v>0</v>
      </c>
      <c r="AE120" s="195" t="n">
        <v>0</v>
      </c>
      <c r="AF120" s="17" t="n">
        <v>0</v>
      </c>
      <c r="AG120" s="17" t="n">
        <v>1007223.29</v>
      </c>
      <c r="AH120" s="17" t="n"/>
      <c r="AI120" s="17" t="n"/>
      <c r="AJ120" s="17" t="n">
        <v>0</v>
      </c>
      <c r="AK120" s="17" t="n">
        <v>0</v>
      </c>
      <c r="AL120" s="17" t="n">
        <v>0</v>
      </c>
      <c r="AM120" s="17" t="n">
        <v>0</v>
      </c>
      <c r="AN120" s="17" t="n">
        <v>0</v>
      </c>
      <c r="AO120" s="17" t="n"/>
      <c r="AP120" s="18" t="n"/>
      <c r="AQ120" s="24" t="n"/>
      <c r="AR120" s="3" t="n">
        <f aca="false" ca="false" dt2D="false" dtr="false" t="normal">N120-AB120</f>
        <v>0</v>
      </c>
    </row>
    <row outlineLevel="0" r="121">
      <c r="A121" s="154" t="n">
        <f aca="false" ca="false" dt2D="false" dtr="false" t="normal">+A120+1</f>
        <v>104</v>
      </c>
      <c r="B121" s="138" t="n">
        <f aca="false" ca="false" dt2D="false" dtr="false" t="normal">+B120+1</f>
        <v>104</v>
      </c>
      <c r="C121" s="138" t="s">
        <v>177</v>
      </c>
      <c r="D121" s="138" t="s">
        <v>307</v>
      </c>
      <c r="E121" s="139" t="n">
        <v>1995</v>
      </c>
      <c r="F121" s="139" t="n">
        <v>2013</v>
      </c>
      <c r="G121" s="139" t="s">
        <v>4</v>
      </c>
      <c r="H121" s="139" t="n">
        <v>5</v>
      </c>
      <c r="I121" s="139" t="n">
        <v>2</v>
      </c>
      <c r="J121" s="17" t="n">
        <v>2325.7</v>
      </c>
      <c r="K121" s="17" t="n">
        <v>1861.6</v>
      </c>
      <c r="L121" s="17" t="n">
        <v>0</v>
      </c>
      <c r="M121" s="140" t="n">
        <v>45</v>
      </c>
      <c r="N121" s="16" t="n">
        <f aca="false" ca="false" dt2D="false" dtr="false" t="normal">SUM(P121:T121)</f>
        <v>12165659.1444</v>
      </c>
      <c r="O121" s="17" t="n"/>
      <c r="P121" s="18" t="n">
        <v>3166309.31</v>
      </c>
      <c r="Q121" s="18" t="n"/>
      <c r="R121" s="18" t="n">
        <v>801099.03</v>
      </c>
      <c r="S121" s="18" t="n">
        <v>6701760</v>
      </c>
      <c r="T121" s="17" t="n">
        <v>1496490.8044</v>
      </c>
      <c r="U121" s="18" t="n">
        <v>6794.86080302312</v>
      </c>
      <c r="V121" s="18" t="n">
        <v>6794.86080302312</v>
      </c>
      <c r="W121" s="21" t="n">
        <v>2022</v>
      </c>
      <c r="X121" s="1" t="n">
        <v>717879.06</v>
      </c>
      <c r="Y121" s="3" t="n">
        <f aca="false" ca="false" dt2D="false" dtr="false" t="normal">+(K121*10+L121*20)*12*0.85</f>
        <v>189883.19999999998</v>
      </c>
      <c r="Z121" s="3" t="n">
        <f aca="false" ca="false" dt2D="false" dtr="false" t="normal">+(K121*10+L121*20)*12*30</f>
        <v>6701760</v>
      </c>
      <c r="AB121" s="23" t="n">
        <f aca="false" ca="true" dt2D="false" dtr="false" t="normal">SUBTOTAL(9, AC121:AQ121)</f>
        <v>12165659.144399999</v>
      </c>
      <c r="AC121" s="17" t="n">
        <v>3644506.14</v>
      </c>
      <c r="AD121" s="17" t="n"/>
      <c r="AE121" s="195" t="n">
        <v>914465.47</v>
      </c>
      <c r="AF121" s="17" t="n"/>
      <c r="AG121" s="17" t="n">
        <v>0</v>
      </c>
      <c r="AH121" s="17" t="n"/>
      <c r="AI121" s="17" t="n"/>
      <c r="AJ121" s="17" t="n">
        <v>0</v>
      </c>
      <c r="AK121" s="17" t="n">
        <v>3794408.23</v>
      </c>
      <c r="AL121" s="17" t="n">
        <v>0</v>
      </c>
      <c r="AM121" s="17" t="n">
        <v>0</v>
      </c>
      <c r="AN121" s="17" t="n">
        <v>3615223.51</v>
      </c>
      <c r="AO121" s="17" t="n">
        <v>160007.0122</v>
      </c>
      <c r="AP121" s="18" t="n">
        <v>37048.7822</v>
      </c>
      <c r="AQ121" s="24" t="n"/>
      <c r="AR121" s="3" t="n">
        <f aca="false" ca="false" dt2D="false" dtr="false" t="normal">N121-AB121</f>
        <v>0</v>
      </c>
    </row>
    <row customFormat="true" ht="15" outlineLevel="0" r="122" s="184">
      <c r="A122" s="154" t="n">
        <f aca="false" ca="false" dt2D="false" dtr="false" t="normal">+A121+1</f>
        <v>105</v>
      </c>
      <c r="B122" s="138" t="n">
        <f aca="false" ca="false" dt2D="false" dtr="false" t="normal">+B121+1</f>
        <v>105</v>
      </c>
      <c r="C122" s="138" t="s">
        <v>309</v>
      </c>
      <c r="D122" s="138" t="s">
        <v>310</v>
      </c>
      <c r="E122" s="139" t="s">
        <v>311</v>
      </c>
      <c r="F122" s="139" t="n"/>
      <c r="G122" s="139" t="s">
        <v>4</v>
      </c>
      <c r="H122" s="139" t="s">
        <v>159</v>
      </c>
      <c r="I122" s="139" t="s">
        <v>312</v>
      </c>
      <c r="J122" s="17" t="n">
        <v>5677.5</v>
      </c>
      <c r="K122" s="17" t="n">
        <v>4896.4</v>
      </c>
      <c r="L122" s="17" t="n">
        <v>72</v>
      </c>
      <c r="M122" s="140" t="n">
        <v>216</v>
      </c>
      <c r="N122" s="16" t="n">
        <f aca="false" ca="false" dt2D="false" dtr="false" t="normal">SUM(P122:T122)</f>
        <v>54428541.629999995</v>
      </c>
      <c r="O122" s="17" t="n">
        <v>0</v>
      </c>
      <c r="P122" s="18" t="n">
        <v>13939244.22</v>
      </c>
      <c r="Q122" s="18" t="n">
        <v>0</v>
      </c>
      <c r="R122" s="18" t="n">
        <v>2546224.96</v>
      </c>
      <c r="S122" s="18" t="n">
        <v>18145440</v>
      </c>
      <c r="T122" s="17" t="n">
        <v>19797632.45</v>
      </c>
      <c r="U122" s="18" t="n">
        <v>224.97</v>
      </c>
      <c r="V122" s="18" t="n">
        <v>224.97</v>
      </c>
      <c r="W122" s="21" t="n">
        <v>2022</v>
      </c>
      <c r="X122" s="184" t="n">
        <v>2265420.6</v>
      </c>
      <c r="Y122" s="3" t="n">
        <f aca="false" ca="false" dt2D="false" dtr="false" t="normal">+(K122*10+L122*20)*12*0.85</f>
        <v>514120.8</v>
      </c>
      <c r="Z122" s="3" t="n">
        <f aca="false" ca="false" dt2D="false" dtr="false" t="normal">+(K122*10+L122*20)*12*30</f>
        <v>18145440</v>
      </c>
      <c r="AA122" s="3" t="n"/>
      <c r="AB122" s="23" t="n">
        <f aca="false" ca="true" dt2D="false" dtr="false" t="normal">SUBTOTAL(9, AC122:AQ122)</f>
        <v>54428541.629999995</v>
      </c>
      <c r="AC122" s="17" t="n"/>
      <c r="AD122" s="17" t="n"/>
      <c r="AE122" s="201" t="n"/>
      <c r="AF122" s="17" t="n"/>
      <c r="AG122" s="17" t="n"/>
      <c r="AH122" s="17" t="n"/>
      <c r="AI122" s="17" t="n"/>
      <c r="AJ122" s="17" t="n"/>
      <c r="AK122" s="17" t="n">
        <v>14003938.84</v>
      </c>
      <c r="AL122" s="17" t="n"/>
      <c r="AM122" s="17" t="n">
        <v>32173395.46</v>
      </c>
      <c r="AN122" s="17" t="n">
        <v>8022917.03</v>
      </c>
      <c r="AO122" s="17" t="n">
        <v>228290.3</v>
      </c>
      <c r="AP122" s="18" t="n"/>
      <c r="AQ122" s="24" t="n"/>
      <c r="AR122" s="3" t="n">
        <f aca="false" ca="false" dt2D="false" dtr="false" t="normal">N122-AB122</f>
        <v>0</v>
      </c>
      <c r="AT122" s="187" t="n"/>
    </row>
    <row outlineLevel="0" r="123">
      <c r="A123" s="154" t="n">
        <f aca="false" ca="false" dt2D="false" dtr="false" t="normal">+A122+1</f>
        <v>106</v>
      </c>
      <c r="B123" s="138" t="n">
        <f aca="false" ca="false" dt2D="false" dtr="false" t="normal">+B122+1</f>
        <v>106</v>
      </c>
      <c r="C123" s="138" t="s">
        <v>177</v>
      </c>
      <c r="D123" s="138" t="s">
        <v>314</v>
      </c>
      <c r="E123" s="139" t="n">
        <v>1986</v>
      </c>
      <c r="F123" s="139" t="n">
        <v>2013</v>
      </c>
      <c r="G123" s="139" t="s">
        <v>4</v>
      </c>
      <c r="H123" s="139" t="n">
        <v>12</v>
      </c>
      <c r="I123" s="139" t="n">
        <v>1</v>
      </c>
      <c r="J123" s="17" t="n">
        <v>5358.08</v>
      </c>
      <c r="K123" s="17" t="n">
        <v>4351.1</v>
      </c>
      <c r="L123" s="17" t="n">
        <v>75.1</v>
      </c>
      <c r="M123" s="140" t="n">
        <v>175</v>
      </c>
      <c r="N123" s="16" t="n">
        <f aca="false" ca="false" dt2D="false" dtr="false" t="normal">SUM(P123:T123)</f>
        <v>26737671.15</v>
      </c>
      <c r="O123" s="17" t="n"/>
      <c r="P123" s="18" t="n">
        <v>8285257.2</v>
      </c>
      <c r="Q123" s="18" t="n"/>
      <c r="R123" s="18" t="n">
        <v>3249810.1642</v>
      </c>
      <c r="S123" s="18" t="n">
        <v>15202603.7858</v>
      </c>
      <c r="T123" s="17" t="n"/>
      <c r="U123" s="18" t="n">
        <v>6373.58833831059</v>
      </c>
      <c r="V123" s="18" t="n">
        <v>6373.58833831059</v>
      </c>
      <c r="W123" s="21" t="n">
        <v>2022</v>
      </c>
      <c r="X123" s="1" t="n">
        <v>2642732.98</v>
      </c>
      <c r="Y123" s="3" t="n">
        <f aca="false" ca="false" dt2D="false" dtr="false" t="normal">+(K123*13.29+L123*22.52)*12*0.85</f>
        <v>607077.1842</v>
      </c>
      <c r="Z123" s="3" t="n">
        <f aca="false" ca="false" dt2D="false" dtr="false" t="normal">+(K123*13.29+L123*22.52)*12*30</f>
        <v>21426253.560000002</v>
      </c>
      <c r="AB123" s="23" t="n">
        <f aca="false" ca="true" dt2D="false" dtr="false" t="normal">SUBTOTAL(9, AC123:AQ123)</f>
        <v>26737671.150000002</v>
      </c>
      <c r="AC123" s="17" t="n">
        <v>6509238.77</v>
      </c>
      <c r="AD123" s="17" t="n">
        <v>2319400.21</v>
      </c>
      <c r="AE123" s="195" t="n">
        <v>3775889.5</v>
      </c>
      <c r="AF123" s="17" t="n">
        <v>1790627.54</v>
      </c>
      <c r="AG123" s="17" t="n"/>
      <c r="AH123" s="17" t="n"/>
      <c r="AI123" s="17" t="n"/>
      <c r="AJ123" s="17" t="n">
        <v>0</v>
      </c>
      <c r="AK123" s="17" t="n">
        <v>4646956.9</v>
      </c>
      <c r="AL123" s="17" t="n">
        <v>0</v>
      </c>
      <c r="AM123" s="17" t="n">
        <v>5003516.4</v>
      </c>
      <c r="AN123" s="17" t="n">
        <v>2513954.87</v>
      </c>
      <c r="AO123" s="17" t="n"/>
      <c r="AP123" s="18" t="n"/>
      <c r="AQ123" s="156" t="n">
        <f aca="false" ca="false" dt2D="false" dtr="false" t="normal">54318.24+26212.3+17900.83+13102.42+28632.26+18587.41+19333.5</f>
        <v>178086.96</v>
      </c>
      <c r="AR123" s="3" t="n">
        <f aca="false" ca="false" dt2D="false" dtr="false" t="normal">N123-AB123</f>
        <v>0</v>
      </c>
    </row>
    <row outlineLevel="0" r="124">
      <c r="A124" s="154" t="n">
        <f aca="false" ca="false" dt2D="false" dtr="false" t="normal">+A123+1</f>
        <v>107</v>
      </c>
      <c r="B124" s="138" t="n">
        <f aca="false" ca="false" dt2D="false" dtr="false" t="normal">+B123+1</f>
        <v>107</v>
      </c>
      <c r="C124" s="138" t="s">
        <v>177</v>
      </c>
      <c r="D124" s="138" t="s">
        <v>316</v>
      </c>
      <c r="E124" s="139" t="n">
        <v>1974</v>
      </c>
      <c r="F124" s="139" t="n">
        <v>2013</v>
      </c>
      <c r="G124" s="139" t="s">
        <v>4</v>
      </c>
      <c r="H124" s="139" t="n">
        <v>4</v>
      </c>
      <c r="I124" s="139" t="n">
        <v>6</v>
      </c>
      <c r="J124" s="17" t="n">
        <v>5678.2</v>
      </c>
      <c r="K124" s="17" t="n">
        <v>4923.8</v>
      </c>
      <c r="L124" s="17" t="n">
        <v>69.9</v>
      </c>
      <c r="M124" s="140" t="n">
        <v>205</v>
      </c>
      <c r="N124" s="16" t="n">
        <f aca="false" ca="false" dt2D="false" dtr="false" t="normal">SUM(P124:T124)</f>
        <v>8153307.6</v>
      </c>
      <c r="O124" s="17" t="n"/>
      <c r="P124" s="18" t="n"/>
      <c r="Q124" s="18" t="n"/>
      <c r="R124" s="18" t="n">
        <v>2055008.88</v>
      </c>
      <c r="S124" s="18" t="n">
        <v>6098298.72</v>
      </c>
      <c r="T124" s="17" t="n"/>
      <c r="U124" s="18" t="n">
        <v>1676.78652807606</v>
      </c>
      <c r="V124" s="18" t="n">
        <v>1676.78652807606</v>
      </c>
      <c r="W124" s="21" t="n">
        <v>2022</v>
      </c>
      <c r="X124" s="1" t="n">
        <v>2280888.52</v>
      </c>
      <c r="Y124" s="3" t="n">
        <f aca="false" ca="false" dt2D="false" dtr="false" t="normal">+(K124*10+L124*20)*12*0.85</f>
        <v>516487.2</v>
      </c>
      <c r="Z124" s="3" t="n">
        <f aca="false" ca="false" dt2D="false" dtr="false" t="normal">+(K124*10+L124*20)*12*30</f>
        <v>18228960</v>
      </c>
      <c r="AB124" s="23" t="n">
        <f aca="false" ca="true" dt2D="false" dtr="false" t="normal">SUBTOTAL(9, AC124:AQ124)</f>
        <v>8153307.600000001</v>
      </c>
      <c r="AC124" s="17" t="n">
        <v>0</v>
      </c>
      <c r="AD124" s="17" t="n">
        <v>0</v>
      </c>
      <c r="AE124" s="195" t="n">
        <v>0</v>
      </c>
      <c r="AF124" s="17" t="n">
        <v>0</v>
      </c>
      <c r="AG124" s="17" t="n">
        <v>0</v>
      </c>
      <c r="AH124" s="17" t="n"/>
      <c r="AI124" s="17" t="n"/>
      <c r="AJ124" s="17" t="n">
        <v>0</v>
      </c>
      <c r="AK124" s="17" t="n">
        <v>6528558.99</v>
      </c>
      <c r="AL124" s="17" t="n">
        <v>0</v>
      </c>
      <c r="AM124" s="17" t="n">
        <v>0</v>
      </c>
      <c r="AN124" s="17" t="n">
        <v>0</v>
      </c>
      <c r="AO124" s="17" t="n">
        <v>1523817.88</v>
      </c>
      <c r="AP124" s="18" t="n"/>
      <c r="AQ124" s="156" t="n">
        <v>100930.73</v>
      </c>
      <c r="AR124" s="3" t="n">
        <f aca="false" ca="false" dt2D="false" dtr="false" t="normal">N124-AB124</f>
        <v>0</v>
      </c>
    </row>
    <row outlineLevel="0" r="125">
      <c r="A125" s="154" t="n">
        <f aca="false" ca="false" dt2D="false" dtr="false" t="normal">+A124+1</f>
        <v>108</v>
      </c>
      <c r="B125" s="138" t="n">
        <f aca="false" ca="false" dt2D="false" dtr="false" t="normal">+B124+1</f>
        <v>108</v>
      </c>
      <c r="C125" s="138" t="s">
        <v>177</v>
      </c>
      <c r="D125" s="138" t="s">
        <v>317</v>
      </c>
      <c r="E125" s="139" t="n">
        <v>1974</v>
      </c>
      <c r="F125" s="139" t="n">
        <v>2013</v>
      </c>
      <c r="G125" s="139" t="s">
        <v>4</v>
      </c>
      <c r="H125" s="139" t="n">
        <v>4</v>
      </c>
      <c r="I125" s="139" t="n">
        <v>6</v>
      </c>
      <c r="J125" s="17" t="n">
        <v>5563.5</v>
      </c>
      <c r="K125" s="17" t="n">
        <v>4878.9</v>
      </c>
      <c r="L125" s="17" t="n">
        <v>141.3</v>
      </c>
      <c r="M125" s="140" t="n">
        <v>202</v>
      </c>
      <c r="N125" s="16" t="n">
        <f aca="false" ca="false" dt2D="false" dtr="false" t="normal">SUM(P125:T125)</f>
        <v>7908665.25</v>
      </c>
      <c r="O125" s="17" t="n"/>
      <c r="P125" s="19" t="n"/>
      <c r="Q125" s="18" t="n"/>
      <c r="R125" s="18" t="n">
        <v>2007826.6</v>
      </c>
      <c r="S125" s="18" t="n">
        <v>5900838.65</v>
      </c>
      <c r="T125" s="17" t="n"/>
      <c r="U125" s="18" t="n">
        <v>1618.54929313733</v>
      </c>
      <c r="V125" s="18" t="n">
        <v>1618.54929313733</v>
      </c>
      <c r="W125" s="21" t="n">
        <v>2022</v>
      </c>
      <c r="X125" s="1" t="n">
        <v>2384583.81</v>
      </c>
      <c r="Y125" s="3" t="n">
        <f aca="false" ca="false" dt2D="false" dtr="false" t="normal">+(K125*10+L125*20)*12*0.85</f>
        <v>526473</v>
      </c>
      <c r="Z125" s="3" t="n">
        <f aca="false" ca="false" dt2D="false" dtr="false" t="normal">+(K125*10+L125*20)*12*30</f>
        <v>18581400</v>
      </c>
      <c r="AB125" s="23" t="n">
        <f aca="false" ca="true" dt2D="false" dtr="false" t="normal">SUBTOTAL(9, AC125:AQ125)</f>
        <v>7908665.25</v>
      </c>
      <c r="AC125" s="17" t="n">
        <v>0</v>
      </c>
      <c r="AD125" s="17" t="n">
        <v>0</v>
      </c>
      <c r="AE125" s="195" t="n">
        <v>0</v>
      </c>
      <c r="AF125" s="17" t="n">
        <v>0</v>
      </c>
      <c r="AG125" s="17" t="n">
        <v>0</v>
      </c>
      <c r="AH125" s="17" t="n"/>
      <c r="AI125" s="17" t="n"/>
      <c r="AJ125" s="17" t="n">
        <v>0</v>
      </c>
      <c r="AK125" s="17" t="n">
        <v>6264359.76</v>
      </c>
      <c r="AL125" s="17" t="n">
        <v>0</v>
      </c>
      <c r="AM125" s="17" t="n">
        <v>0</v>
      </c>
      <c r="AN125" s="17" t="n">
        <v>0</v>
      </c>
      <c r="AO125" s="17" t="n">
        <v>1547459.25</v>
      </c>
      <c r="AP125" s="18" t="n"/>
      <c r="AQ125" s="156" t="n">
        <v>96846.24</v>
      </c>
      <c r="AR125" s="3" t="n">
        <f aca="false" ca="false" dt2D="false" dtr="false" t="normal">N125-AB125</f>
        <v>0</v>
      </c>
    </row>
    <row outlineLevel="0" r="126">
      <c r="A126" s="154" t="n">
        <f aca="false" ca="false" dt2D="false" dtr="false" t="normal">+A125+1</f>
        <v>109</v>
      </c>
      <c r="B126" s="138" t="n">
        <f aca="false" ca="false" dt2D="false" dtr="false" t="normal">+B125+1</f>
        <v>109</v>
      </c>
      <c r="C126" s="138" t="s">
        <v>177</v>
      </c>
      <c r="D126" s="138" t="s">
        <v>319</v>
      </c>
      <c r="E126" s="139" t="n">
        <v>1968</v>
      </c>
      <c r="F126" s="139" t="n">
        <v>2013</v>
      </c>
      <c r="G126" s="139" t="s">
        <v>4</v>
      </c>
      <c r="H126" s="139" t="n">
        <v>4</v>
      </c>
      <c r="I126" s="139" t="n">
        <v>4</v>
      </c>
      <c r="J126" s="17" t="n">
        <v>1991.8</v>
      </c>
      <c r="K126" s="17" t="n">
        <v>1480.5</v>
      </c>
      <c r="L126" s="17" t="n">
        <v>509.2</v>
      </c>
      <c r="M126" s="140" t="n">
        <v>80</v>
      </c>
      <c r="N126" s="16" t="n">
        <f aca="false" ca="false" dt2D="false" dtr="false" t="normal">SUM(P126:T126)</f>
        <v>435458</v>
      </c>
      <c r="O126" s="17" t="n"/>
      <c r="P126" s="18" t="n">
        <v>185262.05</v>
      </c>
      <c r="Q126" s="18" t="n"/>
      <c r="R126" s="18" t="n">
        <v>250195.95</v>
      </c>
      <c r="S126" s="18" t="n">
        <v>0</v>
      </c>
      <c r="T126" s="17" t="n">
        <v>0</v>
      </c>
      <c r="U126" s="18" t="n">
        <v>218.85610896115</v>
      </c>
      <c r="V126" s="18" t="n">
        <v>218.85610896115</v>
      </c>
      <c r="W126" s="21" t="n">
        <v>2022</v>
      </c>
      <c r="X126" s="1" t="n">
        <v>1179424.97</v>
      </c>
      <c r="Y126" s="3" t="n">
        <f aca="false" ca="false" dt2D="false" dtr="false" t="normal">+(K126*10+L126*20)*12*0.85</f>
        <v>254887.8</v>
      </c>
      <c r="Z126" s="3" t="n">
        <f aca="false" ca="false" dt2D="false" dtr="false" t="normal">+(K126*10+L126*20)*12*30</f>
        <v>8996040</v>
      </c>
      <c r="AB126" s="23" t="n">
        <f aca="false" ca="true" dt2D="false" dtr="false" t="normal">SUBTOTAL(9, AC126:AQ126)</f>
        <v>435458</v>
      </c>
      <c r="AC126" s="17" t="n">
        <v>0</v>
      </c>
      <c r="AD126" s="17" t="n">
        <v>0</v>
      </c>
      <c r="AE126" s="195" t="n">
        <v>0</v>
      </c>
      <c r="AF126" s="17" t="n">
        <v>0</v>
      </c>
      <c r="AG126" s="17" t="n">
        <v>435458</v>
      </c>
      <c r="AH126" s="17" t="n"/>
      <c r="AI126" s="17" t="n"/>
      <c r="AJ126" s="17" t="n">
        <v>0</v>
      </c>
      <c r="AK126" s="17" t="n">
        <v>0</v>
      </c>
      <c r="AL126" s="17" t="n">
        <v>0</v>
      </c>
      <c r="AM126" s="17" t="n">
        <v>0</v>
      </c>
      <c r="AN126" s="17" t="n">
        <v>0</v>
      </c>
      <c r="AO126" s="17" t="n"/>
      <c r="AP126" s="18" t="n"/>
      <c r="AQ126" s="191" t="n"/>
      <c r="AR126" s="3" t="n">
        <f aca="false" ca="false" dt2D="false" dtr="false" t="normal">N126-AB126</f>
        <v>0</v>
      </c>
    </row>
    <row customFormat="true" ht="15" outlineLevel="0" r="127" s="184">
      <c r="A127" s="154" t="n">
        <f aca="false" ca="false" dt2D="false" dtr="false" t="normal">+A126+1</f>
        <v>110</v>
      </c>
      <c r="B127" s="138" t="n">
        <f aca="false" ca="false" dt2D="false" dtr="false" t="normal">+B126+1</f>
        <v>110</v>
      </c>
      <c r="C127" s="138" t="s">
        <v>177</v>
      </c>
      <c r="D127" s="138" t="s">
        <v>320</v>
      </c>
      <c r="E127" s="139" t="n">
        <v>1973</v>
      </c>
      <c r="F127" s="139" t="n"/>
      <c r="G127" s="139" t="s">
        <v>4</v>
      </c>
      <c r="H127" s="139" t="n">
        <v>4</v>
      </c>
      <c r="I127" s="139" t="n">
        <v>4</v>
      </c>
      <c r="J127" s="17" t="n">
        <v>2965.1</v>
      </c>
      <c r="K127" s="17" t="n">
        <v>2671.7</v>
      </c>
      <c r="L127" s="17" t="n">
        <v>61.9</v>
      </c>
      <c r="M127" s="140" t="n">
        <v>112</v>
      </c>
      <c r="N127" s="16" t="n">
        <f aca="false" ca="false" dt2D="false" dtr="false" t="normal">SUM(P127:T127)</f>
        <v>1097504.5</v>
      </c>
      <c r="O127" s="17" t="n"/>
      <c r="P127" s="18" t="n"/>
      <c r="Q127" s="18" t="n"/>
      <c r="R127" s="18" t="n">
        <v>1097504.5</v>
      </c>
      <c r="S127" s="18" t="n">
        <v>0</v>
      </c>
      <c r="T127" s="17" t="n">
        <v>0</v>
      </c>
      <c r="U127" s="18" t="n">
        <v>401.486867134914</v>
      </c>
      <c r="V127" s="18" t="n">
        <v>401.486867134914</v>
      </c>
      <c r="W127" s="21" t="n">
        <v>2022</v>
      </c>
      <c r="X127" s="202" t="n">
        <v>1534449.43</v>
      </c>
      <c r="Y127" s="3" t="n">
        <f aca="false" ca="false" dt2D="false" dtr="false" t="normal">+(K127*10+L127*20)*12*0.85</f>
        <v>285141</v>
      </c>
      <c r="Z127" s="3" t="n">
        <f aca="false" ca="false" dt2D="false" dtr="false" t="normal">+(K127*10+L127*20)*12*30</f>
        <v>10063800</v>
      </c>
      <c r="AA127" s="3" t="n"/>
      <c r="AB127" s="23" t="n">
        <f aca="false" ca="true" dt2D="false" dtr="false" t="normal">SUBTOTAL(9, AC127:AQ127)</f>
        <v>1097504.5</v>
      </c>
      <c r="AC127" s="17" t="n">
        <v>0</v>
      </c>
      <c r="AD127" s="17" t="n"/>
      <c r="AE127" s="195" t="n">
        <v>0</v>
      </c>
      <c r="AF127" s="1" t="n"/>
      <c r="AG127" s="17" t="n">
        <v>1097504.5</v>
      </c>
      <c r="AH127" s="17" t="n"/>
      <c r="AI127" s="17" t="n"/>
      <c r="AJ127" s="17" t="n">
        <v>0</v>
      </c>
      <c r="AK127" s="17" t="n">
        <v>0</v>
      </c>
      <c r="AL127" s="17" t="n">
        <v>0</v>
      </c>
      <c r="AM127" s="17" t="n">
        <v>0</v>
      </c>
      <c r="AN127" s="17" t="n">
        <v>0</v>
      </c>
      <c r="AO127" s="17" t="n"/>
      <c r="AP127" s="17" t="n"/>
      <c r="AQ127" s="191" t="n"/>
      <c r="AR127" s="3" t="n">
        <f aca="false" ca="false" dt2D="false" dtr="false" t="normal">N127-AB127</f>
        <v>0</v>
      </c>
      <c r="AT127" s="187" t="n"/>
    </row>
    <row outlineLevel="0" r="128">
      <c r="A128" s="154" t="n">
        <f aca="false" ca="false" dt2D="false" dtr="false" t="normal">+A127+1</f>
        <v>111</v>
      </c>
      <c r="B128" s="138" t="n">
        <f aca="false" ca="false" dt2D="false" dtr="false" t="normal">+B127+1</f>
        <v>111</v>
      </c>
      <c r="C128" s="138" t="s">
        <v>177</v>
      </c>
      <c r="D128" s="138" t="s">
        <v>324</v>
      </c>
      <c r="E128" s="139" t="n">
        <v>1977</v>
      </c>
      <c r="F128" s="139" t="n">
        <v>2013</v>
      </c>
      <c r="G128" s="139" t="s">
        <v>4</v>
      </c>
      <c r="H128" s="139" t="n">
        <v>9</v>
      </c>
      <c r="I128" s="139" t="n">
        <v>1</v>
      </c>
      <c r="J128" s="17" t="n">
        <v>2365.99</v>
      </c>
      <c r="K128" s="17" t="n">
        <v>1903.5</v>
      </c>
      <c r="L128" s="17" t="n">
        <v>136</v>
      </c>
      <c r="M128" s="140" t="n">
        <v>70</v>
      </c>
      <c r="N128" s="16" t="n">
        <f aca="false" ca="false" dt2D="false" dtr="false" t="normal">SUM(P128:T128)</f>
        <v>500183.41</v>
      </c>
      <c r="O128" s="17" t="n"/>
      <c r="P128" s="18" t="n"/>
      <c r="Q128" s="18" t="n"/>
      <c r="R128" s="18" t="n">
        <v>178776.52939558</v>
      </c>
      <c r="S128" s="18" t="n">
        <v>321406.88060442</v>
      </c>
      <c r="T128" s="17" t="n"/>
      <c r="U128" s="18" t="n">
        <v>332.905094089522</v>
      </c>
      <c r="V128" s="18" t="n">
        <v>332.905094089522</v>
      </c>
      <c r="W128" s="21" t="n">
        <v>2022</v>
      </c>
      <c r="X128" s="1" t="n">
        <f aca="false" ca="false" dt2D="false" dtr="false" t="normal">1333569.91-680973.2372-75663.69</f>
        <v>576932.9827999999</v>
      </c>
      <c r="Y128" s="3" t="n">
        <f aca="false" ca="false" dt2D="false" dtr="false" t="normal">+(K128*13.29+L128*22.52)*12*0.85</f>
        <v>289274.397</v>
      </c>
      <c r="Z128" s="3" t="n">
        <f aca="false" ca="false" dt2D="false" dtr="false" t="normal">+(K128*13.29+L128*22.52)*12*30-6485.14-39928.49</f>
        <v>10163270.969999999</v>
      </c>
      <c r="AB128" s="23" t="n">
        <f aca="false" ca="true" dt2D="false" dtr="false" t="normal">SUBTOTAL(9, AC128:AQ128)</f>
        <v>500183.41</v>
      </c>
      <c r="AC128" s="17" t="n"/>
      <c r="AD128" s="17" t="n"/>
      <c r="AE128" s="195" t="n"/>
      <c r="AF128" s="17" t="n"/>
      <c r="AG128" s="17" t="n">
        <v>500183.41</v>
      </c>
      <c r="AH128" s="17" t="n"/>
      <c r="AI128" s="17" t="n"/>
      <c r="AJ128" s="17" t="n">
        <v>0</v>
      </c>
      <c r="AK128" s="17" t="n">
        <v>0</v>
      </c>
      <c r="AL128" s="17" t="n">
        <v>0</v>
      </c>
      <c r="AM128" s="17" t="n"/>
      <c r="AN128" s="17" t="n">
        <v>0</v>
      </c>
      <c r="AO128" s="17" t="n"/>
      <c r="AP128" s="18" t="n"/>
      <c r="AQ128" s="24" t="n"/>
      <c r="AR128" s="3" t="n">
        <f aca="false" ca="false" dt2D="false" dtr="false" t="normal">N128-AB128</f>
        <v>0</v>
      </c>
    </row>
    <row outlineLevel="0" r="129">
      <c r="A129" s="154" t="n">
        <f aca="false" ca="false" dt2D="false" dtr="false" t="normal">+A128+1</f>
        <v>112</v>
      </c>
      <c r="B129" s="138" t="n">
        <f aca="false" ca="false" dt2D="false" dtr="false" t="normal">+B128+1</f>
        <v>112</v>
      </c>
      <c r="C129" s="138" t="s">
        <v>177</v>
      </c>
      <c r="D129" s="138" t="s">
        <v>325</v>
      </c>
      <c r="E129" s="139" t="n">
        <v>1964</v>
      </c>
      <c r="F129" s="139" t="n">
        <v>2016</v>
      </c>
      <c r="G129" s="139" t="s">
        <v>4</v>
      </c>
      <c r="H129" s="139" t="n">
        <v>4</v>
      </c>
      <c r="I129" s="139" t="n">
        <v>4</v>
      </c>
      <c r="J129" s="17" t="n">
        <v>2622.1</v>
      </c>
      <c r="K129" s="17" t="n">
        <v>2204.5</v>
      </c>
      <c r="L129" s="17" t="n">
        <v>225.2</v>
      </c>
      <c r="M129" s="140" t="n">
        <v>107</v>
      </c>
      <c r="N129" s="16" t="n">
        <f aca="false" ca="false" dt2D="false" dtr="false" t="normal">SUM(P129:T129)</f>
        <v>994811.65</v>
      </c>
      <c r="O129" s="17" t="n"/>
      <c r="P129" s="18" t="n">
        <v>613613.93</v>
      </c>
      <c r="Q129" s="18" t="n"/>
      <c r="R129" s="18" t="n">
        <v>381197.72</v>
      </c>
      <c r="S129" s="18" t="n">
        <v>0</v>
      </c>
      <c r="T129" s="17" t="n"/>
      <c r="U129" s="18" t="n">
        <v>409.438058196485</v>
      </c>
      <c r="V129" s="18" t="n">
        <v>409.438058196485</v>
      </c>
      <c r="W129" s="21" t="n">
        <v>2022</v>
      </c>
      <c r="X129" s="1" t="n">
        <v>1171903.85</v>
      </c>
      <c r="Y129" s="3" t="n">
        <f aca="false" ca="false" dt2D="false" dtr="false" t="normal">+(K129*10+L129*20)*12*0.85</f>
        <v>270799.8</v>
      </c>
      <c r="Z129" s="3" t="n">
        <f aca="false" ca="false" dt2D="false" dtr="false" t="normal">+(K129*10+L129*20)*12*30</f>
        <v>9557640</v>
      </c>
      <c r="AB129" s="23" t="n">
        <f aca="false" ca="true" dt2D="false" dtr="false" t="normal">SUBTOTAL(9, AC129:AQ129)</f>
        <v>994811.65</v>
      </c>
      <c r="AC129" s="17" t="n">
        <v>0</v>
      </c>
      <c r="AD129" s="17" t="n">
        <v>0</v>
      </c>
      <c r="AE129" s="195" t="n">
        <v>0</v>
      </c>
      <c r="AF129" s="17" t="n">
        <v>0</v>
      </c>
      <c r="AG129" s="17" t="n">
        <v>994811.65</v>
      </c>
      <c r="AH129" s="17" t="n"/>
      <c r="AI129" s="17" t="n"/>
      <c r="AJ129" s="17" t="n">
        <v>0</v>
      </c>
      <c r="AK129" s="17" t="n">
        <v>0</v>
      </c>
      <c r="AL129" s="17" t="n">
        <v>0</v>
      </c>
      <c r="AM129" s="17" t="n">
        <v>0</v>
      </c>
      <c r="AN129" s="17" t="n">
        <v>0</v>
      </c>
      <c r="AO129" s="17" t="n"/>
      <c r="AP129" s="18" t="n"/>
      <c r="AQ129" s="191" t="n"/>
      <c r="AR129" s="3" t="n">
        <f aca="false" ca="false" dt2D="false" dtr="false" t="normal">N129-AB129</f>
        <v>0</v>
      </c>
    </row>
    <row outlineLevel="0" r="130">
      <c r="A130" s="154" t="n">
        <f aca="false" ca="false" dt2D="false" dtr="false" t="normal">+A129+1</f>
        <v>113</v>
      </c>
      <c r="B130" s="138" t="n">
        <f aca="false" ca="false" dt2D="false" dtr="false" t="normal">+B129+1</f>
        <v>113</v>
      </c>
      <c r="C130" s="138" t="s">
        <v>177</v>
      </c>
      <c r="D130" s="138" t="s">
        <v>327</v>
      </c>
      <c r="E130" s="139" t="n">
        <v>1973</v>
      </c>
      <c r="F130" s="139" t="n">
        <v>2013</v>
      </c>
      <c r="G130" s="139" t="s">
        <v>4</v>
      </c>
      <c r="H130" s="139" t="n">
        <v>5</v>
      </c>
      <c r="I130" s="139" t="n">
        <v>8</v>
      </c>
      <c r="J130" s="17" t="n">
        <v>6624.9</v>
      </c>
      <c r="K130" s="17" t="n">
        <v>5826</v>
      </c>
      <c r="L130" s="17" t="n">
        <v>239.3</v>
      </c>
      <c r="M130" s="140" t="n">
        <v>272</v>
      </c>
      <c r="N130" s="16" t="n">
        <f aca="false" ca="false" dt2D="false" dtr="false" t="normal">SUM(P130:T130)</f>
        <v>2131641.82</v>
      </c>
      <c r="O130" s="17" t="n"/>
      <c r="P130" s="18" t="n"/>
      <c r="Q130" s="18" t="n"/>
      <c r="R130" s="18" t="n">
        <v>2131641.82</v>
      </c>
      <c r="S130" s="18" t="n"/>
      <c r="T130" s="17" t="n"/>
      <c r="U130" s="18" t="n">
        <v>362.149661556724</v>
      </c>
      <c r="V130" s="18" t="n">
        <v>362.149661556724</v>
      </c>
      <c r="W130" s="21" t="n">
        <v>2022</v>
      </c>
      <c r="X130" s="1" t="n">
        <f aca="false" ca="false" dt2D="false" dtr="false" t="normal">3058321.2-217412.18</f>
        <v>2840909.02</v>
      </c>
      <c r="Y130" s="3" t="n">
        <f aca="false" ca="false" dt2D="false" dtr="false" t="normal">+(K130*10+L130*20)*12*0.85</f>
        <v>643069.2</v>
      </c>
      <c r="Z130" s="3" t="n">
        <f aca="false" ca="false" dt2D="false" dtr="false" t="normal">+(K130*10+L130*20)*12*30-1066942.82</f>
        <v>21629617.18</v>
      </c>
      <c r="AB130" s="23" t="n">
        <f aca="false" ca="true" dt2D="false" dtr="false" t="normal">SUBTOTAL(9, AC130:AQ130)</f>
        <v>2131641.8200000003</v>
      </c>
      <c r="AC130" s="17" t="n"/>
      <c r="AD130" s="17" t="n"/>
      <c r="AE130" s="195" t="n"/>
      <c r="AF130" s="17" t="n"/>
      <c r="AG130" s="17" t="n">
        <v>2104784.68</v>
      </c>
      <c r="AH130" s="17" t="n"/>
      <c r="AI130" s="17" t="n"/>
      <c r="AJ130" s="17" t="n">
        <v>0</v>
      </c>
      <c r="AK130" s="17" t="n">
        <v>0</v>
      </c>
      <c r="AL130" s="17" t="n"/>
      <c r="AM130" s="17" t="n"/>
      <c r="AN130" s="17" t="n"/>
      <c r="AO130" s="17" t="n">
        <v>2857.14</v>
      </c>
      <c r="AP130" s="18" t="n">
        <v>24000</v>
      </c>
      <c r="AQ130" s="24" t="n"/>
      <c r="AR130" s="3" t="n">
        <f aca="false" ca="false" dt2D="false" dtr="false" t="normal">N130-AB130</f>
        <v>0</v>
      </c>
    </row>
    <row outlineLevel="0" r="131">
      <c r="A131" s="154" t="n">
        <f aca="false" ca="false" dt2D="false" dtr="false" t="normal">+A130+1</f>
        <v>114</v>
      </c>
      <c r="B131" s="138" t="n">
        <f aca="false" ca="false" dt2D="false" dtr="false" t="normal">+B130+1</f>
        <v>114</v>
      </c>
      <c r="C131" s="138" t="s">
        <v>177</v>
      </c>
      <c r="D131" s="138" t="s">
        <v>328</v>
      </c>
      <c r="E131" s="139" t="n">
        <v>1975</v>
      </c>
      <c r="F131" s="139" t="n">
        <v>2013</v>
      </c>
      <c r="G131" s="139" t="s">
        <v>4</v>
      </c>
      <c r="H131" s="139" t="n">
        <v>4</v>
      </c>
      <c r="I131" s="139" t="n">
        <v>6</v>
      </c>
      <c r="J131" s="17" t="n">
        <v>5531.3</v>
      </c>
      <c r="K131" s="17" t="n">
        <v>4842.7</v>
      </c>
      <c r="L131" s="17" t="n">
        <v>189.7</v>
      </c>
      <c r="M131" s="140" t="n">
        <v>224</v>
      </c>
      <c r="N131" s="16" t="n">
        <f aca="false" ca="false" dt2D="false" dtr="false" t="normal">SUM(P131:T131)</f>
        <v>21811970.419999998</v>
      </c>
      <c r="O131" s="17" t="n"/>
      <c r="P131" s="18" t="n"/>
      <c r="Q131" s="18" t="n"/>
      <c r="R131" s="18" t="n">
        <v>2307202.7</v>
      </c>
      <c r="S131" s="18" t="n">
        <v>14401951.72984</v>
      </c>
      <c r="T131" s="18" t="n">
        <v>5102815.99016</v>
      </c>
      <c r="U131" s="18" t="n">
        <v>4594.96112227229</v>
      </c>
      <c r="V131" s="18" t="n">
        <v>1339.283020064</v>
      </c>
      <c r="W131" s="21" t="n">
        <v>2022</v>
      </c>
      <c r="X131" s="12" t="n">
        <f aca="false" ca="false" dt2D="false" dtr="false" t="normal">2505054.36-R316</f>
        <v>2262054.71</v>
      </c>
      <c r="Y131" s="3" t="n">
        <f aca="false" ca="false" dt2D="false" dtr="false" t="normal">+(K131*10+L131*20)*12*0.85</f>
        <v>532654.2</v>
      </c>
      <c r="Z131" s="3" t="n">
        <f aca="false" ca="false" dt2D="false" dtr="false" t="normal">+(K131*10+L131*20)*12*30-S316</f>
        <v>15300626.1</v>
      </c>
      <c r="AB131" s="23" t="n">
        <f aca="false" ca="true" dt2D="false" dtr="false" t="normal">SUBTOTAL(9, AC131:AQ131)</f>
        <v>21811970.419999998</v>
      </c>
      <c r="AC131" s="17" t="n"/>
      <c r="AD131" s="17" t="n"/>
      <c r="AE131" s="195" t="n"/>
      <c r="AF131" s="17" t="n"/>
      <c r="AG131" s="17" t="n"/>
      <c r="AH131" s="17" t="n"/>
      <c r="AI131" s="17" t="n"/>
      <c r="AJ131" s="17" t="n">
        <v>0</v>
      </c>
      <c r="AK131" s="17" t="n"/>
      <c r="AL131" s="17" t="n">
        <v>0</v>
      </c>
      <c r="AM131" s="17" t="n">
        <v>21575728.45</v>
      </c>
      <c r="AN131" s="17" t="n"/>
      <c r="AO131" s="17" t="n"/>
      <c r="AP131" s="18" t="n"/>
      <c r="AQ131" s="156" t="n">
        <v>236241.97</v>
      </c>
      <c r="AR131" s="3" t="n">
        <f aca="false" ca="false" dt2D="false" dtr="false" t="normal">N131-AB131</f>
        <v>0</v>
      </c>
    </row>
    <row outlineLevel="0" r="132">
      <c r="A132" s="154" t="n">
        <f aca="false" ca="false" dt2D="false" dtr="false" t="normal">+A131+1</f>
        <v>115</v>
      </c>
      <c r="B132" s="138" t="n">
        <f aca="false" ca="false" dt2D="false" dtr="false" t="normal">+B131+1</f>
        <v>115</v>
      </c>
      <c r="C132" s="138" t="s">
        <v>177</v>
      </c>
      <c r="D132" s="138" t="s">
        <v>329</v>
      </c>
      <c r="E132" s="139" t="n">
        <v>1974</v>
      </c>
      <c r="F132" s="139" t="n">
        <v>2013</v>
      </c>
      <c r="G132" s="139" t="s">
        <v>4</v>
      </c>
      <c r="H132" s="139" t="n">
        <v>4</v>
      </c>
      <c r="I132" s="139" t="n">
        <v>4</v>
      </c>
      <c r="J132" s="17" t="n">
        <v>3940.9</v>
      </c>
      <c r="K132" s="17" t="n">
        <v>3373.8</v>
      </c>
      <c r="L132" s="17" t="n">
        <v>212.7</v>
      </c>
      <c r="M132" s="140" t="n">
        <v>140</v>
      </c>
      <c r="N132" s="16" t="n">
        <f aca="false" ca="false" dt2D="false" dtr="false" t="normal">SUM(P132:T132)</f>
        <v>23119997.939999998</v>
      </c>
      <c r="O132" s="17" t="n"/>
      <c r="Q132" s="18" t="n"/>
      <c r="R132" s="18" t="n">
        <v>1982331.96</v>
      </c>
      <c r="S132" s="18" t="n">
        <v>10542328.3462407</v>
      </c>
      <c r="T132" s="17" t="n">
        <v>10595337.6337593</v>
      </c>
      <c r="U132" s="18" t="n">
        <v>6741.50626690108</v>
      </c>
      <c r="V132" s="18" t="n">
        <v>6741.50626690108</v>
      </c>
      <c r="W132" s="21" t="n">
        <v>2022</v>
      </c>
      <c r="X132" s="1" t="n">
        <f aca="false" ca="false" dt2D="false" dtr="false" t="normal">1707386.79-112573.23</f>
        <v>1594813.56</v>
      </c>
      <c r="Y132" s="3" t="n">
        <f aca="false" ca="false" dt2D="false" dtr="false" t="normal">+(K132*10+L132*20)*12*0.85</f>
        <v>387518.39999999997</v>
      </c>
      <c r="Z132" s="3" t="n">
        <f aca="false" ca="false" dt2D="false" dtr="false" t="normal">+(K132*10+L132*20)*12*30-810211.65</f>
        <v>12866908.35</v>
      </c>
      <c r="AB132" s="23" t="n">
        <f aca="false" ca="true" dt2D="false" dtr="false" t="normal">SUBTOTAL(9, AC132:AQ132)</f>
        <v>23119997.939999998</v>
      </c>
      <c r="AC132" s="17" t="n">
        <v>5305996.59</v>
      </c>
      <c r="AE132" s="201" t="n"/>
      <c r="AG132" s="17" t="n"/>
      <c r="AH132" s="17" t="n"/>
      <c r="AI132" s="17" t="n"/>
      <c r="AJ132" s="17" t="n">
        <v>0</v>
      </c>
      <c r="AK132" s="17" t="n">
        <v>4125438.85</v>
      </c>
      <c r="AL132" s="17" t="n">
        <v>0</v>
      </c>
      <c r="AM132" s="17" t="n">
        <v>13688562.5</v>
      </c>
      <c r="AN132" s="17" t="n"/>
      <c r="AO132" s="17" t="n"/>
      <c r="AP132" s="18" t="n"/>
      <c r="AQ132" s="24" t="n"/>
      <c r="AR132" s="3" t="n">
        <f aca="false" ca="false" dt2D="false" dtr="false" t="normal">N132-AB132</f>
        <v>0</v>
      </c>
    </row>
    <row outlineLevel="0" r="133">
      <c r="A133" s="154" t="n">
        <f aca="false" ca="false" dt2D="false" dtr="false" t="normal">+A132+1</f>
        <v>116</v>
      </c>
      <c r="B133" s="138" t="n">
        <f aca="false" ca="false" dt2D="false" dtr="false" t="normal">+B132+1</f>
        <v>116</v>
      </c>
      <c r="C133" s="138" t="s">
        <v>177</v>
      </c>
      <c r="D133" s="138" t="s">
        <v>330</v>
      </c>
      <c r="E133" s="139" t="n">
        <v>1977</v>
      </c>
      <c r="F133" s="139" t="n">
        <v>2013</v>
      </c>
      <c r="G133" s="139" t="s">
        <v>4</v>
      </c>
      <c r="H133" s="139" t="n">
        <v>9</v>
      </c>
      <c r="I133" s="139" t="n">
        <v>1</v>
      </c>
      <c r="J133" s="17" t="n">
        <v>2362.6</v>
      </c>
      <c r="K133" s="17" t="n">
        <v>1902.4</v>
      </c>
      <c r="L133" s="17" t="n">
        <v>195.5</v>
      </c>
      <c r="M133" s="140" t="n">
        <v>72</v>
      </c>
      <c r="N133" s="16" t="n">
        <f aca="false" ca="false" dt2D="false" dtr="false" t="normal">SUM(P133:T133)</f>
        <v>1661665.99</v>
      </c>
      <c r="O133" s="17" t="n"/>
      <c r="P133" s="18" t="n"/>
      <c r="Q133" s="18" t="n"/>
      <c r="R133" s="18" t="n"/>
      <c r="S133" s="18" t="n">
        <v>1661665.99</v>
      </c>
      <c r="T133" s="17" t="n"/>
      <c r="U133" s="18" t="n">
        <v>866.285550555289</v>
      </c>
      <c r="V133" s="18" t="n">
        <v>866.285550555289</v>
      </c>
      <c r="W133" s="21" t="n">
        <v>2022</v>
      </c>
      <c r="X133" s="1" t="n">
        <f aca="false" ca="false" dt2D="false" dtr="false" t="normal">1288619.08-658887.88</f>
        <v>629731.2000000001</v>
      </c>
      <c r="Y133" s="3" t="n">
        <f aca="false" ca="false" dt2D="false" dtr="false" t="normal">+(K133*13.29+L133*22.52)*12*0.85</f>
        <v>302792.6712</v>
      </c>
      <c r="Z133" s="3" t="n">
        <f aca="false" ca="false" dt2D="false" dtr="false" t="normal">+(K133*13.29+L133*22.52)*12*30-8648.871</f>
        <v>10678151.289</v>
      </c>
      <c r="AB133" s="23" t="n">
        <f aca="false" ca="true" dt2D="false" dtr="false" t="normal">SUBTOTAL(9, AC133:AQ133)</f>
        <v>1661665.99</v>
      </c>
      <c r="AC133" s="17" t="n"/>
      <c r="AD133" s="17" t="n"/>
      <c r="AE133" s="195" t="n">
        <v>707768.48</v>
      </c>
      <c r="AF133" s="17" t="n">
        <v>953897.51</v>
      </c>
      <c r="AG133" s="17" t="n"/>
      <c r="AH133" s="17" t="n"/>
      <c r="AI133" s="17" t="n"/>
      <c r="AJ133" s="17" t="n">
        <v>0</v>
      </c>
      <c r="AK133" s="17" t="n">
        <v>0</v>
      </c>
      <c r="AL133" s="17" t="n">
        <v>0</v>
      </c>
      <c r="AM133" s="17" t="n"/>
      <c r="AN133" s="17" t="n">
        <v>0</v>
      </c>
      <c r="AO133" s="17" t="n"/>
      <c r="AP133" s="18" t="n"/>
      <c r="AQ133" s="24" t="n"/>
      <c r="AR133" s="3" t="n">
        <f aca="false" ca="false" dt2D="false" dtr="false" t="normal">N133-AB133</f>
        <v>0</v>
      </c>
    </row>
    <row outlineLevel="0" r="134">
      <c r="A134" s="154" t="n">
        <f aca="false" ca="false" dt2D="false" dtr="false" t="normal">+A133+1</f>
        <v>117</v>
      </c>
      <c r="B134" s="138" t="n">
        <f aca="false" ca="false" dt2D="false" dtr="false" t="normal">+B133+1</f>
        <v>117</v>
      </c>
      <c r="C134" s="138" t="s">
        <v>331</v>
      </c>
      <c r="D134" s="138" t="s">
        <v>332</v>
      </c>
      <c r="E134" s="139" t="n">
        <v>1979</v>
      </c>
      <c r="F134" s="139" t="n">
        <v>1979</v>
      </c>
      <c r="G134" s="139" t="s">
        <v>4</v>
      </c>
      <c r="H134" s="139" t="n">
        <v>4</v>
      </c>
      <c r="I134" s="139" t="n">
        <v>6</v>
      </c>
      <c r="J134" s="17" t="n">
        <v>3867.8</v>
      </c>
      <c r="K134" s="17" t="n">
        <v>3539.7</v>
      </c>
      <c r="L134" s="17" t="n">
        <v>0</v>
      </c>
      <c r="M134" s="140" t="n">
        <v>193</v>
      </c>
      <c r="N134" s="16" t="n">
        <f aca="false" ca="false" dt2D="false" dtr="false" t="normal">SUM(P134:T134)</f>
        <v>9447493.219999999</v>
      </c>
      <c r="O134" s="17" t="n"/>
      <c r="P134" s="18" t="n">
        <v>7358449.51</v>
      </c>
      <c r="Q134" s="18" t="n"/>
      <c r="R134" s="18" t="n"/>
      <c r="S134" s="18" t="n">
        <v>2089043.71</v>
      </c>
      <c r="T134" s="17" t="n"/>
      <c r="U134" s="18" t="n">
        <v>2764.42034694963</v>
      </c>
      <c r="V134" s="18" t="n">
        <v>2764.42034694963</v>
      </c>
      <c r="W134" s="21" t="n">
        <v>2022</v>
      </c>
      <c r="X134" s="1" t="n">
        <v>1735682.5</v>
      </c>
      <c r="Y134" s="3" t="n">
        <f aca="false" ca="false" dt2D="false" dtr="false" t="normal">+(K134*10+L134*20)*12*0.85</f>
        <v>361049.39999999997</v>
      </c>
      <c r="Z134" s="3" t="n">
        <f aca="false" ca="false" dt2D="false" dtr="false" t="normal">+(K134*10+L134*20)*12*30</f>
        <v>12742920</v>
      </c>
      <c r="AB134" s="23" t="n">
        <f aca="false" ca="true" dt2D="false" dtr="false" t="normal">SUBTOTAL(9, AC134:AQ134)</f>
        <v>9447493.22</v>
      </c>
      <c r="AC134" s="17" t="n">
        <v>0</v>
      </c>
      <c r="AD134" s="17" t="n">
        <v>0</v>
      </c>
      <c r="AE134" s="195" t="n">
        <v>0</v>
      </c>
      <c r="AF134" s="17" t="n">
        <v>0</v>
      </c>
      <c r="AG134" s="17" t="n">
        <v>0</v>
      </c>
      <c r="AH134" s="17" t="n"/>
      <c r="AI134" s="17" t="n"/>
      <c r="AJ134" s="17" t="n">
        <v>0</v>
      </c>
      <c r="AK134" s="17" t="n">
        <v>9447493.22</v>
      </c>
      <c r="AL134" s="17" t="n">
        <v>0</v>
      </c>
      <c r="AM134" s="17" t="n"/>
      <c r="AN134" s="17" t="n"/>
      <c r="AO134" s="17" t="n"/>
      <c r="AP134" s="18" t="n"/>
      <c r="AQ134" s="24" t="n"/>
      <c r="AR134" s="3" t="n">
        <f aca="false" ca="false" dt2D="false" dtr="false" t="normal">N134-AB134</f>
        <v>0</v>
      </c>
    </row>
    <row outlineLevel="0" r="135">
      <c r="A135" s="154" t="n">
        <f aca="false" ca="false" dt2D="false" dtr="false" t="normal">+A134+1</f>
        <v>118</v>
      </c>
      <c r="B135" s="138" t="n">
        <f aca="false" ca="false" dt2D="false" dtr="false" t="normal">+B134+1</f>
        <v>118</v>
      </c>
      <c r="C135" s="138" t="s">
        <v>331</v>
      </c>
      <c r="D135" s="138" t="s">
        <v>333</v>
      </c>
      <c r="E135" s="139" t="n">
        <v>1966</v>
      </c>
      <c r="F135" s="139" t="n">
        <v>1966</v>
      </c>
      <c r="G135" s="139" t="s">
        <v>4</v>
      </c>
      <c r="H135" s="139" t="n">
        <v>4</v>
      </c>
      <c r="I135" s="139" t="n">
        <v>2</v>
      </c>
      <c r="J135" s="17" t="n">
        <v>1327.2</v>
      </c>
      <c r="K135" s="17" t="n">
        <v>1234.6</v>
      </c>
      <c r="L135" s="17" t="n">
        <v>0</v>
      </c>
      <c r="M135" s="140" t="n">
        <v>61</v>
      </c>
      <c r="N135" s="16" t="n">
        <f aca="false" ca="false" dt2D="false" dtr="false" t="normal">SUM(P135:T135)</f>
        <v>459932.9699999999</v>
      </c>
      <c r="O135" s="17" t="n"/>
      <c r="P135" s="18" t="n">
        <v>226913.39</v>
      </c>
      <c r="Q135" s="18" t="n"/>
      <c r="R135" s="18" t="n">
        <v>192796.3</v>
      </c>
      <c r="S135" s="18" t="n">
        <v>40223.2799999999</v>
      </c>
      <c r="T135" s="17" t="n">
        <v>0</v>
      </c>
      <c r="U135" s="18" t="n">
        <v>372.536019763486</v>
      </c>
      <c r="V135" s="18" t="n">
        <v>372.536019763486</v>
      </c>
      <c r="W135" s="21" t="n">
        <v>2022</v>
      </c>
      <c r="X135" s="1" t="n">
        <v>512184.69</v>
      </c>
      <c r="Y135" s="3" t="n">
        <f aca="false" ca="false" dt2D="false" dtr="false" t="normal">+(K135*10+L135*20)*12*0.85</f>
        <v>125929.2</v>
      </c>
      <c r="Z135" s="3" t="n">
        <f aca="false" ca="false" dt2D="false" dtr="false" t="normal">+(K135*10+L135*20)*12*30</f>
        <v>4444560</v>
      </c>
      <c r="AB135" s="23" t="n">
        <f aca="false" ca="true" dt2D="false" dtr="false" t="normal">SUBTOTAL(9, AC135:AQ135)</f>
        <v>459932.97</v>
      </c>
      <c r="AC135" s="17" t="n">
        <v>0</v>
      </c>
      <c r="AD135" s="17" t="n">
        <v>0</v>
      </c>
      <c r="AE135" s="195" t="n">
        <v>0</v>
      </c>
      <c r="AF135" s="17" t="n">
        <v>0</v>
      </c>
      <c r="AG135" s="17" t="n">
        <v>459932.97</v>
      </c>
      <c r="AH135" s="17" t="n"/>
      <c r="AI135" s="17" t="n"/>
      <c r="AJ135" s="17" t="n">
        <v>0</v>
      </c>
      <c r="AK135" s="17" t="n">
        <v>0</v>
      </c>
      <c r="AL135" s="17" t="n">
        <v>0</v>
      </c>
      <c r="AM135" s="17" t="n">
        <v>0</v>
      </c>
      <c r="AN135" s="17" t="n">
        <v>0</v>
      </c>
      <c r="AO135" s="17" t="n"/>
      <c r="AP135" s="18" t="n"/>
      <c r="AQ135" s="191" t="n"/>
      <c r="AR135" s="3" t="n">
        <f aca="false" ca="false" dt2D="false" dtr="false" t="normal">N135-AB135</f>
        <v>0</v>
      </c>
    </row>
    <row customHeight="true" ht="14.25" outlineLevel="0" r="136">
      <c r="A136" s="154" t="n">
        <f aca="false" ca="false" dt2D="false" dtr="false" t="normal">+A135+1</f>
        <v>119</v>
      </c>
      <c r="B136" s="138" t="n">
        <f aca="false" ca="false" dt2D="false" dtr="false" t="normal">+B135+1</f>
        <v>119</v>
      </c>
      <c r="C136" s="138" t="s">
        <v>331</v>
      </c>
      <c r="D136" s="138" t="s">
        <v>335</v>
      </c>
      <c r="E136" s="139" t="n">
        <v>1969</v>
      </c>
      <c r="F136" s="139" t="n">
        <v>2013</v>
      </c>
      <c r="G136" s="139" t="s">
        <v>4</v>
      </c>
      <c r="H136" s="139" t="n">
        <v>4</v>
      </c>
      <c r="I136" s="139" t="n">
        <v>4</v>
      </c>
      <c r="J136" s="17" t="n">
        <v>3016.9</v>
      </c>
      <c r="K136" s="17" t="n">
        <v>2778.3</v>
      </c>
      <c r="L136" s="17" t="n">
        <v>0</v>
      </c>
      <c r="M136" s="140" t="n">
        <v>148</v>
      </c>
      <c r="N136" s="16" t="n">
        <f aca="false" ca="false" dt2D="false" dtr="false" t="normal">SUM(P136:T136)</f>
        <v>7262692.2311</v>
      </c>
      <c r="O136" s="17" t="n"/>
      <c r="P136" s="18" t="n">
        <v>1196060.52</v>
      </c>
      <c r="Q136" s="18" t="n"/>
      <c r="R136" s="18" t="n">
        <v>847797.2</v>
      </c>
      <c r="S136" s="18" t="n">
        <v>2164833.53</v>
      </c>
      <c r="T136" s="18" t="n">
        <v>3054000.9811</v>
      </c>
      <c r="U136" s="17" t="n">
        <v>2667.5426612009</v>
      </c>
      <c r="V136" s="17" t="n">
        <v>2667.5426612009</v>
      </c>
      <c r="W136" s="21" t="n">
        <v>2022</v>
      </c>
      <c r="X136" s="1" t="n">
        <f aca="false" ca="false" dt2D="false" dtr="false" t="normal">1200544.79-636134.19</f>
        <v>564410.6000000001</v>
      </c>
      <c r="Y136" s="3" t="n">
        <f aca="false" ca="false" dt2D="false" dtr="false" t="normal">+(K136*10+L136*20)*12*0.85</f>
        <v>283386.6</v>
      </c>
      <c r="Z136" s="3" t="n">
        <f aca="false" ca="false" dt2D="false" dtr="false" t="normal">+(K136*10+L136*20)*12*30-7837046.47</f>
        <v>2164833.5300000003</v>
      </c>
      <c r="AB136" s="23" t="n">
        <f aca="false" ca="true" dt2D="false" dtr="false" t="normal">SUBTOTAL(9, AC136:AQ136)</f>
        <v>7262692.2310999995</v>
      </c>
      <c r="AC136" s="17" t="n"/>
      <c r="AD136" s="17" t="n"/>
      <c r="AE136" s="195" t="n"/>
      <c r="AF136" s="17" t="n"/>
      <c r="AG136" s="17" t="n"/>
      <c r="AH136" s="17" t="n"/>
      <c r="AI136" s="17" t="n"/>
      <c r="AJ136" s="17" t="n"/>
      <c r="AK136" s="17" t="n"/>
      <c r="AL136" s="17" t="n"/>
      <c r="AM136" s="17" t="n"/>
      <c r="AN136" s="17" t="n">
        <v>6404791.89</v>
      </c>
      <c r="AO136" s="17" t="n">
        <v>779909.401</v>
      </c>
      <c r="AP136" s="18" t="n">
        <v>77990.9401</v>
      </c>
      <c r="AQ136" s="24" t="n"/>
      <c r="AR136" s="3" t="n">
        <f aca="false" ca="false" dt2D="false" dtr="false" t="normal">N136-AB136</f>
        <v>0</v>
      </c>
    </row>
    <row outlineLevel="0" r="137">
      <c r="A137" s="154" t="n">
        <f aca="false" ca="false" dt2D="false" dtr="false" t="normal">+A136+1</f>
        <v>120</v>
      </c>
      <c r="B137" s="138" t="n">
        <f aca="false" ca="false" dt2D="false" dtr="false" t="normal">+B136+1</f>
        <v>120</v>
      </c>
      <c r="C137" s="138" t="s">
        <v>331</v>
      </c>
      <c r="D137" s="138" t="s">
        <v>337</v>
      </c>
      <c r="E137" s="139" t="n">
        <v>1971</v>
      </c>
      <c r="F137" s="139" t="n">
        <v>1971</v>
      </c>
      <c r="G137" s="139" t="s">
        <v>4</v>
      </c>
      <c r="H137" s="139" t="n">
        <v>4</v>
      </c>
      <c r="I137" s="139" t="n">
        <v>4</v>
      </c>
      <c r="J137" s="17" t="n">
        <v>2851.3</v>
      </c>
      <c r="K137" s="17" t="n">
        <v>2629.3</v>
      </c>
      <c r="L137" s="17" t="n">
        <v>0</v>
      </c>
      <c r="M137" s="140" t="n">
        <v>126</v>
      </c>
      <c r="N137" s="16" t="n">
        <f aca="false" ca="false" dt2D="false" dtr="false" t="normal">SUM(P137:T137)</f>
        <v>1308608.9229</v>
      </c>
      <c r="O137" s="17" t="n"/>
      <c r="P137" s="18" t="n"/>
      <c r="Q137" s="18" t="n"/>
      <c r="R137" s="18" t="n">
        <v>1308608.9229</v>
      </c>
      <c r="S137" s="18" t="n"/>
      <c r="T137" s="17" t="n"/>
      <c r="U137" s="18" t="n">
        <v>501.501682158749</v>
      </c>
      <c r="V137" s="18" t="n">
        <v>501.501682158749</v>
      </c>
      <c r="W137" s="21" t="n">
        <v>2022</v>
      </c>
      <c r="X137" s="1" t="n">
        <v>1216435.44</v>
      </c>
      <c r="Y137" s="3" t="n">
        <f aca="false" ca="false" dt2D="false" dtr="false" t="normal">+(K137*10+L137*20)*12*0.85</f>
        <v>268188.6</v>
      </c>
      <c r="Z137" s="3" t="n">
        <f aca="false" ca="false" dt2D="false" dtr="false" t="normal">+(K137*10+L137*20)*12*30</f>
        <v>9465480</v>
      </c>
      <c r="AB137" s="23" t="n">
        <f aca="false" ca="true" dt2D="false" dtr="false" t="normal">SUBTOTAL(9, AC137:AQ137)</f>
        <v>1308608.9229000001</v>
      </c>
      <c r="AC137" s="17" t="n">
        <v>0</v>
      </c>
      <c r="AD137" s="17" t="n"/>
      <c r="AE137" s="195" t="n">
        <v>1005861.31</v>
      </c>
      <c r="AF137" s="17" t="n">
        <v>0</v>
      </c>
      <c r="AG137" s="17" t="n"/>
      <c r="AH137" s="17" t="n"/>
      <c r="AI137" s="17" t="n"/>
      <c r="AJ137" s="17" t="n">
        <v>0</v>
      </c>
      <c r="AK137" s="17" t="n">
        <v>0</v>
      </c>
      <c r="AL137" s="17" t="n">
        <v>0</v>
      </c>
      <c r="AM137" s="17" t="n">
        <v>0</v>
      </c>
      <c r="AN137" s="17" t="n">
        <v>0</v>
      </c>
      <c r="AO137" s="17" t="n">
        <v>268460.939</v>
      </c>
      <c r="AP137" s="18" t="n">
        <v>26846.0939</v>
      </c>
      <c r="AQ137" s="193" t="n">
        <v>7440.58</v>
      </c>
      <c r="AR137" s="3" t="n">
        <f aca="false" ca="false" dt2D="false" dtr="false" t="normal">N137-AB137</f>
        <v>0</v>
      </c>
    </row>
    <row outlineLevel="0" r="138">
      <c r="A138" s="154" t="n">
        <f aca="false" ca="false" dt2D="false" dtr="false" t="normal">+A137+1</f>
        <v>121</v>
      </c>
      <c r="B138" s="138" t="n">
        <f aca="false" ca="false" dt2D="false" dtr="false" t="normal">+B137+1</f>
        <v>121</v>
      </c>
      <c r="C138" s="138" t="s">
        <v>331</v>
      </c>
      <c r="D138" s="138" t="s">
        <v>338</v>
      </c>
      <c r="E138" s="139" t="n">
        <v>1962</v>
      </c>
      <c r="F138" s="139" t="n">
        <v>1962</v>
      </c>
      <c r="G138" s="139" t="s">
        <v>4</v>
      </c>
      <c r="H138" s="139" t="n">
        <v>2</v>
      </c>
      <c r="I138" s="139" t="n">
        <v>1</v>
      </c>
      <c r="J138" s="17" t="n">
        <v>618.7</v>
      </c>
      <c r="K138" s="17" t="n">
        <v>460.5</v>
      </c>
      <c r="L138" s="17" t="n">
        <v>0</v>
      </c>
      <c r="M138" s="140" t="n">
        <v>45</v>
      </c>
      <c r="N138" s="16" t="n">
        <f aca="false" ca="false" dt2D="false" dtr="false" t="normal">SUM(P138:T138)</f>
        <v>2408460.1</v>
      </c>
      <c r="O138" s="17" t="n"/>
      <c r="P138" s="17" t="n">
        <v>705615.64</v>
      </c>
      <c r="Q138" s="18" t="n"/>
      <c r="R138" s="18" t="n">
        <v>252901.75</v>
      </c>
      <c r="S138" s="18" t="n">
        <v>1449942.71</v>
      </c>
      <c r="T138" s="18" t="n"/>
      <c r="U138" s="17" t="n">
        <v>5423.60798645429</v>
      </c>
      <c r="V138" s="17" t="n">
        <v>5423.60798645429</v>
      </c>
      <c r="W138" s="21" t="n">
        <v>2022</v>
      </c>
      <c r="X138" s="1" t="n">
        <v>205930.75</v>
      </c>
      <c r="Y138" s="3" t="n">
        <f aca="false" ca="false" dt2D="false" dtr="false" t="normal">+(K138*10+L138*20)*12*0.85</f>
        <v>46971</v>
      </c>
      <c r="Z138" s="3" t="n">
        <f aca="false" ca="false" dt2D="false" dtr="false" t="normal">+(K138*10+L138*20)*12*30-133800.13</f>
        <v>1523999.87</v>
      </c>
      <c r="AB138" s="23" t="n">
        <f aca="false" ca="true" dt2D="false" dtr="false" t="normal">SUBTOTAL(9, AC138:AQ138)</f>
        <v>2408460.1</v>
      </c>
      <c r="AC138" s="17" t="n">
        <v>0</v>
      </c>
      <c r="AD138" s="17" t="n"/>
      <c r="AE138" s="195" t="n"/>
      <c r="AF138" s="17" t="n"/>
      <c r="AG138" s="17" t="n">
        <v>0</v>
      </c>
      <c r="AH138" s="17" t="n"/>
      <c r="AI138" s="17" t="n"/>
      <c r="AJ138" s="17" t="n">
        <v>0</v>
      </c>
      <c r="AK138" s="17" t="n">
        <v>2408460.1</v>
      </c>
      <c r="AL138" s="17" t="n">
        <v>0</v>
      </c>
      <c r="AM138" s="17" t="n">
        <v>0</v>
      </c>
      <c r="AN138" s="17" t="n">
        <v>0</v>
      </c>
      <c r="AO138" s="17" t="n"/>
      <c r="AP138" s="18" t="n"/>
      <c r="AQ138" s="24" t="n"/>
      <c r="AR138" s="3" t="n">
        <f aca="false" ca="false" dt2D="false" dtr="false" t="normal">N138-AB138</f>
        <v>0</v>
      </c>
    </row>
    <row outlineLevel="0" r="139">
      <c r="A139" s="154" t="n">
        <f aca="false" ca="false" dt2D="false" dtr="false" t="normal">+A138+1</f>
        <v>122</v>
      </c>
      <c r="B139" s="138" t="n">
        <f aca="false" ca="false" dt2D="false" dtr="false" t="normal">+B138+1</f>
        <v>122</v>
      </c>
      <c r="C139" s="138" t="s">
        <v>42</v>
      </c>
      <c r="D139" s="138" t="s">
        <v>341</v>
      </c>
      <c r="E139" s="139" t="n">
        <v>1983</v>
      </c>
      <c r="F139" s="139" t="n">
        <v>1983</v>
      </c>
      <c r="G139" s="139" t="s">
        <v>4</v>
      </c>
      <c r="H139" s="139" t="n">
        <v>2</v>
      </c>
      <c r="I139" s="139" t="n">
        <v>2</v>
      </c>
      <c r="J139" s="17" t="n">
        <v>910.77</v>
      </c>
      <c r="K139" s="17" t="n">
        <v>841.26</v>
      </c>
      <c r="L139" s="17" t="n">
        <v>0</v>
      </c>
      <c r="M139" s="140" t="n">
        <v>34</v>
      </c>
      <c r="N139" s="16" t="n">
        <f aca="false" ca="false" dt2D="false" dtr="false" t="normal">SUM(P139:T139)</f>
        <v>918312.05</v>
      </c>
      <c r="O139" s="17" t="n"/>
      <c r="P139" s="19" t="n"/>
      <c r="Q139" s="18" t="n"/>
      <c r="R139" s="18" t="n">
        <v>393318.14</v>
      </c>
      <c r="S139" s="18" t="n">
        <v>524993.91</v>
      </c>
      <c r="T139" s="17" t="n"/>
      <c r="U139" s="18" t="n">
        <v>1162.53874170532</v>
      </c>
      <c r="V139" s="18" t="n">
        <v>1162.53874170532</v>
      </c>
      <c r="W139" s="21" t="n">
        <v>2022</v>
      </c>
      <c r="X139" s="1" t="n">
        <f aca="false" ca="false" dt2D="false" dtr="false" t="normal">380898.3-73388.68</f>
        <v>307509.62</v>
      </c>
      <c r="Y139" s="3" t="n">
        <f aca="false" ca="false" dt2D="false" dtr="false" t="normal">+(K139*10+L139*20)*12*0.85</f>
        <v>85808.52</v>
      </c>
      <c r="Z139" s="3" t="n">
        <f aca="false" ca="false" dt2D="false" dtr="false" t="normal">+(K139*10+L139*20)*12*30-439562.52</f>
        <v>2588973.4800000004</v>
      </c>
      <c r="AB139" s="23" t="n">
        <f aca="false" ca="true" dt2D="false" dtr="false" t="normal">SUBTOTAL(9, AC139:AQ139)</f>
        <v>918312.05</v>
      </c>
      <c r="AC139" s="17" t="n">
        <v>918312.05</v>
      </c>
      <c r="AD139" s="17" t="n"/>
      <c r="AE139" s="195" t="n"/>
      <c r="AF139" s="17" t="n"/>
      <c r="AG139" s="17" t="n">
        <v>0</v>
      </c>
      <c r="AH139" s="17" t="n"/>
      <c r="AI139" s="17" t="n"/>
      <c r="AJ139" s="17" t="n">
        <v>0</v>
      </c>
      <c r="AK139" s="17" t="n">
        <v>0</v>
      </c>
      <c r="AL139" s="17" t="n">
        <v>0</v>
      </c>
      <c r="AM139" s="17" t="n">
        <v>0</v>
      </c>
      <c r="AN139" s="17" t="n">
        <v>0</v>
      </c>
      <c r="AO139" s="17" t="n"/>
      <c r="AP139" s="18" t="n"/>
      <c r="AQ139" s="24" t="n"/>
      <c r="AR139" s="3" t="n">
        <f aca="false" ca="false" dt2D="false" dtr="false" t="normal">N139-AB139</f>
        <v>0</v>
      </c>
    </row>
    <row outlineLevel="0" r="140">
      <c r="A140" s="154" t="n">
        <f aca="false" ca="false" dt2D="false" dtr="false" t="normal">+A139+1</f>
        <v>123</v>
      </c>
      <c r="B140" s="138" t="n">
        <f aca="false" ca="false" dt2D="false" dtr="false" t="normal">+B139+1</f>
        <v>123</v>
      </c>
      <c r="C140" s="138" t="s">
        <v>68</v>
      </c>
      <c r="D140" s="138" t="s">
        <v>77</v>
      </c>
      <c r="E140" s="139" t="n">
        <v>1976</v>
      </c>
      <c r="F140" s="139" t="n">
        <v>2008</v>
      </c>
      <c r="G140" s="139" t="s">
        <v>4</v>
      </c>
      <c r="H140" s="139" t="n">
        <v>4</v>
      </c>
      <c r="I140" s="139" t="n">
        <v>4</v>
      </c>
      <c r="J140" s="17" t="n">
        <v>4257.32</v>
      </c>
      <c r="K140" s="17" t="n">
        <v>3128.38</v>
      </c>
      <c r="L140" s="17" t="n">
        <v>991.08</v>
      </c>
      <c r="M140" s="140" t="n">
        <v>124</v>
      </c>
      <c r="N140" s="16" t="n">
        <f aca="false" ca="false" dt2D="false" dtr="false" t="normal">SUM(P140:T140)</f>
        <v>5233450.9559</v>
      </c>
      <c r="O140" s="17" t="n"/>
      <c r="P140" s="18" t="n"/>
      <c r="Q140" s="18" t="n"/>
      <c r="R140" s="18" t="n">
        <v>1333462.67</v>
      </c>
      <c r="S140" s="18" t="n">
        <v>3899988.2859</v>
      </c>
      <c r="T140" s="17" t="n"/>
      <c r="U140" s="18" t="n">
        <v>1329.07443314991</v>
      </c>
      <c r="V140" s="18" t="n">
        <v>1329.07443314991</v>
      </c>
      <c r="W140" s="21" t="n">
        <v>2022</v>
      </c>
      <c r="X140" s="1" t="n">
        <f aca="false" ca="false" dt2D="false" dtr="false" t="normal">1377282.4-565094.81</f>
        <v>812187.5899999999</v>
      </c>
      <c r="Y140" s="3" t="n">
        <f aca="false" ca="false" dt2D="false" dtr="false" t="normal">+(K140*10+L140*20)*12*0.85</f>
        <v>521275.08</v>
      </c>
      <c r="Z140" s="3" t="n">
        <f aca="false" ca="false" dt2D="false" dtr="false" t="normal">+(K140*10+L140*20)*12*30-180969.62</f>
        <v>18216974.38</v>
      </c>
      <c r="AB140" s="23" t="n">
        <f aca="false" ca="true" dt2D="false" dtr="false" t="normal">SUBTOTAL(9, AC140:AQ140)</f>
        <v>5233450.9559</v>
      </c>
      <c r="AC140" s="17" t="n"/>
      <c r="AD140" s="17" t="n"/>
      <c r="AE140" s="195" t="n">
        <v>0</v>
      </c>
      <c r="AF140" s="17" t="n"/>
      <c r="AG140" s="17" t="n"/>
      <c r="AH140" s="17" t="n"/>
      <c r="AI140" s="17" t="n"/>
      <c r="AJ140" s="17" t="n">
        <v>0</v>
      </c>
      <c r="AK140" s="17" t="n">
        <v>0</v>
      </c>
      <c r="AM140" s="17" t="n">
        <v>0</v>
      </c>
      <c r="AN140" s="17" t="n">
        <v>3924912.66</v>
      </c>
      <c r="AO140" s="17" t="n">
        <v>1200305.659</v>
      </c>
      <c r="AP140" s="18" t="n">
        <v>108232.6369</v>
      </c>
      <c r="AQ140" s="24" t="n"/>
      <c r="AR140" s="3" t="n">
        <f aca="false" ca="false" dt2D="false" dtr="false" t="normal">N140-AB140</f>
        <v>0</v>
      </c>
    </row>
    <row outlineLevel="0" r="141">
      <c r="A141" s="154" t="n">
        <f aca="false" ca="false" dt2D="false" dtr="false" t="normal">+A140+1</f>
        <v>124</v>
      </c>
      <c r="B141" s="138" t="n">
        <f aca="false" ca="false" dt2D="false" dtr="false" t="normal">+B140+1</f>
        <v>124</v>
      </c>
      <c r="C141" s="138" t="s">
        <v>68</v>
      </c>
      <c r="D141" s="138" t="s">
        <v>69</v>
      </c>
      <c r="E141" s="139" t="n">
        <v>1964</v>
      </c>
      <c r="F141" s="139" t="n">
        <v>1964</v>
      </c>
      <c r="G141" s="139" t="s">
        <v>4</v>
      </c>
      <c r="H141" s="139" t="n">
        <v>2</v>
      </c>
      <c r="I141" s="139" t="n">
        <v>2</v>
      </c>
      <c r="J141" s="17" t="n">
        <v>816.77</v>
      </c>
      <c r="K141" s="17" t="n">
        <v>598.05</v>
      </c>
      <c r="L141" s="17" t="n">
        <v>218.72</v>
      </c>
      <c r="M141" s="140" t="n">
        <v>23</v>
      </c>
      <c r="N141" s="16" t="n">
        <f aca="false" ca="false" dt2D="false" dtr="false" t="normal">SUM(P141:T141)</f>
        <v>5139530.48</v>
      </c>
      <c r="O141" s="17" t="n"/>
      <c r="P141" s="19" t="n"/>
      <c r="Q141" s="18" t="n"/>
      <c r="R141" s="18" t="n">
        <v>229835.72</v>
      </c>
      <c r="S141" s="18" t="n">
        <v>3698306.28</v>
      </c>
      <c r="T141" s="17" t="n">
        <v>1211388.48</v>
      </c>
      <c r="U141" s="18" t="n">
        <v>6451.42119685591</v>
      </c>
      <c r="V141" s="18" t="n">
        <v>6451.42119685591</v>
      </c>
      <c r="W141" s="21" t="n">
        <v>2022</v>
      </c>
      <c r="X141" s="1" t="n">
        <f aca="false" ca="false" dt2D="false" dtr="false" t="normal">223283.02-99067.28</f>
        <v>124215.73999999999</v>
      </c>
      <c r="Y141" s="3" t="n">
        <f aca="false" ca="false" dt2D="false" dtr="false" t="normal">+(K141*10+L141*20)*12*0.85</f>
        <v>105619.97999999998</v>
      </c>
      <c r="Z141" s="3" t="n">
        <f aca="false" ca="false" dt2D="false" dtr="false" t="normal">+(K141*10+L141*20)*12*30-29457.72</f>
        <v>3698306.2799999993</v>
      </c>
      <c r="AB141" s="23" t="n">
        <f aca="false" ca="true" dt2D="false" dtr="false" t="normal">SUBTOTAL(9, AC141:AQ141)</f>
        <v>5139530.48</v>
      </c>
      <c r="AC141" s="17" t="n">
        <v>0</v>
      </c>
      <c r="AD141" s="17" t="n"/>
      <c r="AE141" s="195" t="n"/>
      <c r="AF141" s="17" t="n"/>
      <c r="AG141" s="17" t="n">
        <v>0</v>
      </c>
      <c r="AH141" s="17" t="n"/>
      <c r="AI141" s="17" t="n"/>
      <c r="AJ141" s="17" t="n">
        <v>0</v>
      </c>
      <c r="AK141" s="17" t="n">
        <v>4903240.65</v>
      </c>
      <c r="AL141" s="17" t="n">
        <v>0</v>
      </c>
      <c r="AM141" s="17" t="n">
        <v>0</v>
      </c>
      <c r="AN141" s="17" t="n">
        <v>0</v>
      </c>
      <c r="AO141" s="17" t="n">
        <v>229623.17</v>
      </c>
      <c r="AP141" s="18" t="n">
        <v>6666.66</v>
      </c>
      <c r="AQ141" s="24" t="n"/>
      <c r="AR141" s="3" t="n">
        <f aca="false" ca="false" dt2D="false" dtr="false" t="normal">N141-AB141</f>
        <v>0</v>
      </c>
    </row>
    <row outlineLevel="0" r="142">
      <c r="A142" s="154" t="n">
        <f aca="false" ca="false" dt2D="false" dtr="false" t="normal">+A141+1</f>
        <v>125</v>
      </c>
      <c r="B142" s="138" t="n">
        <f aca="false" ca="false" dt2D="false" dtr="false" t="normal">+B141+1</f>
        <v>125</v>
      </c>
      <c r="C142" s="138" t="s">
        <v>68</v>
      </c>
      <c r="D142" s="138" t="s">
        <v>78</v>
      </c>
      <c r="E142" s="139" t="n">
        <v>1975</v>
      </c>
      <c r="F142" s="139" t="n">
        <v>2008</v>
      </c>
      <c r="G142" s="139" t="s">
        <v>4</v>
      </c>
      <c r="H142" s="139" t="n">
        <v>4</v>
      </c>
      <c r="I142" s="139" t="n">
        <v>4</v>
      </c>
      <c r="J142" s="17" t="n">
        <v>4182.96</v>
      </c>
      <c r="K142" s="17" t="n">
        <v>3048.03</v>
      </c>
      <c r="L142" s="17" t="n">
        <v>978.37</v>
      </c>
      <c r="M142" s="140" t="n">
        <v>135</v>
      </c>
      <c r="N142" s="16" t="n">
        <f aca="false" ca="false" dt2D="false" dtr="false" t="normal">SUM(P142:T142)</f>
        <v>4936660.8187</v>
      </c>
      <c r="O142" s="17" t="n"/>
      <c r="P142" s="18" t="n"/>
      <c r="Q142" s="18" t="n"/>
      <c r="R142" s="18" t="n">
        <v>1566212.36</v>
      </c>
      <c r="S142" s="18" t="n">
        <v>3370448.4587</v>
      </c>
      <c r="T142" s="17" t="n"/>
      <c r="U142" s="18" t="n">
        <v>1297.54565584389</v>
      </c>
      <c r="V142" s="18" t="n">
        <v>1297.54565584389</v>
      </c>
      <c r="W142" s="21" t="n">
        <v>2022</v>
      </c>
      <c r="X142" s="1" t="n">
        <f aca="false" ca="false" dt2D="false" dtr="false" t="normal">1500891.17-445165.35</f>
        <v>1055725.8199999998</v>
      </c>
      <c r="Y142" s="3" t="n">
        <f aca="false" ca="false" dt2D="false" dtr="false" t="normal">+(K142*10+L142*20)*12*0.85</f>
        <v>510486.54</v>
      </c>
      <c r="Z142" s="3" t="n">
        <f aca="false" ca="false" dt2D="false" dtr="false" t="normal">+(K142*10+L142*20)*12*30-179374.89</f>
        <v>17837797.11</v>
      </c>
      <c r="AB142" s="23" t="n">
        <f aca="false" ca="true" dt2D="false" dtr="false" t="normal">SUBTOTAL(9, AC142:AQ142)</f>
        <v>4936660.8187</v>
      </c>
      <c r="AC142" s="17" t="n"/>
      <c r="AD142" s="17" t="n"/>
      <c r="AE142" s="195" t="n"/>
      <c r="AF142" s="17" t="n"/>
      <c r="AG142" s="17" t="n"/>
      <c r="AH142" s="17" t="n"/>
      <c r="AI142" s="17" t="n"/>
      <c r="AJ142" s="17" t="n">
        <v>0</v>
      </c>
      <c r="AK142" s="17" t="n">
        <v>0</v>
      </c>
      <c r="AM142" s="17" t="n">
        <v>0</v>
      </c>
      <c r="AN142" s="17" t="n">
        <v>3209479.43</v>
      </c>
      <c r="AO142" s="17" t="n">
        <v>1575434.3365</v>
      </c>
      <c r="AP142" s="18" t="n">
        <v>151747.0522</v>
      </c>
      <c r="AQ142" s="24" t="n"/>
      <c r="AR142" s="3" t="n">
        <f aca="false" ca="false" dt2D="false" dtr="false" t="normal">N142-AB142</f>
        <v>0</v>
      </c>
    </row>
    <row outlineLevel="0" r="143">
      <c r="A143" s="154" t="n">
        <f aca="false" ca="false" dt2D="false" dtr="false" t="normal">+A142+1</f>
        <v>126</v>
      </c>
      <c r="B143" s="138" t="n">
        <f aca="false" ca="false" dt2D="false" dtr="false" t="normal">+B142+1</f>
        <v>126</v>
      </c>
      <c r="C143" s="138" t="s">
        <v>68</v>
      </c>
      <c r="D143" s="138" t="s">
        <v>79</v>
      </c>
      <c r="E143" s="139" t="n">
        <v>1978</v>
      </c>
      <c r="F143" s="139" t="n">
        <v>2007</v>
      </c>
      <c r="G143" s="139" t="s">
        <v>4</v>
      </c>
      <c r="H143" s="139" t="n">
        <v>4</v>
      </c>
      <c r="I143" s="139" t="n">
        <v>4</v>
      </c>
      <c r="J143" s="17" t="n">
        <v>3576.31</v>
      </c>
      <c r="K143" s="17" t="n">
        <v>2733.31</v>
      </c>
      <c r="L143" s="17" t="n">
        <v>843</v>
      </c>
      <c r="M143" s="140" t="n">
        <v>110</v>
      </c>
      <c r="N143" s="16" t="n">
        <f aca="false" ca="false" dt2D="false" dtr="false" t="normal">SUM(P143:T143)</f>
        <v>5491535.523</v>
      </c>
      <c r="O143" s="17" t="n"/>
      <c r="P143" s="18" t="n"/>
      <c r="Q143" s="18" t="n"/>
      <c r="R143" s="18" t="n">
        <v>1244325.77</v>
      </c>
      <c r="S143" s="18" t="n">
        <v>4247209.753</v>
      </c>
      <c r="T143" s="17" t="n"/>
      <c r="U143" s="18" t="n">
        <v>1593.78386329647</v>
      </c>
      <c r="V143" s="18" t="n">
        <v>1593.78386329647</v>
      </c>
      <c r="W143" s="21" t="n">
        <v>2022</v>
      </c>
      <c r="X143" s="1" t="n">
        <f aca="false" ca="false" dt2D="false" dtr="false" t="normal">1278728.82-485172.67</f>
        <v>793556.1500000001</v>
      </c>
      <c r="Y143" s="3" t="n">
        <f aca="false" ca="false" dt2D="false" dtr="false" t="normal">+(K143*10+L143*20)*12*0.85</f>
        <v>450769.61999999994</v>
      </c>
      <c r="Z143" s="3" t="n">
        <f aca="false" ca="false" dt2D="false" dtr="false" t="normal">+(K143*10+L143*20)*12*30-175262.76</f>
        <v>15734253.239999998</v>
      </c>
      <c r="AB143" s="23" t="n">
        <f aca="false" ca="true" dt2D="false" dtr="false" t="normal">SUBTOTAL(9, AC143:AQ143)</f>
        <v>5491535.523</v>
      </c>
      <c r="AC143" s="17" t="n"/>
      <c r="AD143" s="17" t="n"/>
      <c r="AE143" s="195" t="n"/>
      <c r="AF143" s="17" t="n"/>
      <c r="AG143" s="17" t="n"/>
      <c r="AH143" s="17" t="n"/>
      <c r="AI143" s="17" t="n"/>
      <c r="AJ143" s="17" t="n">
        <v>0</v>
      </c>
      <c r="AK143" s="17" t="n">
        <v>0</v>
      </c>
      <c r="AM143" s="17" t="n">
        <v>0</v>
      </c>
      <c r="AN143" s="17" t="n">
        <v>4230200.7</v>
      </c>
      <c r="AO143" s="17" t="n">
        <v>1151371.1733</v>
      </c>
      <c r="AP143" s="18" t="n">
        <v>109963.6497</v>
      </c>
      <c r="AQ143" s="24" t="n"/>
      <c r="AR143" s="3" t="n">
        <f aca="false" ca="false" dt2D="false" dtr="false" t="normal">N143-AB143</f>
        <v>0</v>
      </c>
    </row>
    <row outlineLevel="0" r="144">
      <c r="A144" s="154" t="n">
        <f aca="false" ca="false" dt2D="false" dtr="false" t="normal">+A143+1</f>
        <v>127</v>
      </c>
      <c r="B144" s="138" t="n">
        <f aca="false" ca="false" dt2D="false" dtr="false" t="normal">+B143+1</f>
        <v>127</v>
      </c>
      <c r="C144" s="138" t="s">
        <v>68</v>
      </c>
      <c r="D144" s="138" t="s">
        <v>70</v>
      </c>
      <c r="E144" s="139" t="n">
        <v>1964</v>
      </c>
      <c r="F144" s="139" t="n">
        <v>1964</v>
      </c>
      <c r="G144" s="139" t="s">
        <v>4</v>
      </c>
      <c r="H144" s="139" t="n">
        <v>2</v>
      </c>
      <c r="I144" s="139" t="n">
        <v>2</v>
      </c>
      <c r="J144" s="17" t="n">
        <v>868.87</v>
      </c>
      <c r="K144" s="17" t="n">
        <v>613.56</v>
      </c>
      <c r="L144" s="17" t="n">
        <v>255.31</v>
      </c>
      <c r="M144" s="140" t="n">
        <v>26</v>
      </c>
      <c r="N144" s="16" t="n">
        <f aca="false" ca="false" dt2D="false" dtr="false" t="normal">SUM(P144:T144)</f>
        <v>5720057.600000001</v>
      </c>
      <c r="O144" s="17" t="n"/>
      <c r="P144" s="19" t="n"/>
      <c r="Q144" s="18" t="n"/>
      <c r="R144" s="18" t="n">
        <v>292223.85</v>
      </c>
      <c r="S144" s="18" t="n">
        <v>4017523.14</v>
      </c>
      <c r="T144" s="17" t="n">
        <v>1410310.61</v>
      </c>
      <c r="U144" s="18" t="n">
        <v>6737.73061153222</v>
      </c>
      <c r="V144" s="18" t="n">
        <v>6737.73061153222</v>
      </c>
      <c r="W144" s="21" t="n">
        <v>2022</v>
      </c>
      <c r="X144" s="1" t="n">
        <f aca="false" ca="false" dt2D="false" dtr="false" t="normal">278417.8-100860.31</f>
        <v>177557.49</v>
      </c>
      <c r="Y144" s="3" t="n">
        <f aca="false" ca="false" dt2D="false" dtr="false" t="normal">+(K144*10+L144*20)*12*0.85</f>
        <v>114666.35999999997</v>
      </c>
      <c r="Z144" s="3" t="n">
        <f aca="false" ca="false" dt2D="false" dtr="false" t="normal">+(K144*10+L144*20)*12*30-29524.86</f>
        <v>4017523.139999999</v>
      </c>
      <c r="AB144" s="23" t="n">
        <f aca="false" ca="true" dt2D="false" dtr="false" t="normal">SUBTOTAL(9, AC144:AQ144)</f>
        <v>5720057.6</v>
      </c>
      <c r="AC144" s="17" t="n">
        <v>0</v>
      </c>
      <c r="AD144" s="17" t="n"/>
      <c r="AE144" s="195" t="n"/>
      <c r="AF144" s="17" t="n"/>
      <c r="AG144" s="17" t="n">
        <v>0</v>
      </c>
      <c r="AH144" s="17" t="n"/>
      <c r="AI144" s="17" t="n"/>
      <c r="AJ144" s="17" t="n">
        <v>0</v>
      </c>
      <c r="AK144" s="17" t="n">
        <v>5484086.39</v>
      </c>
      <c r="AL144" s="17" t="n">
        <v>0</v>
      </c>
      <c r="AM144" s="17" t="n">
        <v>0</v>
      </c>
      <c r="AN144" s="17" t="n">
        <v>0</v>
      </c>
      <c r="AO144" s="17" t="n">
        <v>229304.55</v>
      </c>
      <c r="AP144" s="18" t="n">
        <v>6666.66</v>
      </c>
      <c r="AQ144" s="24" t="n"/>
      <c r="AR144" s="3" t="n">
        <f aca="false" ca="false" dt2D="false" dtr="false" t="normal">N144-AB144</f>
        <v>0</v>
      </c>
    </row>
    <row outlineLevel="0" r="145">
      <c r="A145" s="154" t="n">
        <f aca="false" ca="false" dt2D="false" dtr="false" t="normal">+A144+1</f>
        <v>128</v>
      </c>
      <c r="B145" s="138" t="n">
        <f aca="false" ca="false" dt2D="false" dtr="false" t="normal">+B144+1</f>
        <v>128</v>
      </c>
      <c r="C145" s="138" t="s">
        <v>350</v>
      </c>
      <c r="D145" s="138" t="s">
        <v>351</v>
      </c>
      <c r="E145" s="139" t="n">
        <v>1977</v>
      </c>
      <c r="F145" s="139" t="n">
        <v>1977</v>
      </c>
      <c r="G145" s="139" t="s">
        <v>4</v>
      </c>
      <c r="H145" s="139" t="n">
        <v>5</v>
      </c>
      <c r="I145" s="139" t="n">
        <v>1</v>
      </c>
      <c r="J145" s="17" t="n">
        <v>1730.3</v>
      </c>
      <c r="K145" s="17" t="n">
        <v>1456.4</v>
      </c>
      <c r="L145" s="17" t="n">
        <v>0</v>
      </c>
      <c r="M145" s="140" t="n">
        <v>49</v>
      </c>
      <c r="N145" s="16" t="n">
        <f aca="false" ca="false" dt2D="false" dtr="false" t="normal">SUM(P145:T145)</f>
        <v>6702155.609999999</v>
      </c>
      <c r="O145" s="17" t="n"/>
      <c r="P145" s="18" t="n">
        <v>543550.55</v>
      </c>
      <c r="Q145" s="18" t="n"/>
      <c r="R145" s="18" t="n">
        <v>737257.37</v>
      </c>
      <c r="S145" s="18" t="n">
        <v>1453245.72</v>
      </c>
      <c r="T145" s="17" t="n">
        <v>3968101.97</v>
      </c>
      <c r="U145" s="18" t="n">
        <v>5039.30974837407</v>
      </c>
      <c r="V145" s="18" t="n">
        <v>5039.30974837407</v>
      </c>
      <c r="W145" s="21" t="n">
        <v>2022</v>
      </c>
      <c r="X145" s="1" t="n">
        <v>590020.37</v>
      </c>
      <c r="Y145" s="3" t="n">
        <f aca="false" ca="false" dt2D="false" dtr="false" t="normal">+(K145*10+L145*20)*12*0.85</f>
        <v>148552.8</v>
      </c>
      <c r="Z145" s="3" t="n">
        <f aca="false" ca="false" dt2D="false" dtr="false" t="normal">+(K145*10+L145*20)*12*30</f>
        <v>5243040</v>
      </c>
      <c r="AB145" s="23" t="n">
        <f aca="false" ca="true" dt2D="false" dtr="false" t="normal">SUBTOTAL(9, AC145:AQ145)</f>
        <v>6702155.61</v>
      </c>
      <c r="AE145" s="201" t="n"/>
      <c r="AG145" s="17" t="n">
        <v>0</v>
      </c>
      <c r="AH145" s="17" t="n"/>
      <c r="AI145" s="17" t="n"/>
      <c r="AJ145" s="17" t="n">
        <v>0</v>
      </c>
      <c r="AK145" s="17" t="n">
        <v>6665001.53</v>
      </c>
      <c r="AL145" s="17" t="n">
        <v>0</v>
      </c>
      <c r="AM145" s="17" t="n"/>
      <c r="AN145" s="17" t="n"/>
      <c r="AO145" s="17" t="n"/>
      <c r="AP145" s="18" t="n"/>
      <c r="AQ145" s="156" t="n">
        <v>37154.08</v>
      </c>
      <c r="AR145" s="3" t="n">
        <f aca="false" ca="false" dt2D="false" dtr="false" t="normal">N145-AB145</f>
        <v>0</v>
      </c>
    </row>
    <row outlineLevel="0" r="146">
      <c r="A146" s="154" t="n">
        <f aca="false" ca="false" dt2D="false" dtr="false" t="normal">+A145+1</f>
        <v>129</v>
      </c>
      <c r="B146" s="138" t="n">
        <f aca="false" ca="false" dt2D="false" dtr="false" t="normal">+B145+1</f>
        <v>129</v>
      </c>
      <c r="C146" s="138" t="s">
        <v>90</v>
      </c>
      <c r="D146" s="138" t="s">
        <v>354</v>
      </c>
      <c r="E146" s="139" t="n">
        <v>1984</v>
      </c>
      <c r="F146" s="139" t="n">
        <v>1984</v>
      </c>
      <c r="G146" s="139" t="s">
        <v>4</v>
      </c>
      <c r="H146" s="139" t="n">
        <v>5</v>
      </c>
      <c r="I146" s="139" t="n">
        <v>4</v>
      </c>
      <c r="J146" s="17" t="n">
        <v>3359.4</v>
      </c>
      <c r="K146" s="17" t="n">
        <v>2391.8</v>
      </c>
      <c r="L146" s="17" t="n">
        <v>553.2</v>
      </c>
      <c r="M146" s="140" t="n">
        <v>62</v>
      </c>
      <c r="N146" s="16" t="n">
        <f aca="false" ca="false" dt2D="false" dtr="false" t="normal">SUM(P146:T146)</f>
        <v>7493912.149999999</v>
      </c>
      <c r="O146" s="17" t="n"/>
      <c r="P146" s="18" t="n"/>
      <c r="Q146" s="18" t="n"/>
      <c r="R146" s="18" t="n">
        <v>492779.18</v>
      </c>
      <c r="S146" s="18" t="n">
        <v>5673883.8</v>
      </c>
      <c r="T146" s="17" t="n">
        <v>1327249.17</v>
      </c>
      <c r="U146" s="18" t="n">
        <v>2574.38947368421</v>
      </c>
      <c r="V146" s="18" t="n">
        <v>2574.38947368421</v>
      </c>
      <c r="W146" s="21" t="n">
        <v>2022</v>
      </c>
      <c r="X146" s="1" t="n">
        <v>1110865.63</v>
      </c>
      <c r="Y146" s="3" t="n">
        <f aca="false" ca="false" dt2D="false" dtr="false" t="normal">+(K146*10+L146*20)*12*0.85</f>
        <v>356816.39999999997</v>
      </c>
      <c r="Z146" s="3" t="n">
        <f aca="false" ca="false" dt2D="false" dtr="false" t="normal">+(K146*10+L146*20)*12*30-3112059.45</f>
        <v>9481460.55</v>
      </c>
      <c r="AB146" s="23" t="n">
        <f aca="false" ca="true" dt2D="false" dtr="false" t="normal">SUBTOTAL(9, AC146:AQ146)</f>
        <v>7493912.15</v>
      </c>
      <c r="AC146" s="17" t="n">
        <v>5331233.07</v>
      </c>
      <c r="AD146" s="17" t="n"/>
      <c r="AE146" s="195" t="n"/>
      <c r="AF146" s="17" t="n">
        <v>2162679.08</v>
      </c>
      <c r="AG146" s="17" t="n">
        <v>0</v>
      </c>
      <c r="AH146" s="17" t="n"/>
      <c r="AI146" s="17" t="n"/>
      <c r="AJ146" s="17" t="n">
        <v>0</v>
      </c>
      <c r="AK146" s="17" t="n"/>
      <c r="AL146" s="17" t="n">
        <v>0</v>
      </c>
      <c r="AM146" s="17" t="n"/>
      <c r="AO146" s="17" t="n"/>
      <c r="AP146" s="17" t="n"/>
      <c r="AQ146" s="24" t="n"/>
      <c r="AR146" s="3" t="n">
        <f aca="false" ca="false" dt2D="false" dtr="false" t="normal">N146-AB146</f>
        <v>0</v>
      </c>
    </row>
    <row outlineLevel="0" r="147">
      <c r="A147" s="154" t="n">
        <f aca="false" ca="false" dt2D="false" dtr="false" t="normal">+A146+1</f>
        <v>130</v>
      </c>
      <c r="B147" s="138" t="n">
        <f aca="false" ca="false" dt2D="false" dtr="false" t="normal">+B146+1</f>
        <v>130</v>
      </c>
      <c r="C147" s="138" t="s">
        <v>90</v>
      </c>
      <c r="D147" s="138" t="s">
        <v>355</v>
      </c>
      <c r="E147" s="139" t="n">
        <v>1980</v>
      </c>
      <c r="F147" s="139" t="n">
        <v>2013</v>
      </c>
      <c r="G147" s="139" t="s">
        <v>4</v>
      </c>
      <c r="H147" s="139" t="n">
        <v>5</v>
      </c>
      <c r="I147" s="139" t="n">
        <v>4</v>
      </c>
      <c r="J147" s="17" t="n">
        <v>3517.3</v>
      </c>
      <c r="K147" s="17" t="n">
        <v>2413.5</v>
      </c>
      <c r="L147" s="17" t="n">
        <v>670.3</v>
      </c>
      <c r="M147" s="140" t="n">
        <v>55</v>
      </c>
      <c r="N147" s="16" t="n">
        <f aca="false" ca="false" dt2D="false" dtr="false" t="normal">SUM(P147:T147)</f>
        <v>12568038.82</v>
      </c>
      <c r="O147" s="17" t="n"/>
      <c r="P147" s="18" t="n">
        <v>3328292.21</v>
      </c>
      <c r="Q147" s="18" t="n"/>
      <c r="R147" s="18" t="n"/>
      <c r="S147" s="18" t="n">
        <v>9239746.61</v>
      </c>
      <c r="T147" s="18" t="n"/>
      <c r="U147" s="18" t="n">
        <v>4131.48279550625</v>
      </c>
      <c r="V147" s="18" t="n">
        <v>4131.48279550625</v>
      </c>
      <c r="W147" s="21" t="n">
        <v>2022</v>
      </c>
      <c r="X147" s="1" t="n">
        <v>1112557.28</v>
      </c>
      <c r="Y147" s="3" t="n">
        <f aca="false" ca="false" dt2D="false" dtr="false" t="normal">+(K147*10+L147*20)*12*0.85</f>
        <v>382918.2</v>
      </c>
      <c r="Z147" s="3" t="n">
        <f aca="false" ca="false" dt2D="false" dtr="false" t="normal">+(K147*10+L147*20)*12*30-2158139.11-363880.66</f>
        <v>10992740.23</v>
      </c>
      <c r="AB147" s="23" t="n">
        <f aca="false" ca="true" dt2D="false" dtr="false" t="normal">SUBTOTAL(9, AC147:AQ147)</f>
        <v>12568038.82</v>
      </c>
      <c r="AC147" s="17" t="n">
        <v>0</v>
      </c>
      <c r="AD147" s="17" t="n">
        <v>0</v>
      </c>
      <c r="AE147" s="195" t="n"/>
      <c r="AF147" s="17" t="n">
        <v>0</v>
      </c>
      <c r="AG147" s="17" t="n">
        <v>0</v>
      </c>
      <c r="AH147" s="17" t="n"/>
      <c r="AI147" s="17" t="n"/>
      <c r="AJ147" s="17" t="n">
        <v>0</v>
      </c>
      <c r="AK147" s="17" t="n">
        <v>0</v>
      </c>
      <c r="AL147" s="17" t="n">
        <v>0</v>
      </c>
      <c r="AM147" s="17" t="n">
        <v>12568038.82</v>
      </c>
      <c r="AN147" s="17" t="n">
        <v>0</v>
      </c>
      <c r="AO147" s="17" t="n"/>
      <c r="AP147" s="18" t="n"/>
      <c r="AQ147" s="24" t="n"/>
      <c r="AR147" s="3" t="n">
        <f aca="false" ca="false" dt2D="false" dtr="false" t="normal">N147-AB147</f>
        <v>0</v>
      </c>
    </row>
    <row outlineLevel="0" r="148">
      <c r="A148" s="154" t="n">
        <f aca="false" ca="false" dt2D="false" dtr="false" t="normal">+A147+1</f>
        <v>131</v>
      </c>
      <c r="B148" s="138" t="n">
        <f aca="false" ca="false" dt2D="false" dtr="false" t="normal">+B147+1</f>
        <v>131</v>
      </c>
      <c r="C148" s="138" t="s">
        <v>356</v>
      </c>
      <c r="D148" s="138" t="s">
        <v>357</v>
      </c>
      <c r="E148" s="139" t="n">
        <v>1964</v>
      </c>
      <c r="F148" s="139" t="n">
        <v>1964</v>
      </c>
      <c r="G148" s="139" t="s">
        <v>4</v>
      </c>
      <c r="H148" s="139" t="n">
        <v>3</v>
      </c>
      <c r="I148" s="139" t="n">
        <v>3</v>
      </c>
      <c r="J148" s="17" t="n">
        <v>977.7</v>
      </c>
      <c r="K148" s="17" t="n">
        <v>824.1</v>
      </c>
      <c r="L148" s="17" t="n">
        <v>81.5</v>
      </c>
      <c r="M148" s="140" t="n">
        <v>40</v>
      </c>
      <c r="N148" s="16" t="n">
        <f aca="false" ca="false" dt2D="false" dtr="false" t="normal">SUM(P148:T148)</f>
        <v>275546.20999999996</v>
      </c>
      <c r="O148" s="17" t="n"/>
      <c r="P148" s="18" t="n"/>
      <c r="Q148" s="18" t="n"/>
      <c r="R148" s="18" t="n">
        <v>204954.46</v>
      </c>
      <c r="S148" s="18" t="n">
        <v>70591.75</v>
      </c>
      <c r="T148" s="17" t="n">
        <v>0</v>
      </c>
      <c r="U148" s="18" t="n">
        <v>304.269224823322</v>
      </c>
      <c r="V148" s="18" t="n">
        <v>304.269224823322</v>
      </c>
      <c r="W148" s="21" t="n">
        <v>2022</v>
      </c>
      <c r="X148" s="1" t="n">
        <f aca="false" ca="false" dt2D="false" dtr="false" t="normal">314113.02-85397.7</f>
        <v>228715.32</v>
      </c>
      <c r="Y148" s="3" t="n">
        <f aca="false" ca="false" dt2D="false" dtr="false" t="normal">+(K148*10+L148*20)*12*0.85</f>
        <v>100684.2</v>
      </c>
      <c r="Z148" s="3" t="n">
        <f aca="false" ca="false" dt2D="false" dtr="false" t="normal">+(K148*10+L148*20)*12*30</f>
        <v>3553560</v>
      </c>
      <c r="AB148" s="23" t="n">
        <f aca="false" ca="true" dt2D="false" dtr="false" t="normal">SUBTOTAL(9, AC148:AQ148)</f>
        <v>275546.21</v>
      </c>
      <c r="AC148" s="17" t="n">
        <v>0</v>
      </c>
      <c r="AD148" s="17" t="n">
        <v>0</v>
      </c>
      <c r="AE148" s="195" t="n">
        <v>0</v>
      </c>
      <c r="AF148" s="17" t="n">
        <v>0</v>
      </c>
      <c r="AG148" s="17" t="n">
        <v>0</v>
      </c>
      <c r="AH148" s="17" t="n"/>
      <c r="AI148" s="17" t="n"/>
      <c r="AJ148" s="17" t="n">
        <v>0</v>
      </c>
      <c r="AK148" s="17" t="n">
        <v>0</v>
      </c>
      <c r="AL148" s="17" t="n">
        <v>0</v>
      </c>
      <c r="AM148" s="17" t="n">
        <v>0</v>
      </c>
      <c r="AN148" s="17" t="n">
        <v>275546.21</v>
      </c>
      <c r="AO148" s="17" t="n"/>
      <c r="AP148" s="18" t="n"/>
      <c r="AQ148" s="191" t="n"/>
      <c r="AR148" s="3" t="n">
        <f aca="false" ca="false" dt2D="false" dtr="false" t="normal">N148-AB148</f>
        <v>0</v>
      </c>
    </row>
    <row outlineLevel="0" r="149">
      <c r="A149" s="154" t="n">
        <f aca="false" ca="false" dt2D="false" dtr="false" t="normal">+A148+1</f>
        <v>132</v>
      </c>
      <c r="B149" s="138" t="n">
        <f aca="false" ca="false" dt2D="false" dtr="false" t="normal">+B148+1</f>
        <v>132</v>
      </c>
      <c r="C149" s="138" t="s">
        <v>356</v>
      </c>
      <c r="D149" s="138" t="s">
        <v>359</v>
      </c>
      <c r="E149" s="139" t="n">
        <v>1973</v>
      </c>
      <c r="F149" s="139" t="n">
        <v>1973</v>
      </c>
      <c r="G149" s="139" t="s">
        <v>4</v>
      </c>
      <c r="H149" s="139" t="n">
        <v>4</v>
      </c>
      <c r="I149" s="139" t="n">
        <v>3</v>
      </c>
      <c r="J149" s="17" t="n">
        <v>1399</v>
      </c>
      <c r="K149" s="17" t="n">
        <v>1081.6</v>
      </c>
      <c r="L149" s="17" t="n">
        <v>197.9</v>
      </c>
      <c r="M149" s="140" t="n">
        <v>41</v>
      </c>
      <c r="N149" s="16" t="n">
        <f aca="false" ca="false" dt2D="false" dtr="false" t="normal">SUM(P149:T149)</f>
        <v>2485206.75</v>
      </c>
      <c r="O149" s="17" t="n"/>
      <c r="P149" s="18" t="n">
        <v>404178.6</v>
      </c>
      <c r="Q149" s="18" t="n"/>
      <c r="R149" s="18" t="n">
        <v>325425.82</v>
      </c>
      <c r="S149" s="18" t="n">
        <v>1755602.33</v>
      </c>
      <c r="T149" s="17" t="n">
        <v>0</v>
      </c>
      <c r="U149" s="18" t="n">
        <v>1942.3264947245</v>
      </c>
      <c r="V149" s="18" t="n">
        <v>1942.3264947245</v>
      </c>
      <c r="W149" s="21" t="n">
        <v>2022</v>
      </c>
      <c r="X149" s="1" t="n">
        <f aca="false" ca="false" dt2D="false" dtr="false" t="normal">414772.6-182047.66</f>
        <v>232724.93999999997</v>
      </c>
      <c r="Y149" s="3" t="n">
        <f aca="false" ca="false" dt2D="false" dtr="false" t="normal">+(K149*10+L149*20)*12*0.85</f>
        <v>150694.8</v>
      </c>
      <c r="Z149" s="3" t="n">
        <f aca="false" ca="false" dt2D="false" dtr="false" t="normal">+(K149*10+L149*20)*12*30</f>
        <v>5318640</v>
      </c>
      <c r="AB149" s="23" t="n">
        <f aca="false" ca="true" dt2D="false" dtr="false" t="normal">SUBTOTAL(9, AC149:AQ149)</f>
        <v>2485206.75</v>
      </c>
      <c r="AC149" s="17" t="n">
        <v>0</v>
      </c>
      <c r="AD149" s="17" t="n">
        <v>0</v>
      </c>
      <c r="AE149" s="195" t="n">
        <v>0</v>
      </c>
      <c r="AF149" s="17" t="n">
        <v>0</v>
      </c>
      <c r="AG149" s="17" t="n">
        <v>0</v>
      </c>
      <c r="AH149" s="17" t="n"/>
      <c r="AI149" s="17" t="n"/>
      <c r="AJ149" s="17" t="n">
        <v>0</v>
      </c>
      <c r="AK149" s="17" t="n">
        <v>1968122.34</v>
      </c>
      <c r="AL149" s="17" t="n">
        <v>0</v>
      </c>
      <c r="AM149" s="17" t="n">
        <v>0</v>
      </c>
      <c r="AN149" s="17" t="n">
        <v>517084.41</v>
      </c>
      <c r="AO149" s="17" t="n"/>
      <c r="AP149" s="18" t="n"/>
      <c r="AQ149" s="191" t="n"/>
      <c r="AR149" s="3" t="n">
        <f aca="false" ca="false" dt2D="false" dtr="false" t="normal">N149-AB149</f>
        <v>0</v>
      </c>
    </row>
    <row outlineLevel="0" r="150">
      <c r="A150" s="154" t="n">
        <f aca="false" ca="false" dt2D="false" dtr="false" t="normal">+A149+1</f>
        <v>133</v>
      </c>
      <c r="B150" s="138" t="n">
        <f aca="false" ca="false" dt2D="false" dtr="false" t="normal">+B149+1</f>
        <v>133</v>
      </c>
      <c r="C150" s="138" t="s">
        <v>356</v>
      </c>
      <c r="D150" s="138" t="s">
        <v>360</v>
      </c>
      <c r="E150" s="139" t="n">
        <v>1969</v>
      </c>
      <c r="F150" s="139" t="n">
        <v>1969</v>
      </c>
      <c r="G150" s="139" t="s">
        <v>4</v>
      </c>
      <c r="H150" s="139" t="n">
        <v>4</v>
      </c>
      <c r="I150" s="139" t="n">
        <v>4</v>
      </c>
      <c r="J150" s="17" t="n">
        <v>1301.1</v>
      </c>
      <c r="K150" s="17" t="n">
        <v>1206.1</v>
      </c>
      <c r="L150" s="17" t="n">
        <v>0</v>
      </c>
      <c r="M150" s="140" t="n">
        <v>55</v>
      </c>
      <c r="N150" s="16" t="n">
        <f aca="false" ca="false" dt2D="false" dtr="false" t="normal">SUM(P150:T150)</f>
        <v>942327.92</v>
      </c>
      <c r="O150" s="17" t="n"/>
      <c r="P150" s="18" t="n">
        <v>48024.16</v>
      </c>
      <c r="Q150" s="18" t="n"/>
      <c r="R150" s="18" t="n"/>
      <c r="S150" s="18" t="n">
        <v>894303.76</v>
      </c>
      <c r="T150" s="17" t="n"/>
      <c r="U150" s="18" t="n">
        <v>873.053325067573</v>
      </c>
      <c r="V150" s="18" t="n">
        <v>873.053325067573</v>
      </c>
      <c r="W150" s="21" t="n">
        <v>2022</v>
      </c>
      <c r="X150" s="1" t="n">
        <v>468456.03</v>
      </c>
      <c r="Y150" s="3" t="n">
        <f aca="false" ca="false" dt2D="false" dtr="false" t="normal">+(K150*10+L150*20)*12*0.85</f>
        <v>123022.2</v>
      </c>
      <c r="Z150" s="3" t="n">
        <f aca="false" ca="false" dt2D="false" dtr="false" t="normal">+(K150*10+L150*20)*12*30-171359.03</f>
        <v>4170600.97</v>
      </c>
      <c r="AB150" s="23" t="n">
        <f aca="false" ca="true" dt2D="false" dtr="false" t="normal">SUBTOTAL(9, AC150:AQ150)</f>
        <v>942327.92</v>
      </c>
      <c r="AC150" s="17" t="n"/>
      <c r="AD150" s="17" t="n">
        <v>624846.18</v>
      </c>
      <c r="AE150" s="195" t="n"/>
      <c r="AF150" s="17" t="n">
        <v>317481.74</v>
      </c>
      <c r="AG150" s="17" t="n">
        <v>0</v>
      </c>
      <c r="AH150" s="17" t="n"/>
      <c r="AI150" s="17" t="n"/>
      <c r="AJ150" s="17" t="n">
        <v>0</v>
      </c>
      <c r="AK150" s="17" t="n"/>
      <c r="AL150" s="17" t="n">
        <v>0</v>
      </c>
      <c r="AM150" s="17" t="n"/>
      <c r="AN150" s="17" t="n"/>
      <c r="AO150" s="17" t="n"/>
      <c r="AP150" s="18" t="n"/>
      <c r="AQ150" s="24" t="n"/>
      <c r="AR150" s="3" t="n">
        <f aca="false" ca="false" dt2D="false" dtr="false" t="normal">N150-AB150</f>
        <v>0</v>
      </c>
    </row>
    <row outlineLevel="0" r="151">
      <c r="A151" s="154" t="n">
        <f aca="false" ca="false" dt2D="false" dtr="false" t="normal">+A150+1</f>
        <v>134</v>
      </c>
      <c r="B151" s="138" t="n">
        <f aca="false" ca="false" dt2D="false" dtr="false" t="normal">+B150+1</f>
        <v>134</v>
      </c>
      <c r="C151" s="138" t="s">
        <v>356</v>
      </c>
      <c r="D151" s="138" t="s">
        <v>362</v>
      </c>
      <c r="E151" s="139" t="n">
        <v>1974</v>
      </c>
      <c r="F151" s="139" t="n">
        <v>1974</v>
      </c>
      <c r="G151" s="139" t="s">
        <v>4</v>
      </c>
      <c r="H151" s="139" t="n">
        <v>4</v>
      </c>
      <c r="I151" s="139" t="n">
        <v>3</v>
      </c>
      <c r="J151" s="17" t="n">
        <v>1380.9</v>
      </c>
      <c r="K151" s="17" t="n">
        <v>1261.1</v>
      </c>
      <c r="L151" s="17" t="n">
        <v>0</v>
      </c>
      <c r="M151" s="140" t="n">
        <v>43</v>
      </c>
      <c r="N151" s="16" t="n">
        <f aca="false" ca="false" dt2D="false" dtr="false" t="normal">SUM(P151:T151)</f>
        <v>1065818.07</v>
      </c>
      <c r="O151" s="17" t="n"/>
      <c r="P151" s="18" t="n"/>
      <c r="Q151" s="18" t="n"/>
      <c r="R151" s="18" t="n">
        <v>641924.76</v>
      </c>
      <c r="S151" s="18" t="n">
        <v>423893.31</v>
      </c>
      <c r="T151" s="17" t="n"/>
      <c r="U151" s="18" t="n">
        <v>1056.32756388737</v>
      </c>
      <c r="V151" s="18" t="n">
        <v>1056.32756388737</v>
      </c>
      <c r="W151" s="21" t="n">
        <v>2022</v>
      </c>
      <c r="X151" s="1" t="n">
        <v>513292.56</v>
      </c>
      <c r="Y151" s="3" t="n">
        <f aca="false" ca="false" dt2D="false" dtr="false" t="normal">+(K151*10+L151*20)*12*0.85</f>
        <v>128632.2</v>
      </c>
      <c r="Z151" s="3" t="n">
        <f aca="false" ca="false" dt2D="false" dtr="false" t="normal">+(K151*10+L151*20)*12*30</f>
        <v>4539960</v>
      </c>
      <c r="AB151" s="23" t="n">
        <f aca="false" ca="true" dt2D="false" dtr="false" t="normal">SUBTOTAL(9, AC151:AQ151)</f>
        <v>1065818.07</v>
      </c>
      <c r="AC151" s="17" t="n"/>
      <c r="AD151" s="17" t="n">
        <v>691727.99</v>
      </c>
      <c r="AE151" s="195" t="n"/>
      <c r="AF151" s="17" t="n">
        <v>374090.08</v>
      </c>
      <c r="AG151" s="17" t="n">
        <v>0</v>
      </c>
      <c r="AH151" s="17" t="n"/>
      <c r="AI151" s="17" t="n"/>
      <c r="AJ151" s="17" t="n">
        <v>0</v>
      </c>
      <c r="AK151" s="17" t="n"/>
      <c r="AL151" s="17" t="n"/>
      <c r="AM151" s="17" t="n"/>
      <c r="AO151" s="17" t="n"/>
      <c r="AP151" s="18" t="n"/>
      <c r="AQ151" s="24" t="n"/>
      <c r="AR151" s="3" t="n">
        <f aca="false" ca="false" dt2D="false" dtr="false" t="normal">N151-AB151</f>
        <v>0</v>
      </c>
    </row>
    <row outlineLevel="0" r="152">
      <c r="A152" s="154" t="n">
        <f aca="false" ca="false" dt2D="false" dtr="false" t="normal">+A151+1</f>
        <v>135</v>
      </c>
      <c r="B152" s="138" t="n">
        <f aca="false" ca="false" dt2D="false" dtr="false" t="normal">+B151+1</f>
        <v>135</v>
      </c>
      <c r="C152" s="138" t="s">
        <v>356</v>
      </c>
      <c r="D152" s="138" t="s">
        <v>364</v>
      </c>
      <c r="E152" s="139" t="n">
        <v>1962</v>
      </c>
      <c r="F152" s="139" t="n">
        <v>1962</v>
      </c>
      <c r="G152" s="139" t="s">
        <v>4</v>
      </c>
      <c r="H152" s="139" t="n">
        <v>3</v>
      </c>
      <c r="I152" s="139" t="n">
        <v>2</v>
      </c>
      <c r="J152" s="17" t="n">
        <v>937.1</v>
      </c>
      <c r="K152" s="17" t="n">
        <v>723.7</v>
      </c>
      <c r="L152" s="17" t="n">
        <v>213.4</v>
      </c>
      <c r="M152" s="140" t="n">
        <v>26</v>
      </c>
      <c r="N152" s="16" t="n">
        <f aca="false" ca="false" dt2D="false" dtr="false" t="normal">SUM(P152:T152)</f>
        <v>849666.3400000003</v>
      </c>
      <c r="O152" s="17" t="n"/>
      <c r="P152" s="18" t="n">
        <v>83339.0160512002</v>
      </c>
      <c r="Q152" s="18" t="n"/>
      <c r="R152" s="18" t="n">
        <v>193257.44</v>
      </c>
      <c r="S152" s="18" t="n">
        <v>573069.8839488</v>
      </c>
      <c r="T152" s="17" t="n"/>
      <c r="U152" s="18" t="n">
        <v>1247.02752987728</v>
      </c>
      <c r="V152" s="18" t="n">
        <v>1247.02752987728</v>
      </c>
      <c r="W152" s="21" t="n">
        <v>2022</v>
      </c>
      <c r="X152" s="1" t="n">
        <f aca="false" ca="false" dt2D="false" dtr="false" t="normal">294416.56-218510.12</f>
        <v>75906.44</v>
      </c>
      <c r="Y152" s="3" t="n">
        <f aca="false" ca="false" dt2D="false" dtr="false" t="normal">+(K152*10+L152*20)*12*0.85</f>
        <v>117351</v>
      </c>
      <c r="Z152" s="3" t="n">
        <f aca="false" ca="false" dt2D="false" dtr="false" t="normal">+(K152*10+L152*20)*12*30</f>
        <v>4141800</v>
      </c>
      <c r="AB152" s="23" t="n">
        <f aca="false" ca="true" dt2D="false" dtr="false" t="normal">SUBTOTAL(9, AC152:AQ152)</f>
        <v>849666.3400000001</v>
      </c>
      <c r="AC152" s="17" t="n"/>
      <c r="AD152" s="17" t="n">
        <v>552436.8</v>
      </c>
      <c r="AE152" s="195" t="n"/>
      <c r="AF152" s="17" t="n">
        <v>297229.54</v>
      </c>
      <c r="AG152" s="17" t="n">
        <v>0</v>
      </c>
      <c r="AH152" s="17" t="n"/>
      <c r="AI152" s="17" t="n"/>
      <c r="AJ152" s="17" t="n">
        <v>0</v>
      </c>
      <c r="AK152" s="17" t="n"/>
      <c r="AL152" s="17" t="n">
        <v>0</v>
      </c>
      <c r="AM152" s="17" t="n"/>
      <c r="AO152" s="17" t="n"/>
      <c r="AP152" s="18" t="n"/>
      <c r="AQ152" s="24" t="n"/>
      <c r="AR152" s="3" t="n">
        <f aca="false" ca="false" dt2D="false" dtr="false" t="normal">N152-AB152</f>
        <v>0</v>
      </c>
    </row>
    <row outlineLevel="0" r="153">
      <c r="A153" s="154" t="n">
        <f aca="false" ca="false" dt2D="false" dtr="false" t="normal">+A152+1</f>
        <v>136</v>
      </c>
      <c r="B153" s="138" t="n">
        <f aca="false" ca="false" dt2D="false" dtr="false" t="normal">+B152+1</f>
        <v>136</v>
      </c>
      <c r="C153" s="138" t="s">
        <v>93</v>
      </c>
      <c r="D153" s="138" t="s">
        <v>366</v>
      </c>
      <c r="E153" s="139" t="n">
        <v>1993</v>
      </c>
      <c r="F153" s="139" t="n">
        <v>2015</v>
      </c>
      <c r="G153" s="139" t="s">
        <v>4</v>
      </c>
      <c r="H153" s="139" t="n">
        <v>4</v>
      </c>
      <c r="I153" s="139" t="n">
        <v>2</v>
      </c>
      <c r="J153" s="17" t="n">
        <v>2573</v>
      </c>
      <c r="K153" s="17" t="n">
        <v>2088.4</v>
      </c>
      <c r="L153" s="17" t="n">
        <v>299.9</v>
      </c>
      <c r="M153" s="140" t="n">
        <v>79</v>
      </c>
      <c r="N153" s="16" t="n">
        <f aca="false" ca="false" dt2D="false" dtr="false" t="normal">SUM(P153:T153)</f>
        <v>2592439.69</v>
      </c>
      <c r="O153" s="17" t="n"/>
      <c r="P153" s="18" t="n"/>
      <c r="Q153" s="18" t="n"/>
      <c r="R153" s="18" t="n">
        <v>897791.14</v>
      </c>
      <c r="S153" s="18" t="n">
        <v>1694648.55</v>
      </c>
      <c r="T153" s="17" t="n"/>
      <c r="U153" s="18" t="n">
        <v>1136.78650550127</v>
      </c>
      <c r="V153" s="18" t="n">
        <v>1136.78650550127</v>
      </c>
      <c r="W153" s="21" t="n">
        <v>2022</v>
      </c>
      <c r="X153" s="1" t="n">
        <f aca="false" ca="false" dt2D="false" dtr="false" t="normal">1272443.19-648848.45</f>
        <v>623594.74</v>
      </c>
      <c r="Y153" s="3" t="n">
        <f aca="false" ca="false" dt2D="false" dtr="false" t="normal">+(K153*10+L153*20)*12*0.85</f>
        <v>274196.39999999997</v>
      </c>
      <c r="Z153" s="3" t="n">
        <f aca="false" ca="false" dt2D="false" dtr="false" t="normal">+(K153*10+L153*20)*12*30-5206204.7</f>
        <v>4471315.3</v>
      </c>
      <c r="AB153" s="23" t="n">
        <f aca="false" ca="true" dt2D="false" dtr="false" t="normal">SUBTOTAL(9, AC153:AQ153)</f>
        <v>2592439.69</v>
      </c>
      <c r="AC153" s="17" t="n">
        <v>2562577.02</v>
      </c>
      <c r="AD153" s="17" t="n">
        <v>0</v>
      </c>
      <c r="AE153" s="195" t="n"/>
      <c r="AF153" s="17" t="n">
        <v>0</v>
      </c>
      <c r="AG153" s="17" t="n">
        <v>0</v>
      </c>
      <c r="AH153" s="17" t="n"/>
      <c r="AI153" s="17" t="n"/>
      <c r="AJ153" s="17" t="n">
        <v>0</v>
      </c>
      <c r="AK153" s="17" t="n">
        <v>0</v>
      </c>
      <c r="AL153" s="17" t="n">
        <v>0</v>
      </c>
      <c r="AM153" s="17" t="n"/>
      <c r="AN153" s="17" t="n">
        <v>0</v>
      </c>
      <c r="AO153" s="17" t="n"/>
      <c r="AP153" s="18" t="n"/>
      <c r="AQ153" s="156" t="n">
        <v>29862.67</v>
      </c>
      <c r="AR153" s="3" t="n">
        <f aca="false" ca="false" dt2D="false" dtr="false" t="normal">N153-AB153</f>
        <v>0</v>
      </c>
    </row>
    <row outlineLevel="0" r="154">
      <c r="A154" s="154" t="n">
        <f aca="false" ca="false" dt2D="false" dtr="false" t="normal">+A153+1</f>
        <v>137</v>
      </c>
      <c r="B154" s="138" t="n">
        <f aca="false" ca="false" dt2D="false" dtr="false" t="normal">+B153+1</f>
        <v>137</v>
      </c>
      <c r="C154" s="138" t="s">
        <v>93</v>
      </c>
      <c r="D154" s="138" t="s">
        <v>96</v>
      </c>
      <c r="E154" s="139" t="n">
        <v>1989</v>
      </c>
      <c r="F154" s="139" t="n">
        <v>2014</v>
      </c>
      <c r="G154" s="139" t="s">
        <v>4</v>
      </c>
      <c r="H154" s="139" t="n">
        <v>9</v>
      </c>
      <c r="I154" s="139" t="n">
        <v>3</v>
      </c>
      <c r="J154" s="17" t="n">
        <v>6626.1</v>
      </c>
      <c r="K154" s="17" t="n">
        <v>6102.5</v>
      </c>
      <c r="L154" s="17" t="n">
        <v>67.8</v>
      </c>
      <c r="M154" s="140" t="n">
        <v>265</v>
      </c>
      <c r="N154" s="16" t="n">
        <f aca="false" ca="false" dt2D="false" dtr="false" t="normal">SUM(P154:T154)</f>
        <v>46987316.4</v>
      </c>
      <c r="O154" s="17" t="n"/>
      <c r="P154" s="19" t="n"/>
      <c r="Q154" s="18" t="n"/>
      <c r="R154" s="18" t="n">
        <v>1277946.27</v>
      </c>
      <c r="S154" s="18" t="n">
        <v>29746469.16</v>
      </c>
      <c r="T154" s="18" t="n">
        <v>15962900.97</v>
      </c>
      <c r="U154" s="17" t="n">
        <v>8075.73068747503</v>
      </c>
      <c r="V154" s="17" t="n">
        <v>8075.73068747503</v>
      </c>
      <c r="W154" s="21" t="n">
        <v>2022</v>
      </c>
      <c r="X154" s="103" t="n">
        <v>3444334.74</v>
      </c>
      <c r="Y154" s="3" t="n">
        <f aca="false" ca="false" dt2D="false" dtr="false" t="normal">+(K154*13.29+L154*22.52)*12*0.85</f>
        <v>842816.6261999998</v>
      </c>
      <c r="Z154" s="3" t="n">
        <f aca="false" ca="false" dt2D="false" dtr="false" t="normal">+(K154*13.29+L154*22.52)*12*30</f>
        <v>29746469.159999996</v>
      </c>
      <c r="AB154" s="23" t="n">
        <f aca="false" ca="true" dt2D="false" dtr="false" t="normal">SUBTOTAL(9, AC154:AQ154)</f>
        <v>46987316.400000006</v>
      </c>
      <c r="AC154" s="17" t="n"/>
      <c r="AD154" s="17" t="n">
        <v>8054732.7</v>
      </c>
      <c r="AE154" s="195" t="n">
        <v>3326392.27</v>
      </c>
      <c r="AF154" s="17" t="n"/>
      <c r="AG154" s="17" t="n"/>
      <c r="AH154" s="17" t="n"/>
      <c r="AI154" s="17" t="n"/>
      <c r="AJ154" s="17" t="n"/>
      <c r="AK154" s="17" t="n">
        <v>6383560.56</v>
      </c>
      <c r="AL154" s="17" t="n">
        <v>0</v>
      </c>
      <c r="AM154" s="17" t="n">
        <v>14384597.8</v>
      </c>
      <c r="AN154" s="17" t="n">
        <v>14838033.07</v>
      </c>
      <c r="AO154" s="17" t="n"/>
      <c r="AP154" s="18" t="n"/>
      <c r="AQ154" s="24" t="n"/>
      <c r="AR154" s="3" t="n">
        <f aca="false" ca="false" dt2D="false" dtr="false" t="normal">N154-AB154</f>
        <v>0</v>
      </c>
    </row>
    <row customFormat="true" ht="15" outlineLevel="0" r="155" s="184">
      <c r="A155" s="154" t="n">
        <f aca="false" ca="false" dt2D="false" dtr="false" t="normal">+A154+1</f>
        <v>138</v>
      </c>
      <c r="B155" s="138" t="n">
        <f aca="false" ca="false" dt2D="false" dtr="false" t="normal">+B154+1</f>
        <v>138</v>
      </c>
      <c r="C155" s="138" t="s">
        <v>93</v>
      </c>
      <c r="D155" s="138" t="s">
        <v>368</v>
      </c>
      <c r="E155" s="139" t="s">
        <v>209</v>
      </c>
      <c r="F155" s="139" t="n"/>
      <c r="G155" s="139" t="s">
        <v>4</v>
      </c>
      <c r="H155" s="139" t="s">
        <v>150</v>
      </c>
      <c r="I155" s="139" t="s">
        <v>219</v>
      </c>
      <c r="J155" s="17" t="n">
        <v>2294.4</v>
      </c>
      <c r="K155" s="17" t="n">
        <v>2020</v>
      </c>
      <c r="L155" s="17" t="n">
        <v>0</v>
      </c>
      <c r="M155" s="140" t="n">
        <v>107</v>
      </c>
      <c r="N155" s="16" t="n">
        <f aca="false" ca="false" dt2D="false" dtr="false" t="normal">SUM(P155:T155)</f>
        <v>2998415.7590784</v>
      </c>
      <c r="O155" s="17" t="n">
        <v>0</v>
      </c>
      <c r="P155" s="18" t="n"/>
      <c r="Q155" s="18" t="n">
        <v>0</v>
      </c>
      <c r="R155" s="18" t="n">
        <v>1430983.8</v>
      </c>
      <c r="S155" s="18" t="n">
        <v>1567431.9590784</v>
      </c>
      <c r="T155" s="17" t="n"/>
      <c r="U155" s="18" t="n">
        <v>1521.04554154957</v>
      </c>
      <c r="V155" s="18" t="n">
        <v>1172.283020064</v>
      </c>
      <c r="W155" s="21" t="n">
        <v>2022</v>
      </c>
      <c r="X155" s="184" t="n">
        <v>1157156.64</v>
      </c>
      <c r="Y155" s="3" t="n">
        <f aca="false" ca="false" dt2D="false" dtr="false" t="normal">+(K155*13.29+L155*22.52)*12*0.85</f>
        <v>273827.16</v>
      </c>
      <c r="Z155" s="3" t="n">
        <f aca="false" ca="false" dt2D="false" dtr="false" t="normal">+(K155*13.29+L155*22.52)*12*30</f>
        <v>9664488</v>
      </c>
      <c r="AA155" s="3" t="n"/>
      <c r="AB155" s="23" t="n">
        <f aca="false" ca="true" dt2D="false" dtr="false" t="normal">SUBTOTAL(9, AC155:AQ155)</f>
        <v>2998415.7590784</v>
      </c>
      <c r="AC155" s="17" t="n"/>
      <c r="AD155" s="17" t="n"/>
      <c r="AE155" s="195" t="n"/>
      <c r="AF155" s="17" t="n"/>
      <c r="AG155" s="17" t="n"/>
      <c r="AH155" s="17" t="n"/>
      <c r="AI155" s="17" t="n"/>
      <c r="AJ155" s="17" t="n">
        <v>2869496.64</v>
      </c>
      <c r="AK155" s="17" t="n"/>
      <c r="AL155" s="17" t="n"/>
      <c r="AM155" s="17" t="n"/>
      <c r="AN155" s="17" t="n"/>
      <c r="AO155" s="17" t="n">
        <v>104919.1190784</v>
      </c>
      <c r="AP155" s="18" t="n">
        <v>24000</v>
      </c>
      <c r="AQ155" s="24" t="n"/>
      <c r="AR155" s="3" t="n">
        <f aca="false" ca="false" dt2D="false" dtr="false" t="normal">N155-AB155</f>
        <v>0</v>
      </c>
      <c r="AT155" s="187" t="n"/>
    </row>
    <row customFormat="true" ht="15" outlineLevel="0" r="156" s="184">
      <c r="A156" s="154" t="n">
        <f aca="false" ca="false" dt2D="false" dtr="false" t="normal">+A155+1</f>
        <v>139</v>
      </c>
      <c r="B156" s="138" t="n">
        <f aca="false" ca="false" dt2D="false" dtr="false" t="normal">+B155+1</f>
        <v>139</v>
      </c>
      <c r="C156" s="138" t="s">
        <v>93</v>
      </c>
      <c r="D156" s="138" t="s">
        <v>370</v>
      </c>
      <c r="E156" s="139" t="s">
        <v>209</v>
      </c>
      <c r="F156" s="139" t="n"/>
      <c r="G156" s="139" t="s">
        <v>4</v>
      </c>
      <c r="H156" s="139" t="s">
        <v>150</v>
      </c>
      <c r="I156" s="139" t="s">
        <v>219</v>
      </c>
      <c r="J156" s="17" t="n">
        <v>2291.7</v>
      </c>
      <c r="K156" s="17" t="n">
        <v>2012</v>
      </c>
      <c r="L156" s="17" t="n">
        <v>65.3</v>
      </c>
      <c r="M156" s="140" t="n">
        <v>84</v>
      </c>
      <c r="N156" s="16" t="n">
        <f aca="false" ca="false" dt2D="false" dtr="false" t="normal">SUM(P156:T156)</f>
        <v>2998377.8434528</v>
      </c>
      <c r="O156" s="17" t="n">
        <v>0</v>
      </c>
      <c r="P156" s="18" t="n"/>
      <c r="Q156" s="18" t="n">
        <v>0</v>
      </c>
      <c r="R156" s="18" t="n">
        <v>1331435.4972</v>
      </c>
      <c r="S156" s="18" t="n">
        <v>1666942.3462528</v>
      </c>
      <c r="T156" s="17" t="n"/>
      <c r="U156" s="18" t="n">
        <v>1527.07499498654</v>
      </c>
      <c r="V156" s="18" t="n">
        <v>1172.283020064</v>
      </c>
      <c r="W156" s="21" t="n">
        <v>2022</v>
      </c>
      <c r="X156" s="184" t="n">
        <v>1043693.13</v>
      </c>
      <c r="Y156" s="3" t="n">
        <f aca="false" ca="false" dt2D="false" dtr="false" t="normal">+(K156*13.29+L156*22.52)*12*0.85</f>
        <v>287742.36720000004</v>
      </c>
      <c r="Z156" s="3" t="n">
        <f aca="false" ca="false" dt2D="false" dtr="false" t="normal">+(K156*13.29+L156*22.52)*12*30</f>
        <v>10155612.96</v>
      </c>
      <c r="AA156" s="3" t="n"/>
      <c r="AB156" s="23" t="n">
        <f aca="false" ca="true" dt2D="false" dtr="false" t="normal">SUBTOTAL(9, AC156:AQ156)</f>
        <v>2998377.8434528</v>
      </c>
      <c r="AC156" s="17" t="n"/>
      <c r="AD156" s="17" t="n"/>
      <c r="AE156" s="195" t="n"/>
      <c r="AF156" s="17" t="n"/>
      <c r="AG156" s="17" t="n"/>
      <c r="AH156" s="17" t="n"/>
      <c r="AI156" s="17" t="n"/>
      <c r="AJ156" s="17" t="n">
        <v>2869496.65</v>
      </c>
      <c r="AK156" s="17" t="n"/>
      <c r="AL156" s="17" t="n"/>
      <c r="AM156" s="17" t="n"/>
      <c r="AN156" s="17" t="n"/>
      <c r="AO156" s="17" t="n">
        <v>104881.1934528</v>
      </c>
      <c r="AP156" s="18" t="n">
        <v>24000</v>
      </c>
      <c r="AQ156" s="24" t="n"/>
      <c r="AR156" s="3" t="n">
        <f aca="false" ca="false" dt2D="false" dtr="false" t="normal">N156-AB156</f>
        <v>0</v>
      </c>
      <c r="AT156" s="187" t="n"/>
    </row>
    <row customFormat="true" ht="15" outlineLevel="0" r="157" s="184">
      <c r="A157" s="154" t="n">
        <f aca="false" ca="false" dt2D="false" dtr="false" t="normal">+A156+1</f>
        <v>140</v>
      </c>
      <c r="B157" s="138" t="n">
        <f aca="false" ca="false" dt2D="false" dtr="false" t="normal">+B156+1</f>
        <v>140</v>
      </c>
      <c r="C157" s="138" t="s">
        <v>93</v>
      </c>
      <c r="D157" s="138" t="s">
        <v>372</v>
      </c>
      <c r="E157" s="139" t="s">
        <v>373</v>
      </c>
      <c r="F157" s="139" t="n"/>
      <c r="G157" s="139" t="s">
        <v>4</v>
      </c>
      <c r="H157" s="139" t="s">
        <v>150</v>
      </c>
      <c r="I157" s="139" t="s">
        <v>219</v>
      </c>
      <c r="J157" s="17" t="n">
        <v>2263.9</v>
      </c>
      <c r="K157" s="17" t="n">
        <v>2004.44</v>
      </c>
      <c r="L157" s="17" t="n">
        <v>0</v>
      </c>
      <c r="M157" s="140" t="n">
        <v>82</v>
      </c>
      <c r="N157" s="16" t="n">
        <f aca="false" ca="false" dt2D="false" dtr="false" t="normal">SUM(P157:T157)</f>
        <v>2998746.0699072</v>
      </c>
      <c r="O157" s="17" t="n">
        <v>0</v>
      </c>
      <c r="P157" s="18" t="n"/>
      <c r="Q157" s="18" t="n">
        <v>0</v>
      </c>
      <c r="R157" s="18" t="n">
        <v>1305135.01752</v>
      </c>
      <c r="S157" s="18" t="n">
        <v>1693611.0523872</v>
      </c>
      <c r="T157" s="17" t="n"/>
      <c r="U157" s="18" t="n">
        <v>1533.01432624932</v>
      </c>
      <c r="V157" s="18" t="n">
        <v>1172.283020064</v>
      </c>
      <c r="W157" s="21" t="n">
        <v>2022</v>
      </c>
      <c r="X157" s="184" t="n">
        <v>1033417.14</v>
      </c>
      <c r="Y157" s="3" t="n">
        <f aca="false" ca="false" dt2D="false" dtr="false" t="normal">+(K157*13.29+L157*22.52)*12*0.85</f>
        <v>271717.87752000004</v>
      </c>
      <c r="Z157" s="3" t="n">
        <f aca="false" ca="false" dt2D="false" dtr="false" t="normal">+(K157*13.29+L157*22.52)*12*30</f>
        <v>9590042.736000001</v>
      </c>
      <c r="AA157" s="3" t="n"/>
      <c r="AB157" s="23" t="n">
        <f aca="false" ca="true" dt2D="false" dtr="false" t="normal">SUBTOTAL(9, AC157:AQ157)</f>
        <v>2998746.0699072</v>
      </c>
      <c r="AC157" s="17" t="n"/>
      <c r="AD157" s="17" t="n"/>
      <c r="AE157" s="195" t="n"/>
      <c r="AF157" s="17" t="n"/>
      <c r="AG157" s="17" t="n"/>
      <c r="AH157" s="17" t="n"/>
      <c r="AI157" s="17" t="n"/>
      <c r="AJ157" s="17" t="n">
        <v>2869496.64</v>
      </c>
      <c r="AK157" s="17" t="n"/>
      <c r="AL157" s="17" t="n"/>
      <c r="AM157" s="17" t="n"/>
      <c r="AN157" s="17" t="n"/>
      <c r="AO157" s="17" t="n">
        <v>105249.4299072</v>
      </c>
      <c r="AP157" s="18" t="n">
        <v>24000</v>
      </c>
      <c r="AQ157" s="24" t="n"/>
      <c r="AR157" s="3" t="n">
        <f aca="false" ca="false" dt2D="false" dtr="false" t="normal">N157-AB157</f>
        <v>0</v>
      </c>
      <c r="AT157" s="187" t="n"/>
    </row>
    <row outlineLevel="0" r="158">
      <c r="A158" s="154" t="n">
        <f aca="false" ca="false" dt2D="false" dtr="false" t="normal">+A157+1</f>
        <v>141</v>
      </c>
      <c r="B158" s="138" t="n">
        <f aca="false" ca="false" dt2D="false" dtr="false" t="normal">+B157+1</f>
        <v>141</v>
      </c>
      <c r="C158" s="138" t="s">
        <v>93</v>
      </c>
      <c r="D158" s="138" t="s">
        <v>375</v>
      </c>
      <c r="E158" s="139" t="n">
        <v>1976</v>
      </c>
      <c r="F158" s="139" t="n">
        <v>2011</v>
      </c>
      <c r="G158" s="139" t="s">
        <v>4</v>
      </c>
      <c r="H158" s="139" t="n">
        <v>5</v>
      </c>
      <c r="I158" s="139" t="n">
        <v>3</v>
      </c>
      <c r="J158" s="17" t="n">
        <v>4142.3</v>
      </c>
      <c r="K158" s="17" t="n">
        <v>3019.79</v>
      </c>
      <c r="L158" s="17" t="n">
        <v>533.3</v>
      </c>
      <c r="M158" s="140" t="n">
        <v>117</v>
      </c>
      <c r="N158" s="16" t="n">
        <f aca="false" ca="false" dt2D="false" dtr="false" t="normal">SUM(P158:T158)</f>
        <v>6006663.619999999</v>
      </c>
      <c r="O158" s="17" t="n"/>
      <c r="P158" s="18" t="n">
        <v>645040.81</v>
      </c>
      <c r="Q158" s="18" t="n"/>
      <c r="R158" s="18" t="n"/>
      <c r="S158" s="18" t="n">
        <v>5361622.81</v>
      </c>
      <c r="T158" s="17" t="n"/>
      <c r="U158" s="18" t="n">
        <v>1768.65470656191</v>
      </c>
      <c r="V158" s="18" t="n">
        <v>1768.65470656191</v>
      </c>
      <c r="W158" s="21" t="n">
        <v>2022</v>
      </c>
      <c r="X158" s="1" t="n">
        <v>1203751.11</v>
      </c>
      <c r="Y158" s="3" t="n">
        <f aca="false" ca="false" dt2D="false" dtr="false" t="normal">+(K158*10+L158*20)*12*0.85</f>
        <v>416811.78</v>
      </c>
      <c r="Z158" s="3" t="n">
        <f aca="false" ca="false" dt2D="false" dtr="false" t="normal">+(K158*10+L158*20)*12*30</f>
        <v>14711004.000000002</v>
      </c>
      <c r="AB158" s="23" t="n">
        <f aca="false" ca="true" dt2D="false" dtr="false" t="normal">SUBTOTAL(9, AC158:AQ158)</f>
        <v>6006663.62</v>
      </c>
      <c r="AC158" s="17" t="n">
        <v>3826027.56</v>
      </c>
      <c r="AD158" s="17" t="n">
        <v>0</v>
      </c>
      <c r="AE158" s="195" t="n">
        <v>0</v>
      </c>
      <c r="AF158" s="17" t="n">
        <v>2180636.06</v>
      </c>
      <c r="AG158" s="17" t="n">
        <v>0</v>
      </c>
      <c r="AH158" s="17" t="n"/>
      <c r="AI158" s="17" t="n"/>
      <c r="AJ158" s="17" t="n">
        <v>0</v>
      </c>
      <c r="AK158" s="17" t="n">
        <v>0</v>
      </c>
      <c r="AL158" s="17" t="n">
        <v>0</v>
      </c>
      <c r="AM158" s="17" t="n">
        <v>0</v>
      </c>
      <c r="AN158" s="17" t="n">
        <v>0</v>
      </c>
      <c r="AO158" s="17" t="n"/>
      <c r="AP158" s="18" t="n"/>
      <c r="AQ158" s="24" t="n"/>
      <c r="AR158" s="3" t="n">
        <f aca="false" ca="false" dt2D="false" dtr="false" t="normal">N158-AB158</f>
        <v>0</v>
      </c>
    </row>
    <row outlineLevel="0" r="159">
      <c r="A159" s="154" t="n">
        <f aca="false" ca="false" dt2D="false" dtr="false" t="normal">+A158+1</f>
        <v>142</v>
      </c>
      <c r="B159" s="138" t="n">
        <f aca="false" ca="false" dt2D="false" dtr="false" t="normal">+B158+1</f>
        <v>142</v>
      </c>
      <c r="C159" s="138" t="s">
        <v>93</v>
      </c>
      <c r="D159" s="138" t="s">
        <v>377</v>
      </c>
      <c r="E159" s="139" t="n">
        <v>1986</v>
      </c>
      <c r="F159" s="139" t="n">
        <v>2015</v>
      </c>
      <c r="G159" s="139" t="s">
        <v>4</v>
      </c>
      <c r="H159" s="139" t="n">
        <v>9</v>
      </c>
      <c r="I159" s="139" t="n">
        <v>1</v>
      </c>
      <c r="J159" s="17" t="n">
        <v>2267.7</v>
      </c>
      <c r="K159" s="17" t="n">
        <v>1885.78</v>
      </c>
      <c r="L159" s="17" t="n">
        <v>353.8</v>
      </c>
      <c r="M159" s="140" t="n">
        <v>71</v>
      </c>
      <c r="N159" s="16" t="n">
        <f aca="false" ca="false" dt2D="false" dtr="false" t="normal">SUM(P159:T159)</f>
        <v>791011.4199999999</v>
      </c>
      <c r="O159" s="17" t="n"/>
      <c r="P159" s="18" t="n"/>
      <c r="Q159" s="18" t="n"/>
      <c r="R159" s="18" t="n">
        <v>80395.8959124</v>
      </c>
      <c r="S159" s="18" t="n">
        <v>710615.5240876</v>
      </c>
      <c r="T159" s="17" t="n"/>
      <c r="U159" s="18" t="n">
        <v>385.47266269229</v>
      </c>
      <c r="V159" s="18" t="n">
        <v>385.47266269229</v>
      </c>
      <c r="W159" s="21" t="n">
        <v>2022</v>
      </c>
      <c r="X159" s="1" t="n">
        <v>1383560.53</v>
      </c>
      <c r="Y159" s="3" t="n">
        <f aca="false" ca="false" dt2D="false" dtr="false" t="normal">+(K159*13.29+L159*22.52)*12*0.85</f>
        <v>336901.84044</v>
      </c>
      <c r="Z159" s="3" t="n">
        <f aca="false" ca="false" dt2D="false" dtr="false" t="normal">+(K159*13.29+L159*22.52)*12*30-1239264.3</f>
        <v>10651388.891999999</v>
      </c>
      <c r="AB159" s="23" t="n">
        <f aca="false" ca="true" dt2D="false" dtr="false" t="normal">SUBTOTAL(9, AC159:AQ159)</f>
        <v>791011.4199999999</v>
      </c>
      <c r="AC159" s="17" t="n">
        <v>0</v>
      </c>
      <c r="AD159" s="17" t="n">
        <v>0</v>
      </c>
      <c r="AE159" s="195" t="n">
        <v>782900.97</v>
      </c>
      <c r="AF159" s="17" t="n"/>
      <c r="AG159" s="17" t="n">
        <v>0</v>
      </c>
      <c r="AH159" s="17" t="n"/>
      <c r="AI159" s="17" t="n"/>
      <c r="AJ159" s="17" t="n">
        <v>0</v>
      </c>
      <c r="AK159" s="17" t="n">
        <v>0</v>
      </c>
      <c r="AL159" s="17" t="n">
        <v>0</v>
      </c>
      <c r="AM159" s="17" t="n">
        <v>0</v>
      </c>
      <c r="AN159" s="17" t="n">
        <v>0</v>
      </c>
      <c r="AO159" s="17" t="n"/>
      <c r="AP159" s="18" t="n"/>
      <c r="AQ159" s="156" t="n">
        <v>8110.45</v>
      </c>
      <c r="AR159" s="3" t="n">
        <f aca="false" ca="false" dt2D="false" dtr="false" t="normal">N159-AB159</f>
        <v>0</v>
      </c>
    </row>
    <row outlineLevel="0" r="160">
      <c r="A160" s="154" t="n">
        <f aca="false" ca="false" dt2D="false" dtr="false" t="normal">+A159+1</f>
        <v>143</v>
      </c>
      <c r="B160" s="138" t="n">
        <f aca="false" ca="false" dt2D="false" dtr="false" t="normal">+B159+1</f>
        <v>143</v>
      </c>
      <c r="C160" s="138" t="s">
        <v>93</v>
      </c>
      <c r="D160" s="138" t="s">
        <v>379</v>
      </c>
      <c r="E160" s="139" t="n">
        <v>1985</v>
      </c>
      <c r="F160" s="139" t="n">
        <v>2015</v>
      </c>
      <c r="G160" s="139" t="s">
        <v>4</v>
      </c>
      <c r="H160" s="139" t="n">
        <v>9</v>
      </c>
      <c r="I160" s="139" t="n">
        <v>1</v>
      </c>
      <c r="J160" s="17" t="n">
        <v>2293.5</v>
      </c>
      <c r="K160" s="17" t="n">
        <v>1892.9</v>
      </c>
      <c r="L160" s="17" t="n">
        <v>103.9</v>
      </c>
      <c r="M160" s="140" t="n">
        <v>75</v>
      </c>
      <c r="N160" s="16" t="n">
        <f aca="false" ca="false" dt2D="false" dtr="false" t="normal">SUM(P160:T160)</f>
        <v>11170211.870000001</v>
      </c>
      <c r="O160" s="17" t="n"/>
      <c r="P160" s="18" t="n">
        <v>4582722.4</v>
      </c>
      <c r="Q160" s="18" t="n"/>
      <c r="R160" s="18" t="n"/>
      <c r="S160" s="18" t="n">
        <v>6587489.47</v>
      </c>
      <c r="T160" s="17" t="n"/>
      <c r="U160" s="18" t="n">
        <v>5669.59700151813</v>
      </c>
      <c r="V160" s="18" t="n">
        <v>5669.59700151813</v>
      </c>
      <c r="W160" s="21" t="n">
        <v>2022</v>
      </c>
      <c r="X160" s="1" t="n">
        <v>1237727.3</v>
      </c>
      <c r="Y160" s="3" t="n">
        <f aca="false" ca="false" dt2D="false" dtr="false" t="normal">+(K160*13.29+L160*22.52)*12*0.85</f>
        <v>280463.9838</v>
      </c>
      <c r="Z160" s="3" t="n">
        <f aca="false" ca="false" dt2D="false" dtr="false" t="normal">+(K160*13.29+L160*22.52)*12*30</f>
        <v>9898728.84</v>
      </c>
      <c r="AB160" s="23" t="n">
        <f aca="false" ca="true" dt2D="false" dtr="false" t="normal">SUBTOTAL(9, AC160:AQ160)</f>
        <v>11170211.87</v>
      </c>
      <c r="AC160" s="17" t="n">
        <v>3735913.84</v>
      </c>
      <c r="AD160" s="17" t="n">
        <v>627030.85</v>
      </c>
      <c r="AE160" s="195" t="n">
        <v>1443652.49</v>
      </c>
      <c r="AF160" s="17" t="n">
        <v>1126366.88</v>
      </c>
      <c r="AG160" s="17" t="n">
        <v>0</v>
      </c>
      <c r="AH160" s="17" t="n"/>
      <c r="AI160" s="17" t="n"/>
      <c r="AJ160" s="17" t="n">
        <v>0</v>
      </c>
      <c r="AK160" s="17" t="n">
        <v>0</v>
      </c>
      <c r="AL160" s="17" t="n">
        <v>0</v>
      </c>
      <c r="AM160" s="17" t="n">
        <v>0</v>
      </c>
      <c r="AN160" s="17" t="n">
        <v>4237247.81</v>
      </c>
      <c r="AO160" s="17" t="n"/>
      <c r="AP160" s="18" t="n"/>
      <c r="AQ160" s="24" t="n"/>
      <c r="AR160" s="3" t="n">
        <f aca="false" ca="false" dt2D="false" dtr="false" t="normal">N160-AB160</f>
        <v>0</v>
      </c>
    </row>
    <row outlineLevel="0" r="161">
      <c r="A161" s="154" t="n">
        <f aca="false" ca="false" dt2D="false" dtr="false" t="normal">+A160+1</f>
        <v>144</v>
      </c>
      <c r="B161" s="138" t="n">
        <f aca="false" ca="false" dt2D="false" dtr="false" t="normal">+B160+1</f>
        <v>144</v>
      </c>
      <c r="C161" s="138" t="s">
        <v>93</v>
      </c>
      <c r="D161" s="138" t="s">
        <v>381</v>
      </c>
      <c r="E161" s="139" t="n">
        <v>1975</v>
      </c>
      <c r="F161" s="139" t="n">
        <v>2013</v>
      </c>
      <c r="G161" s="139" t="s">
        <v>4</v>
      </c>
      <c r="H161" s="139" t="n">
        <v>4</v>
      </c>
      <c r="I161" s="139" t="n">
        <v>3</v>
      </c>
      <c r="J161" s="17" t="n">
        <v>2231.4</v>
      </c>
      <c r="K161" s="17" t="n">
        <v>2050.7</v>
      </c>
      <c r="L161" s="17" t="n">
        <v>57.4</v>
      </c>
      <c r="M161" s="140" t="n">
        <v>91</v>
      </c>
      <c r="N161" s="16" t="n">
        <f aca="false" ca="false" dt2D="false" dtr="false" t="normal">SUM(P161:T161)</f>
        <v>681605.38</v>
      </c>
      <c r="O161" s="17" t="n"/>
      <c r="P161" s="18" t="n"/>
      <c r="Q161" s="18" t="n"/>
      <c r="R161" s="18" t="n"/>
      <c r="S161" s="18" t="n">
        <v>681605.38</v>
      </c>
      <c r="T161" s="17" t="n"/>
      <c r="U161" s="18" t="n">
        <v>323.326872539253</v>
      </c>
      <c r="V161" s="18" t="n">
        <v>323.326872539253</v>
      </c>
      <c r="W161" s="21" t="n">
        <v>2022</v>
      </c>
      <c r="X161" s="1" t="n">
        <v>972243.21</v>
      </c>
      <c r="Y161" s="3" t="n">
        <f aca="false" ca="false" dt2D="false" dtr="false" t="normal">+(K161*10+L161*20)*12*0.85</f>
        <v>220881</v>
      </c>
      <c r="Z161" s="3" t="n">
        <f aca="false" ca="false" dt2D="false" dtr="false" t="normal">+(K161*10+L161*20)*12*30</f>
        <v>7795800</v>
      </c>
      <c r="AB161" s="23" t="n">
        <f aca="false" ca="true" dt2D="false" dtr="false" t="normal">SUBTOTAL(9, AC161:AQ161)</f>
        <v>681605.38</v>
      </c>
      <c r="AC161" s="17" t="n">
        <v>0</v>
      </c>
      <c r="AD161" s="17" t="n"/>
      <c r="AE161" s="195" t="n">
        <v>681605.38</v>
      </c>
      <c r="AF161" s="17" t="n">
        <v>0</v>
      </c>
      <c r="AG161" s="17" t="n">
        <v>0</v>
      </c>
      <c r="AH161" s="17" t="n"/>
      <c r="AI161" s="17" t="n"/>
      <c r="AJ161" s="17" t="n">
        <v>0</v>
      </c>
      <c r="AK161" s="17" t="n"/>
      <c r="AL161" s="17" t="n">
        <v>0</v>
      </c>
      <c r="AM161" s="17" t="n"/>
      <c r="AN161" s="17" t="n"/>
      <c r="AO161" s="17" t="n"/>
      <c r="AP161" s="18" t="n"/>
      <c r="AQ161" s="156" t="n"/>
      <c r="AR161" s="3" t="n">
        <f aca="false" ca="false" dt2D="false" dtr="false" t="normal">N161-AB161</f>
        <v>0</v>
      </c>
    </row>
    <row outlineLevel="0" r="162">
      <c r="A162" s="154" t="n">
        <f aca="false" ca="false" dt2D="false" dtr="false" t="normal">+A161+1</f>
        <v>145</v>
      </c>
      <c r="B162" s="138" t="n">
        <f aca="false" ca="false" dt2D="false" dtr="false" t="normal">+B161+1</f>
        <v>145</v>
      </c>
      <c r="C162" s="138" t="s">
        <v>93</v>
      </c>
      <c r="D162" s="138" t="s">
        <v>384</v>
      </c>
      <c r="E162" s="139" t="n">
        <v>1974</v>
      </c>
      <c r="F162" s="139" t="n">
        <v>2014</v>
      </c>
      <c r="G162" s="139" t="s">
        <v>4</v>
      </c>
      <c r="H162" s="139" t="n">
        <v>4</v>
      </c>
      <c r="I162" s="139" t="n">
        <v>6</v>
      </c>
      <c r="J162" s="17" t="n">
        <v>4464.7</v>
      </c>
      <c r="K162" s="17" t="n">
        <v>4072.9</v>
      </c>
      <c r="L162" s="17" t="n">
        <v>35.1</v>
      </c>
      <c r="M162" s="140" t="n">
        <v>161</v>
      </c>
      <c r="N162" s="16" t="n">
        <f aca="false" ca="false" dt2D="false" dtr="false" t="normal">SUM(P162:T162)</f>
        <v>2689617.46</v>
      </c>
      <c r="O162" s="17" t="n"/>
      <c r="P162" s="18" t="n">
        <v>1182697.55</v>
      </c>
      <c r="Q162" s="18" t="n"/>
      <c r="R162" s="18" t="n">
        <v>1506919.91</v>
      </c>
      <c r="S162" s="18" t="n">
        <v>0</v>
      </c>
      <c r="T162" s="17" t="n"/>
      <c r="U162" s="18" t="n">
        <v>654.726742940604</v>
      </c>
      <c r="V162" s="18" t="n">
        <v>654.726742940604</v>
      </c>
      <c r="W162" s="21" t="n">
        <v>2022</v>
      </c>
      <c r="X162" s="1" t="n">
        <v>1783982.53</v>
      </c>
      <c r="Y162" s="3" t="n">
        <f aca="false" ca="false" dt2D="false" dtr="false" t="normal">+(K162*10+L162*20)*12*0.85</f>
        <v>422596.2</v>
      </c>
      <c r="Z162" s="3" t="n">
        <f aca="false" ca="false" dt2D="false" dtr="false" t="normal">+(K162*10+L162*20)*12*30</f>
        <v>14915160</v>
      </c>
      <c r="AB162" s="23" t="n">
        <f aca="false" ca="true" dt2D="false" dtr="false" t="normal">SUBTOTAL(9, AC162:AQ162)</f>
        <v>2689617.46</v>
      </c>
      <c r="AC162" s="17" t="n">
        <v>0</v>
      </c>
      <c r="AD162" s="17" t="n">
        <v>0</v>
      </c>
      <c r="AE162" s="195" t="n">
        <v>2689617.46</v>
      </c>
      <c r="AF162" s="17" t="n">
        <v>0</v>
      </c>
      <c r="AG162" s="17" t="n">
        <v>0</v>
      </c>
      <c r="AH162" s="17" t="n"/>
      <c r="AI162" s="17" t="n"/>
      <c r="AJ162" s="17" t="n">
        <v>0</v>
      </c>
      <c r="AK162" s="17" t="n">
        <v>0</v>
      </c>
      <c r="AL162" s="17" t="n">
        <v>0</v>
      </c>
      <c r="AM162" s="17" t="n">
        <v>0</v>
      </c>
      <c r="AN162" s="17" t="n">
        <v>0</v>
      </c>
      <c r="AO162" s="17" t="n"/>
      <c r="AP162" s="18" t="n"/>
      <c r="AQ162" s="191" t="n"/>
      <c r="AR162" s="3" t="n">
        <f aca="false" ca="false" dt2D="false" dtr="false" t="normal">N162-AB162</f>
        <v>0</v>
      </c>
    </row>
    <row outlineLevel="0" r="163">
      <c r="A163" s="154" t="n">
        <f aca="false" ca="false" dt2D="false" dtr="false" t="normal">+A162+1</f>
        <v>146</v>
      </c>
      <c r="B163" s="138" t="n">
        <f aca="false" ca="false" dt2D="false" dtr="false" t="normal">+B162+1</f>
        <v>146</v>
      </c>
      <c r="C163" s="138" t="s">
        <v>93</v>
      </c>
      <c r="D163" s="138" t="s">
        <v>386</v>
      </c>
      <c r="E163" s="139" t="n">
        <v>1989</v>
      </c>
      <c r="F163" s="139" t="n">
        <v>2015</v>
      </c>
      <c r="G163" s="139" t="s">
        <v>4</v>
      </c>
      <c r="H163" s="139" t="n">
        <v>9</v>
      </c>
      <c r="I163" s="139" t="n">
        <v>4</v>
      </c>
      <c r="J163" s="17" t="n">
        <v>9199.3</v>
      </c>
      <c r="K163" s="17" t="n">
        <v>8072</v>
      </c>
      <c r="L163" s="17" t="n">
        <v>65.6</v>
      </c>
      <c r="M163" s="140" t="n">
        <v>366</v>
      </c>
      <c r="N163" s="16" t="n">
        <f aca="false" ca="false" dt2D="false" dtr="false" t="normal">SUM(P163:T163)</f>
        <v>25727773.27</v>
      </c>
      <c r="O163" s="17" t="n"/>
      <c r="P163" s="18" t="n"/>
      <c r="Q163" s="18" t="n"/>
      <c r="R163" s="18" t="n">
        <v>1050151.86</v>
      </c>
      <c r="S163" s="18" t="n">
        <v>24677621.41</v>
      </c>
      <c r="T163" s="18" t="n"/>
      <c r="U163" s="17" t="n">
        <v>3161.59227167715</v>
      </c>
      <c r="V163" s="17" t="n">
        <v>3161.59227167715</v>
      </c>
      <c r="W163" s="21" t="n">
        <v>2022</v>
      </c>
      <c r="X163" s="1" t="n">
        <v>4641267.93</v>
      </c>
      <c r="Y163" s="3" t="n">
        <f aca="false" ca="false" dt2D="false" dtr="false" t="normal">+(K163*13.29+L163*22.52)*12*0.85</f>
        <v>1109292.7584</v>
      </c>
      <c r="Z163" s="3" t="n">
        <v>24677621.41</v>
      </c>
      <c r="AB163" s="23" t="n">
        <f aca="false" ca="true" dt2D="false" dtr="false" t="normal">SUBTOTAL(9, AC163:AQ163)</f>
        <v>25727773.27</v>
      </c>
      <c r="AC163" s="17" t="n"/>
      <c r="AD163" s="17" t="n">
        <v>3182426.63</v>
      </c>
      <c r="AE163" s="195" t="n"/>
      <c r="AF163" s="17" t="n"/>
      <c r="AG163" s="17" t="n">
        <v>0</v>
      </c>
      <c r="AH163" s="17" t="n"/>
      <c r="AI163" s="17" t="n"/>
      <c r="AJ163" s="17" t="n">
        <v>0</v>
      </c>
      <c r="AK163" s="17" t="n">
        <v>0</v>
      </c>
      <c r="AL163" s="17" t="n">
        <v>0</v>
      </c>
      <c r="AM163" s="17" t="n">
        <v>0</v>
      </c>
      <c r="AN163" s="17" t="n">
        <v>22545346.64</v>
      </c>
      <c r="AO163" s="17" t="n"/>
      <c r="AP163" s="18" t="n"/>
      <c r="AQ163" s="191" t="n"/>
      <c r="AR163" s="3" t="n">
        <f aca="false" ca="false" dt2D="false" dtr="false" t="normal">N163-AB163</f>
        <v>0</v>
      </c>
    </row>
    <row outlineLevel="0" r="164">
      <c r="A164" s="154" t="n">
        <f aca="false" ca="false" dt2D="false" dtr="false" t="normal">+A163+1</f>
        <v>147</v>
      </c>
      <c r="B164" s="138" t="n">
        <f aca="false" ca="false" dt2D="false" dtr="false" t="normal">+B163+1</f>
        <v>147</v>
      </c>
      <c r="C164" s="138" t="s">
        <v>93</v>
      </c>
      <c r="D164" s="138" t="s">
        <v>387</v>
      </c>
      <c r="E164" s="139" t="n">
        <v>1992</v>
      </c>
      <c r="F164" s="139" t="n">
        <v>2015</v>
      </c>
      <c r="G164" s="139" t="s">
        <v>4</v>
      </c>
      <c r="H164" s="139" t="n">
        <v>9</v>
      </c>
      <c r="I164" s="139" t="n">
        <v>3</v>
      </c>
      <c r="J164" s="17" t="n">
        <v>6872</v>
      </c>
      <c r="K164" s="17" t="n">
        <v>6094.4</v>
      </c>
      <c r="L164" s="17" t="n">
        <v>0</v>
      </c>
      <c r="M164" s="140" t="n">
        <v>259</v>
      </c>
      <c r="N164" s="16" t="n">
        <f aca="false" ca="false" dt2D="false" dtr="false" t="normal">SUM(P164:T164)</f>
        <v>9722924.29</v>
      </c>
      <c r="O164" s="17" t="n"/>
      <c r="P164" s="18" t="n">
        <v>5994717.77</v>
      </c>
      <c r="Q164" s="18" t="n"/>
      <c r="R164" s="18" t="n"/>
      <c r="S164" s="18" t="n">
        <v>3728206.52</v>
      </c>
      <c r="T164" s="17" t="n"/>
      <c r="U164" s="18" t="n">
        <v>1634.76770564658</v>
      </c>
      <c r="V164" s="18" t="n">
        <v>1634.76770564658</v>
      </c>
      <c r="W164" s="21" t="n">
        <v>2022</v>
      </c>
      <c r="X164" s="1" t="n">
        <f aca="false" ca="false" dt2D="false" dtr="false" t="normal">3336709.09-263343.45</f>
        <v>3073365.6399999997</v>
      </c>
      <c r="Y164" s="3" t="n">
        <f aca="false" ca="false" dt2D="false" dtr="false" t="normal">+(K164*13.29+L164*22.52)*12*0.85</f>
        <v>826144.6751999998</v>
      </c>
      <c r="Z164" s="3" t="n">
        <f aca="false" ca="false" dt2D="false" dtr="false" t="normal">+(K164*13.29+L164*22.52)*12*30-1442656.44</f>
        <v>27715390.91999999</v>
      </c>
      <c r="AB164" s="23" t="n">
        <f aca="false" ca="true" dt2D="false" dtr="false" t="normal">SUBTOTAL(9, AC164:AQ164)</f>
        <v>9722924.29</v>
      </c>
      <c r="AC164" s="17" t="n"/>
      <c r="AD164" s="17" t="n">
        <v>7323917.46</v>
      </c>
      <c r="AE164" s="195" t="n"/>
      <c r="AF164" s="17" t="n">
        <v>2315022.9</v>
      </c>
      <c r="AG164" s="17" t="n">
        <v>0</v>
      </c>
      <c r="AH164" s="17" t="n"/>
      <c r="AI164" s="17" t="n"/>
      <c r="AJ164" s="17" t="n">
        <v>0</v>
      </c>
      <c r="AK164" s="17" t="n">
        <v>0</v>
      </c>
      <c r="AL164" s="17" t="n">
        <v>0</v>
      </c>
      <c r="AM164" s="17" t="n">
        <v>0</v>
      </c>
      <c r="AN164" s="17" t="n"/>
      <c r="AO164" s="17" t="n"/>
      <c r="AP164" s="18" t="n"/>
      <c r="AQ164" s="156" t="n">
        <f aca="false" ca="false" dt2D="false" dtr="false" t="normal">53840.63+30143.3</f>
        <v>83983.93</v>
      </c>
      <c r="AR164" s="3" t="n">
        <f aca="false" ca="false" dt2D="false" dtr="false" t="normal">N164-AB164</f>
        <v>0</v>
      </c>
    </row>
    <row outlineLevel="0" r="165">
      <c r="A165" s="154" t="n">
        <f aca="false" ca="false" dt2D="false" dtr="false" t="normal">+A164+1</f>
        <v>148</v>
      </c>
      <c r="B165" s="138" t="n">
        <f aca="false" ca="false" dt2D="false" dtr="false" t="normal">+B164+1</f>
        <v>148</v>
      </c>
      <c r="C165" s="138" t="s">
        <v>93</v>
      </c>
      <c r="D165" s="138" t="s">
        <v>388</v>
      </c>
      <c r="E165" s="139" t="n">
        <v>1984</v>
      </c>
      <c r="F165" s="139" t="n">
        <v>2013</v>
      </c>
      <c r="G165" s="139" t="s">
        <v>4</v>
      </c>
      <c r="H165" s="139" t="n">
        <v>9</v>
      </c>
      <c r="I165" s="139" t="n">
        <v>2</v>
      </c>
      <c r="J165" s="17" t="n">
        <v>8198.7</v>
      </c>
      <c r="K165" s="17" t="n">
        <v>7324.41</v>
      </c>
      <c r="L165" s="17" t="n">
        <v>0</v>
      </c>
      <c r="M165" s="140" t="n">
        <v>272</v>
      </c>
      <c r="N165" s="16" t="n">
        <f aca="false" ca="false" dt2D="false" dtr="false" t="normal">SUM(P165:T165)</f>
        <v>50864072.46000001</v>
      </c>
      <c r="O165" s="17" t="n"/>
      <c r="P165" s="18" t="n">
        <v>10676631.48</v>
      </c>
      <c r="Q165" s="18" t="n"/>
      <c r="R165" s="18" t="n">
        <v>1088675.32</v>
      </c>
      <c r="S165" s="18" t="n">
        <v>30794766.454</v>
      </c>
      <c r="T165" s="17" t="n">
        <v>8303999.20600001</v>
      </c>
      <c r="U165" s="18" t="n">
        <v>7343.96086237663</v>
      </c>
      <c r="V165" s="18" t="n">
        <v>7343.96086237663</v>
      </c>
      <c r="W165" s="21" t="n">
        <v>2022</v>
      </c>
      <c r="X165" s="1" t="n">
        <f aca="false" ca="false" dt2D="false" dtr="false" t="normal">4296548.24-1633012.98</f>
        <v>2663535.2600000002</v>
      </c>
      <c r="Y165" s="3" t="n">
        <f aca="false" ca="false" dt2D="false" dtr="false" t="normal">+(K165*13.29+L165*22.52)*12*0.85</f>
        <v>992882.37078</v>
      </c>
      <c r="Z165" s="3" t="n">
        <f aca="false" ca="false" dt2D="false" dtr="false" t="normal">+(K165*13.29+L165*22.52)*12*30-4248140.75</f>
        <v>30794766.453999996</v>
      </c>
      <c r="AB165" s="23" t="n">
        <f aca="false" ca="true" dt2D="false" dtr="false" t="normal">SUBTOTAL(9, AC165:AQ165)</f>
        <v>50864072.46000001</v>
      </c>
      <c r="AC165" s="17" t="n">
        <v>5141989.9</v>
      </c>
      <c r="AD165" s="17" t="n"/>
      <c r="AE165" s="195" t="n">
        <v>2714177.72</v>
      </c>
      <c r="AF165" s="17" t="n"/>
      <c r="AG165" s="17" t="n">
        <v>0</v>
      </c>
      <c r="AH165" s="17" t="n"/>
      <c r="AI165" s="17" t="n"/>
      <c r="AJ165" s="17" t="n">
        <v>0</v>
      </c>
      <c r="AK165" s="17" t="n">
        <v>0</v>
      </c>
      <c r="AL165" s="17" t="n">
        <v>0</v>
      </c>
      <c r="AM165" s="17" t="n">
        <f aca="false" ca="false" dt2D="false" dtr="false" t="normal">37030869.74+5977035.1</f>
        <v>43007904.84</v>
      </c>
      <c r="AN165" s="17" t="n"/>
      <c r="AO165" s="17" t="n"/>
      <c r="AP165" s="18" t="n"/>
      <c r="AQ165" s="24" t="n"/>
      <c r="AR165" s="3" t="n">
        <f aca="false" ca="false" dt2D="false" dtr="false" t="normal">N165-AB165</f>
        <v>0</v>
      </c>
    </row>
    <row outlineLevel="0" r="166">
      <c r="A166" s="154" t="n">
        <f aca="false" ca="false" dt2D="false" dtr="false" t="normal">+A165+1</f>
        <v>149</v>
      </c>
      <c r="B166" s="138" t="n">
        <f aca="false" ca="false" dt2D="false" dtr="false" t="normal">+B165+1</f>
        <v>149</v>
      </c>
      <c r="C166" s="138" t="s">
        <v>93</v>
      </c>
      <c r="D166" s="138" t="s">
        <v>390</v>
      </c>
      <c r="E166" s="139" t="n">
        <v>1981</v>
      </c>
      <c r="F166" s="139" t="n">
        <v>2012</v>
      </c>
      <c r="G166" s="139" t="s">
        <v>4</v>
      </c>
      <c r="H166" s="139" t="n">
        <v>5</v>
      </c>
      <c r="I166" s="139" t="n">
        <v>7</v>
      </c>
      <c r="J166" s="17" t="n">
        <v>6927.5</v>
      </c>
      <c r="K166" s="17" t="n">
        <v>5314.16</v>
      </c>
      <c r="L166" s="17" t="n">
        <v>83.1</v>
      </c>
      <c r="M166" s="140" t="n">
        <v>173</v>
      </c>
      <c r="N166" s="16" t="n">
        <f aca="false" ca="false" dt2D="false" dtr="false" t="normal">SUM(P166:T166)</f>
        <v>15646094.83</v>
      </c>
      <c r="O166" s="17" t="n"/>
      <c r="P166" s="18" t="n">
        <v>0</v>
      </c>
      <c r="Q166" s="18" t="n"/>
      <c r="R166" s="18" t="n">
        <v>1307532.44</v>
      </c>
      <c r="S166" s="18" t="n">
        <v>14338562.39</v>
      </c>
      <c r="T166" s="17" t="n"/>
      <c r="U166" s="18" t="n">
        <v>3181.13099694292</v>
      </c>
      <c r="V166" s="18" t="n">
        <v>3181.13099694292</v>
      </c>
      <c r="W166" s="21" t="n">
        <v>2022</v>
      </c>
      <c r="X166" s="1" t="n">
        <v>2353388.21</v>
      </c>
      <c r="Y166" s="3" t="n">
        <f aca="false" ca="false" dt2D="false" dtr="false" t="normal">+(K166*10+L166*20)*12*0.85</f>
        <v>558996.72</v>
      </c>
      <c r="Z166" s="3" t="n">
        <f aca="false" ca="false" dt2D="false" dtr="false" t="normal">+(K166*10+L166*20)*12*30</f>
        <v>19729296</v>
      </c>
      <c r="AB166" s="23" t="n">
        <f aca="false" ca="true" dt2D="false" dtr="false" t="normal">SUBTOTAL(9, AC166:AQ166)</f>
        <v>15646094.829999998</v>
      </c>
      <c r="AC166" s="17" t="n">
        <v>3172690.78</v>
      </c>
      <c r="AD166" s="17" t="n">
        <v>0</v>
      </c>
      <c r="AE166" s="195" t="n">
        <v>0</v>
      </c>
      <c r="AF166" s="17" t="n"/>
      <c r="AG166" s="17" t="n">
        <v>0</v>
      </c>
      <c r="AH166" s="17" t="n"/>
      <c r="AI166" s="17" t="n"/>
      <c r="AJ166" s="17" t="n">
        <v>0</v>
      </c>
      <c r="AK166" s="17" t="n">
        <v>5090700.49</v>
      </c>
      <c r="AL166" s="17" t="n">
        <v>0</v>
      </c>
      <c r="AM166" s="17" t="n">
        <v>7382703.56</v>
      </c>
      <c r="AN166" s="17" t="n"/>
      <c r="AO166" s="17" t="n"/>
      <c r="AP166" s="18" t="n"/>
      <c r="AQ166" s="24" t="n"/>
      <c r="AR166" s="3" t="n">
        <f aca="false" ca="false" dt2D="false" dtr="false" t="normal">N166-AB166</f>
        <v>0</v>
      </c>
    </row>
    <row outlineLevel="0" r="167">
      <c r="A167" s="154" t="n">
        <f aca="false" ca="false" dt2D="false" dtr="false" t="normal">+A166+1</f>
        <v>150</v>
      </c>
      <c r="B167" s="138" t="n">
        <f aca="false" ca="false" dt2D="false" dtr="false" t="normal">+B166+1</f>
        <v>150</v>
      </c>
      <c r="C167" s="138" t="s">
        <v>93</v>
      </c>
      <c r="D167" s="138" t="s">
        <v>112</v>
      </c>
      <c r="E167" s="139" t="n">
        <v>1993</v>
      </c>
      <c r="F167" s="139" t="n">
        <v>2014</v>
      </c>
      <c r="G167" s="139" t="s">
        <v>4</v>
      </c>
      <c r="H167" s="139" t="n">
        <v>9</v>
      </c>
      <c r="I167" s="139" t="n">
        <v>1</v>
      </c>
      <c r="J167" s="17" t="n">
        <v>2553.4</v>
      </c>
      <c r="K167" s="17" t="n">
        <v>2128.8</v>
      </c>
      <c r="L167" s="17" t="n">
        <v>0</v>
      </c>
      <c r="M167" s="140" t="n">
        <v>78</v>
      </c>
      <c r="N167" s="16" t="n">
        <f aca="false" ca="false" dt2D="false" dtr="false" t="normal">SUM(P167:T167)</f>
        <v>580989.24</v>
      </c>
      <c r="O167" s="17" t="n"/>
      <c r="P167" s="18" t="n"/>
      <c r="Q167" s="18" t="n"/>
      <c r="R167" s="18" t="n">
        <v>580989.24</v>
      </c>
      <c r="S167" s="18" t="n"/>
      <c r="T167" s="17" t="n"/>
      <c r="U167" s="18" t="n">
        <v>543.057560212007</v>
      </c>
      <c r="V167" s="18" t="n">
        <v>543.057560212007</v>
      </c>
      <c r="W167" s="21" t="n">
        <v>2022</v>
      </c>
      <c r="X167" s="1" t="n">
        <f aca="false" ca="false" dt2D="false" dtr="false" t="normal">1103126.79-79353.74-714183.7328</f>
        <v>309589.31720000005</v>
      </c>
      <c r="Y167" s="3" t="n">
        <f aca="false" ca="false" dt2D="false" dtr="false" t="normal">+(K167*13.29+L167*22.52)*12*0.85</f>
        <v>288575.87039999996</v>
      </c>
      <c r="Z167" s="3" t="n">
        <f aca="false" ca="false" dt2D="false" dtr="false" t="normal">+(K167*13.29+L167*22.52)*12*30-300950.5-2600695.91</f>
        <v>7283384.309999999</v>
      </c>
      <c r="AB167" s="23" t="n">
        <f aca="false" ca="true" dt2D="false" dtr="false" t="normal">SUBTOTAL(9, AC167:AQ167)</f>
        <v>580989.24</v>
      </c>
      <c r="AC167" s="17" t="n"/>
      <c r="AD167" s="17" t="n"/>
      <c r="AE167" s="195" t="n"/>
      <c r="AF167" s="17" t="n"/>
      <c r="AG167" s="17" t="n"/>
      <c r="AH167" s="17" t="n"/>
      <c r="AI167" s="17" t="n"/>
      <c r="AJ167" s="17" t="n">
        <v>0</v>
      </c>
      <c r="AK167" s="17" t="n">
        <v>0</v>
      </c>
      <c r="AL167" s="17" t="n">
        <v>0</v>
      </c>
      <c r="AM167" s="17" t="n"/>
      <c r="AN167" s="17" t="n">
        <v>580989.24</v>
      </c>
      <c r="AO167" s="17" t="n"/>
      <c r="AP167" s="18" t="n"/>
      <c r="AQ167" s="24" t="n"/>
      <c r="AR167" s="3" t="n">
        <f aca="false" ca="false" dt2D="false" dtr="false" t="normal">N167-AB167</f>
        <v>0</v>
      </c>
    </row>
    <row outlineLevel="0" r="168">
      <c r="A168" s="154" t="n">
        <f aca="false" ca="false" dt2D="false" dtr="false" t="normal">+A167+1</f>
        <v>151</v>
      </c>
      <c r="B168" s="138" t="n">
        <f aca="false" ca="false" dt2D="false" dtr="false" t="normal">+B167+1</f>
        <v>151</v>
      </c>
      <c r="C168" s="138" t="s">
        <v>93</v>
      </c>
      <c r="D168" s="138" t="s">
        <v>109</v>
      </c>
      <c r="E168" s="139" t="n">
        <v>1972</v>
      </c>
      <c r="F168" s="139" t="n">
        <v>2013</v>
      </c>
      <c r="G168" s="139" t="s">
        <v>4</v>
      </c>
      <c r="H168" s="139" t="n">
        <v>4</v>
      </c>
      <c r="I168" s="139" t="n">
        <v>6</v>
      </c>
      <c r="J168" s="17" t="n">
        <v>4437.9</v>
      </c>
      <c r="K168" s="17" t="n">
        <v>4088.2</v>
      </c>
      <c r="L168" s="17" t="n">
        <v>0</v>
      </c>
      <c r="M168" s="140" t="n">
        <v>207</v>
      </c>
      <c r="N168" s="16" t="n">
        <f aca="false" ca="false" dt2D="false" dtr="false" t="normal">SUM(P168:T168)</f>
        <v>7632409.283</v>
      </c>
      <c r="O168" s="17" t="n"/>
      <c r="P168" s="18" t="n">
        <v>2746655.59</v>
      </c>
      <c r="Q168" s="18" t="n"/>
      <c r="R168" s="18" t="n">
        <v>501539.16</v>
      </c>
      <c r="S168" s="18" t="n">
        <v>4384214.533</v>
      </c>
      <c r="T168" s="17" t="n"/>
      <c r="U168" s="18" t="n">
        <v>1973.00885691057</v>
      </c>
      <c r="V168" s="18" t="n">
        <v>1973.00885691057</v>
      </c>
      <c r="W168" s="21" t="n">
        <v>2022</v>
      </c>
      <c r="X168" s="1" t="n">
        <v>1932968.35</v>
      </c>
      <c r="Y168" s="3" t="n">
        <f aca="false" ca="false" dt2D="false" dtr="false" t="normal">+(K168*10+L168*20)*12*0.85</f>
        <v>416996.39999999997</v>
      </c>
      <c r="Z168" s="3" t="n">
        <f aca="false" ca="false" dt2D="false" dtr="false" t="normal">+(K168*10+L168*20)*12*30</f>
        <v>14717520</v>
      </c>
      <c r="AB168" s="23" t="n">
        <f aca="false" ca="true" dt2D="false" dtr="false" t="normal">SUBTOTAL(9, AC168:AQ168)</f>
        <v>7632409.283</v>
      </c>
      <c r="AC168" s="17" t="n"/>
      <c r="AD168" s="17" t="n"/>
      <c r="AE168" s="195" t="n">
        <v>3648621.62</v>
      </c>
      <c r="AF168" s="17" t="n">
        <v>3268542.62</v>
      </c>
      <c r="AG168" s="17" t="n">
        <v>0</v>
      </c>
      <c r="AH168" s="17" t="n"/>
      <c r="AI168" s="17" t="n"/>
      <c r="AJ168" s="17" t="n">
        <v>0</v>
      </c>
      <c r="AK168" s="17" t="n">
        <v>0</v>
      </c>
      <c r="AL168" s="17" t="n">
        <v>0</v>
      </c>
      <c r="AM168" s="17" t="n">
        <v>0</v>
      </c>
      <c r="AN168" s="17" t="n">
        <v>0</v>
      </c>
      <c r="AO168" s="17" t="n">
        <v>630230.4777</v>
      </c>
      <c r="AP168" s="18" t="n">
        <v>85014.5653</v>
      </c>
      <c r="AQ168" s="24" t="n"/>
      <c r="AR168" s="3" t="n">
        <f aca="false" ca="false" dt2D="false" dtr="false" t="normal">N168-AB168</f>
        <v>0</v>
      </c>
    </row>
    <row outlineLevel="0" r="169">
      <c r="A169" s="154" t="n">
        <f aca="false" ca="false" dt2D="false" dtr="false" t="normal">+A168+1</f>
        <v>152</v>
      </c>
      <c r="B169" s="138" t="n">
        <f aca="false" ca="false" dt2D="false" dtr="false" t="normal">+B168+1</f>
        <v>152</v>
      </c>
      <c r="C169" s="138" t="s">
        <v>114</v>
      </c>
      <c r="D169" s="138" t="s">
        <v>393</v>
      </c>
      <c r="E169" s="139" t="n">
        <v>1985</v>
      </c>
      <c r="F169" s="139" t="n">
        <v>1985</v>
      </c>
      <c r="G169" s="139" t="s">
        <v>4</v>
      </c>
      <c r="H169" s="139" t="n">
        <v>5</v>
      </c>
      <c r="I169" s="139" t="n">
        <v>4</v>
      </c>
      <c r="J169" s="17" t="n">
        <v>4957.5</v>
      </c>
      <c r="K169" s="17" t="n">
        <v>4305.4</v>
      </c>
      <c r="L169" s="17" t="n">
        <v>651.2</v>
      </c>
      <c r="M169" s="140" t="n">
        <v>166</v>
      </c>
      <c r="N169" s="16" t="n">
        <f aca="false" ca="false" dt2D="false" dtr="false" t="normal">SUM(P169:T169)</f>
        <v>9398785.45</v>
      </c>
      <c r="O169" s="17" t="n"/>
      <c r="P169" s="18" t="n"/>
      <c r="Q169" s="18" t="n"/>
      <c r="R169" s="18" t="n">
        <v>2359386</v>
      </c>
      <c r="S169" s="18" t="n">
        <v>7039399.45</v>
      </c>
      <c r="T169" s="17" t="n"/>
      <c r="U169" s="18" t="n">
        <v>2081.42907697214</v>
      </c>
      <c r="V169" s="18" t="n">
        <v>2081.42907697214</v>
      </c>
      <c r="W169" s="21" t="n">
        <v>2022</v>
      </c>
      <c r="X169" s="1" t="n">
        <v>2028653.94</v>
      </c>
      <c r="Y169" s="3" t="n">
        <f aca="false" ca="false" dt2D="false" dtr="false" t="normal">+(K169*10+L169*20)*12*0.85</f>
        <v>571995.6</v>
      </c>
      <c r="Z169" s="3" t="n">
        <f aca="false" ca="false" dt2D="false" dtr="false" t="normal">+(K169*10+L169*20)*12*30</f>
        <v>20188080</v>
      </c>
      <c r="AB169" s="23" t="n">
        <f aca="false" ca="true" dt2D="false" dtr="false" t="normal">SUBTOTAL(9, AC169:AQ169)</f>
        <v>9398785.45</v>
      </c>
      <c r="AC169" s="17" t="n"/>
      <c r="AD169" s="17" t="n"/>
      <c r="AE169" s="195" t="n">
        <v>0</v>
      </c>
      <c r="AF169" s="17" t="n">
        <v>0</v>
      </c>
      <c r="AG169" s="17" t="n">
        <v>0</v>
      </c>
      <c r="AH169" s="17" t="n"/>
      <c r="AI169" s="17" t="n"/>
      <c r="AJ169" s="17" t="n">
        <v>0</v>
      </c>
      <c r="AK169" s="17" t="n">
        <v>9398785.45</v>
      </c>
      <c r="AL169" s="17" t="n">
        <v>0</v>
      </c>
      <c r="AM169" s="17" t="n">
        <v>0</v>
      </c>
      <c r="AN169" s="17" t="n">
        <v>0</v>
      </c>
      <c r="AO169" s="17" t="n"/>
      <c r="AP169" s="18" t="n"/>
      <c r="AQ169" s="24" t="n"/>
      <c r="AR169" s="3" t="n">
        <f aca="false" ca="false" dt2D="false" dtr="false" t="normal">N169-AB169</f>
        <v>0</v>
      </c>
    </row>
    <row outlineLevel="0" r="170">
      <c r="A170" s="154" t="n">
        <f aca="false" ca="false" dt2D="false" dtr="false" t="normal">+A169+1</f>
        <v>153</v>
      </c>
      <c r="B170" s="138" t="n">
        <f aca="false" ca="false" dt2D="false" dtr="false" t="normal">+B169+1</f>
        <v>153</v>
      </c>
      <c r="C170" s="138" t="s">
        <v>114</v>
      </c>
      <c r="D170" s="138" t="s">
        <v>395</v>
      </c>
      <c r="E170" s="139" t="n">
        <v>1988</v>
      </c>
      <c r="F170" s="139" t="n">
        <v>1988</v>
      </c>
      <c r="G170" s="139" t="s">
        <v>4</v>
      </c>
      <c r="H170" s="139" t="n">
        <v>5</v>
      </c>
      <c r="I170" s="139" t="n">
        <v>4</v>
      </c>
      <c r="J170" s="17" t="n">
        <v>5038.4</v>
      </c>
      <c r="K170" s="17" t="n">
        <v>3442.8</v>
      </c>
      <c r="L170" s="17" t="n">
        <v>1586</v>
      </c>
      <c r="M170" s="140" t="n">
        <v>156</v>
      </c>
      <c r="N170" s="16" t="n">
        <f aca="false" ca="false" dt2D="false" dtr="false" t="normal">SUM(P170:T170)</f>
        <v>9546866.397</v>
      </c>
      <c r="O170" s="17" t="n"/>
      <c r="P170" s="18" t="n"/>
      <c r="Q170" s="18" t="n"/>
      <c r="R170" s="18" t="n">
        <v>2876903.01</v>
      </c>
      <c r="S170" s="18" t="n">
        <v>6669963.387</v>
      </c>
      <c r="T170" s="17" t="n"/>
      <c r="U170" s="18" t="n">
        <v>1998.57862395387</v>
      </c>
      <c r="V170" s="18" t="n">
        <v>1998.57862395387</v>
      </c>
      <c r="W170" s="21" t="n">
        <v>2022</v>
      </c>
      <c r="X170" s="1" t="n">
        <v>2748459.05</v>
      </c>
      <c r="Y170" s="3" t="n">
        <f aca="false" ca="false" dt2D="false" dtr="false" t="normal">+(K170*10+L170*20)*12*0.85</f>
        <v>674709.6</v>
      </c>
      <c r="Z170" s="3" t="n">
        <f aca="false" ca="false" dt2D="false" dtr="false" t="normal">+(K170*10+L170*20)*12*30</f>
        <v>23813280</v>
      </c>
      <c r="AB170" s="23" t="n">
        <f aca="false" ca="true" dt2D="false" dtr="false" t="normal">SUBTOTAL(9, AC170:AQ170)</f>
        <v>9546866.397</v>
      </c>
      <c r="AC170" s="17" t="n"/>
      <c r="AD170" s="17" t="n"/>
      <c r="AE170" s="195" t="n"/>
      <c r="AF170" s="17" t="n">
        <v>0</v>
      </c>
      <c r="AG170" s="17" t="n">
        <v>0</v>
      </c>
      <c r="AH170" s="17" t="n"/>
      <c r="AI170" s="17" t="n"/>
      <c r="AJ170" s="17" t="n">
        <v>0</v>
      </c>
      <c r="AK170" s="17" t="n">
        <v>9546866.397</v>
      </c>
      <c r="AL170" s="17" t="n">
        <v>0</v>
      </c>
      <c r="AM170" s="17" t="n">
        <v>0</v>
      </c>
      <c r="AN170" s="17" t="n">
        <v>0</v>
      </c>
      <c r="AO170" s="17" t="n"/>
      <c r="AP170" s="18" t="n"/>
      <c r="AQ170" s="24" t="n"/>
      <c r="AR170" s="3" t="n">
        <f aca="false" ca="false" dt2D="false" dtr="false" t="normal">N170-AB170</f>
        <v>0</v>
      </c>
    </row>
    <row outlineLevel="0" r="171">
      <c r="A171" s="154" t="n">
        <f aca="false" ca="false" dt2D="false" dtr="false" t="normal">+A170+1</f>
        <v>154</v>
      </c>
      <c r="B171" s="138" t="n">
        <f aca="false" ca="false" dt2D="false" dtr="false" t="normal">+B170+1</f>
        <v>154</v>
      </c>
      <c r="C171" s="138" t="s">
        <v>114</v>
      </c>
      <c r="D171" s="138" t="s">
        <v>117</v>
      </c>
      <c r="E171" s="139" t="n">
        <v>1986</v>
      </c>
      <c r="F171" s="139" t="n">
        <v>1986</v>
      </c>
      <c r="G171" s="139" t="s">
        <v>4</v>
      </c>
      <c r="H171" s="139" t="n">
        <v>5</v>
      </c>
      <c r="I171" s="139" t="n">
        <v>4</v>
      </c>
      <c r="J171" s="17" t="n">
        <v>4691.9</v>
      </c>
      <c r="K171" s="17" t="n">
        <v>4321.1</v>
      </c>
      <c r="L171" s="17" t="n">
        <v>298</v>
      </c>
      <c r="M171" s="140" t="n">
        <v>195</v>
      </c>
      <c r="N171" s="16" t="n">
        <f aca="false" ca="false" dt2D="false" dtr="false" t="normal">SUM(P171:T171)</f>
        <v>16106664.95</v>
      </c>
      <c r="O171" s="17" t="n"/>
      <c r="P171" s="18" t="n">
        <v>5030178.26</v>
      </c>
      <c r="Q171" s="18" t="n"/>
      <c r="R171" s="18" t="n">
        <v>1064681.94</v>
      </c>
      <c r="S171" s="18" t="n">
        <v>10011804.75</v>
      </c>
      <c r="T171" s="18" t="n"/>
      <c r="U171" s="17" t="n">
        <v>3686.65382562199</v>
      </c>
      <c r="V171" s="17" t="n">
        <v>3686.65382562199</v>
      </c>
      <c r="W171" s="21" t="n">
        <v>2022</v>
      </c>
      <c r="X171" s="1" t="n">
        <v>1886055.9</v>
      </c>
      <c r="Y171" s="3" t="n">
        <f aca="false" ca="false" dt2D="false" dtr="false" t="normal">+(K171*10+L171*20)*12*0.85</f>
        <v>501544.2</v>
      </c>
      <c r="Z171" s="3" t="n">
        <f aca="false" ca="false" dt2D="false" dtr="false" t="normal">+(K171*10+L171*20)*12*30</f>
        <v>17701560</v>
      </c>
      <c r="AB171" s="23" t="n">
        <f aca="false" ca="true" dt2D="false" dtr="false" t="normal">SUBTOTAL(9, AC171:AQ171)</f>
        <v>16106664.95</v>
      </c>
      <c r="AC171" s="17" t="n"/>
      <c r="AD171" s="17" t="n"/>
      <c r="AE171" s="195" t="n">
        <v>0</v>
      </c>
      <c r="AF171" s="17" t="n">
        <v>0</v>
      </c>
      <c r="AG171" s="17" t="n">
        <v>0</v>
      </c>
      <c r="AH171" s="17" t="n"/>
      <c r="AI171" s="17" t="n"/>
      <c r="AJ171" s="17" t="n">
        <v>0</v>
      </c>
      <c r="AK171" s="17" t="n">
        <v>16106664.95</v>
      </c>
      <c r="AL171" s="17" t="n">
        <v>0</v>
      </c>
      <c r="AM171" s="17" t="n">
        <v>0</v>
      </c>
      <c r="AN171" s="17" t="n">
        <v>0</v>
      </c>
      <c r="AO171" s="17" t="n"/>
      <c r="AP171" s="18" t="n"/>
      <c r="AQ171" s="24" t="n"/>
      <c r="AR171" s="3" t="n">
        <f aca="false" ca="false" dt2D="false" dtr="false" t="normal">N171-AB171</f>
        <v>0</v>
      </c>
    </row>
    <row outlineLevel="0" r="172">
      <c r="A172" s="154" t="n">
        <f aca="false" ca="false" dt2D="false" dtr="false" t="normal">+A171+1</f>
        <v>155</v>
      </c>
      <c r="B172" s="138" t="n">
        <f aca="false" ca="false" dt2D="false" dtr="false" t="normal">+B171+1</f>
        <v>155</v>
      </c>
      <c r="C172" s="138" t="s">
        <v>397</v>
      </c>
      <c r="D172" s="138" t="s">
        <v>398</v>
      </c>
      <c r="E172" s="139" t="n">
        <v>1994</v>
      </c>
      <c r="F172" s="139" t="n">
        <v>1994</v>
      </c>
      <c r="G172" s="139" t="s">
        <v>4</v>
      </c>
      <c r="H172" s="139" t="n">
        <v>2</v>
      </c>
      <c r="I172" s="139" t="n">
        <v>2</v>
      </c>
      <c r="J172" s="17" t="n">
        <v>1089.5</v>
      </c>
      <c r="K172" s="17" t="n">
        <v>978.3</v>
      </c>
      <c r="L172" s="17" t="n">
        <v>0</v>
      </c>
      <c r="M172" s="140" t="n">
        <v>43</v>
      </c>
      <c r="N172" s="16" t="n">
        <f aca="false" ca="false" dt2D="false" dtr="false" t="normal">SUM(P172:T172)</f>
        <v>638349.5900000002</v>
      </c>
      <c r="O172" s="17" t="n"/>
      <c r="P172" s="18" t="n">
        <v>327001.24</v>
      </c>
      <c r="Q172" s="18" t="n"/>
      <c r="R172" s="18" t="n">
        <v>252886.06</v>
      </c>
      <c r="S172" s="18" t="n">
        <v>35183.9070440001</v>
      </c>
      <c r="T172" s="17" t="n">
        <v>23278.382956</v>
      </c>
      <c r="U172" s="18" t="n">
        <v>664.647262643361</v>
      </c>
      <c r="V172" s="18" t="n">
        <v>664.647262643361</v>
      </c>
      <c r="W172" s="21" t="n">
        <v>2022</v>
      </c>
      <c r="X172" s="1" t="n">
        <v>431386</v>
      </c>
      <c r="Y172" s="3" t="n">
        <f aca="false" ca="false" dt2D="false" dtr="false" t="normal">+(K172*10+L172*20)*12*0.85</f>
        <v>99786.59999999999</v>
      </c>
      <c r="Z172" s="3" t="n">
        <f aca="false" ca="false" dt2D="false" dtr="false" t="normal">+(K172*10+L172*20)*12*30</f>
        <v>3521880</v>
      </c>
      <c r="AB172" s="23" t="n">
        <f aca="false" ca="true" dt2D="false" dtr="false" t="normal">SUBTOTAL(9, AC172:AQ172)</f>
        <v>638349.5900000001</v>
      </c>
      <c r="AC172" s="17" t="n">
        <v>0</v>
      </c>
      <c r="AD172" s="17" t="n">
        <v>0</v>
      </c>
      <c r="AE172" s="195" t="n">
        <v>0</v>
      </c>
      <c r="AF172" s="17" t="n">
        <v>0</v>
      </c>
      <c r="AG172" s="17" t="n">
        <v>579887.3</v>
      </c>
      <c r="AH172" s="17" t="n"/>
      <c r="AI172" s="17" t="n"/>
      <c r="AJ172" s="17" t="n">
        <v>0</v>
      </c>
      <c r="AK172" s="17" t="n">
        <v>0</v>
      </c>
      <c r="AL172" s="17" t="n">
        <v>0</v>
      </c>
      <c r="AM172" s="17" t="n">
        <v>0</v>
      </c>
      <c r="AN172" s="17" t="n">
        <v>0</v>
      </c>
      <c r="AO172" s="17" t="n">
        <v>58462.29</v>
      </c>
      <c r="AP172" s="17" t="n"/>
      <c r="AQ172" s="24" t="n"/>
      <c r="AR172" s="3" t="n">
        <f aca="false" ca="false" dt2D="false" dtr="false" t="normal">N172-AB172</f>
        <v>0</v>
      </c>
    </row>
    <row outlineLevel="0" r="173">
      <c r="A173" s="154" t="n">
        <f aca="false" ca="false" dt2D="false" dtr="false" t="normal">+A172+1</f>
        <v>156</v>
      </c>
      <c r="B173" s="138" t="n">
        <f aca="false" ca="false" dt2D="false" dtr="false" t="normal">+B172+1</f>
        <v>156</v>
      </c>
      <c r="C173" s="138" t="s">
        <v>119</v>
      </c>
      <c r="D173" s="138" t="s">
        <v>120</v>
      </c>
      <c r="E173" s="139" t="n">
        <v>1982</v>
      </c>
      <c r="F173" s="139" t="n">
        <v>1982</v>
      </c>
      <c r="G173" s="139" t="s">
        <v>4</v>
      </c>
      <c r="H173" s="139" t="n">
        <v>5</v>
      </c>
      <c r="I173" s="139" t="n">
        <v>1</v>
      </c>
      <c r="J173" s="17" t="n">
        <v>982.9</v>
      </c>
      <c r="K173" s="17" t="n">
        <v>982.9</v>
      </c>
      <c r="L173" s="17" t="n">
        <v>0</v>
      </c>
      <c r="M173" s="140" t="n">
        <v>23</v>
      </c>
      <c r="N173" s="16" t="n">
        <f aca="false" ca="false" dt2D="false" dtr="false" t="normal">SUM(P173:T173)</f>
        <v>3752714.61</v>
      </c>
      <c r="O173" s="17" t="n"/>
      <c r="P173" s="18" t="n"/>
      <c r="Q173" s="18" t="n"/>
      <c r="R173" s="18" t="n">
        <v>310089.55</v>
      </c>
      <c r="S173" s="18" t="n">
        <v>3442625.06</v>
      </c>
      <c r="T173" s="18" t="n"/>
      <c r="U173" s="17" t="n">
        <v>3908.8474003091</v>
      </c>
      <c r="V173" s="17" t="n">
        <v>3908.8474003091</v>
      </c>
      <c r="W173" s="21" t="n">
        <v>2022</v>
      </c>
      <c r="X173" s="12" t="n">
        <f aca="false" ca="false" dt2D="false" dtr="false" t="normal">344430.27</f>
        <v>344430.27</v>
      </c>
      <c r="Y173" s="3" t="n">
        <f aca="false" ca="false" dt2D="false" dtr="false" t="normal">+(K173*10+L173*20)*12*0.85</f>
        <v>100255.8</v>
      </c>
      <c r="Z173" s="3" t="n">
        <f aca="false" ca="false" dt2D="false" dtr="false" t="normal">+(K173*10+L173*20)*12*30</f>
        <v>3538440</v>
      </c>
      <c r="AB173" s="23" t="n">
        <f aca="false" ca="true" dt2D="false" dtr="false" t="normal">SUBTOTAL(9, AC173:AQ173)</f>
        <v>3752714.61</v>
      </c>
      <c r="AC173" s="17" t="n"/>
      <c r="AD173" s="17" t="n"/>
      <c r="AE173" s="195" t="n"/>
      <c r="AF173" s="17" t="n"/>
      <c r="AG173" s="17" t="n"/>
      <c r="AH173" s="17" t="n"/>
      <c r="AI173" s="17" t="n"/>
      <c r="AJ173" s="17" t="n"/>
      <c r="AK173" s="17" t="n">
        <v>1229943.21</v>
      </c>
      <c r="AL173" s="17" t="n"/>
      <c r="AM173" s="17" t="n"/>
      <c r="AN173" s="17" t="n">
        <v>2522771.4</v>
      </c>
      <c r="AO173" s="17" t="n"/>
      <c r="AP173" s="18" t="n"/>
      <c r="AQ173" s="24" t="n"/>
      <c r="AR173" s="3" t="n">
        <f aca="false" ca="false" dt2D="false" dtr="false" t="normal">N173-AB173</f>
        <v>0</v>
      </c>
    </row>
    <row outlineLevel="0" r="174">
      <c r="A174" s="154" t="n">
        <f aca="false" ca="false" dt2D="false" dtr="false" t="normal">+A173+1</f>
        <v>157</v>
      </c>
      <c r="B174" s="138" t="n">
        <f aca="false" ca="false" dt2D="false" dtr="false" t="normal">+B173+1</f>
        <v>157</v>
      </c>
      <c r="C174" s="138" t="s">
        <v>119</v>
      </c>
      <c r="D174" s="138" t="s">
        <v>125</v>
      </c>
      <c r="E174" s="139" t="n">
        <v>1979</v>
      </c>
      <c r="F174" s="139" t="n">
        <v>2013</v>
      </c>
      <c r="G174" s="139" t="s">
        <v>4</v>
      </c>
      <c r="H174" s="139" t="n">
        <v>4</v>
      </c>
      <c r="I174" s="139" t="n">
        <v>2</v>
      </c>
      <c r="J174" s="17" t="n">
        <v>1304.3</v>
      </c>
      <c r="K174" s="17" t="n">
        <v>1304.3</v>
      </c>
      <c r="L174" s="17" t="n">
        <v>0</v>
      </c>
      <c r="M174" s="140" t="n">
        <v>47</v>
      </c>
      <c r="N174" s="16" t="n">
        <f aca="false" ca="false" dt2D="false" dtr="false" t="normal">SUM(P174:T174)</f>
        <v>2093523.54</v>
      </c>
      <c r="O174" s="17" t="n"/>
      <c r="P174" s="18" t="n"/>
      <c r="Q174" s="18" t="n"/>
      <c r="R174" s="18" t="n">
        <v>446256.02</v>
      </c>
      <c r="S174" s="18" t="n">
        <v>1647267.52</v>
      </c>
      <c r="T174" s="18" t="n"/>
      <c r="U174" s="17" t="n">
        <v>1783.43310402835</v>
      </c>
      <c r="V174" s="17" t="n">
        <v>1783.43310402835</v>
      </c>
      <c r="W174" s="21" t="n">
        <v>2022</v>
      </c>
      <c r="X174" s="12" t="n">
        <f aca="false" ca="false" dt2D="false" dtr="false" t="normal">505122.22</f>
        <v>505122.22</v>
      </c>
      <c r="Y174" s="3" t="n">
        <f aca="false" ca="false" dt2D="false" dtr="false" t="normal">+(K174*10+L174*20)*12*0.85</f>
        <v>133038.6</v>
      </c>
      <c r="Z174" s="3" t="n">
        <f aca="false" ca="false" dt2D="false" dtr="false" t="normal">+(K174*10+L174*20)*12*30</f>
        <v>4695480</v>
      </c>
      <c r="AB174" s="23" t="n">
        <f aca="false" ca="true" dt2D="false" dtr="false" t="normal">SUBTOTAL(9, AC174:AQ174)</f>
        <v>2093523.54</v>
      </c>
      <c r="AC174" s="17" t="n">
        <v>0</v>
      </c>
      <c r="AD174" s="17" t="n">
        <v>0</v>
      </c>
      <c r="AE174" s="195" t="n"/>
      <c r="AF174" s="17" t="n"/>
      <c r="AG174" s="17" t="n"/>
      <c r="AH174" s="17" t="n"/>
      <c r="AI174" s="17" t="n"/>
      <c r="AJ174" s="17" t="n"/>
      <c r="AK174" s="17" t="n">
        <v>2093523.54</v>
      </c>
      <c r="AL174" s="17" t="n"/>
      <c r="AM174" s="17" t="n"/>
      <c r="AN174" s="17" t="n"/>
      <c r="AO174" s="17" t="n"/>
      <c r="AP174" s="18" t="n"/>
      <c r="AQ174" s="24" t="n"/>
      <c r="AR174" s="3" t="n">
        <f aca="false" ca="false" dt2D="false" dtr="false" t="normal">N174-AB174</f>
        <v>0</v>
      </c>
    </row>
    <row outlineLevel="0" r="175">
      <c r="A175" s="154" t="n">
        <f aca="false" ca="false" dt2D="false" dtr="false" t="normal">+A174+1</f>
        <v>158</v>
      </c>
      <c r="B175" s="138" t="n">
        <f aca="false" ca="false" dt2D="false" dtr="false" t="normal">+B174+1</f>
        <v>158</v>
      </c>
      <c r="C175" s="138" t="s">
        <v>119</v>
      </c>
      <c r="D175" s="138" t="s">
        <v>121</v>
      </c>
      <c r="E175" s="139" t="n">
        <v>1989</v>
      </c>
      <c r="F175" s="139" t="n">
        <v>2013</v>
      </c>
      <c r="G175" s="139" t="s">
        <v>4</v>
      </c>
      <c r="H175" s="139" t="n">
        <v>5</v>
      </c>
      <c r="I175" s="139" t="n">
        <v>3</v>
      </c>
      <c r="J175" s="17" t="n">
        <v>2867.1</v>
      </c>
      <c r="K175" s="17" t="n">
        <v>2862</v>
      </c>
      <c r="L175" s="17" t="n">
        <v>0</v>
      </c>
      <c r="M175" s="140" t="n">
        <v>82</v>
      </c>
      <c r="N175" s="16" t="n">
        <f aca="false" ca="false" dt2D="false" dtr="false" t="normal">SUM(P175:T175)</f>
        <v>539462.39</v>
      </c>
      <c r="O175" s="17" t="n"/>
      <c r="P175" s="18" t="n"/>
      <c r="Q175" s="18" t="n"/>
      <c r="R175" s="18" t="n">
        <v>539462.39</v>
      </c>
      <c r="S175" s="18" t="n"/>
      <c r="T175" s="18" t="n"/>
      <c r="U175" s="17" t="n">
        <v>540.191583431293</v>
      </c>
      <c r="V175" s="17" t="n">
        <v>540.191583431293</v>
      </c>
      <c r="W175" s="21" t="n">
        <v>2022</v>
      </c>
      <c r="X175" s="1" t="n">
        <v>853930.16</v>
      </c>
      <c r="Y175" s="3" t="n">
        <f aca="false" ca="false" dt2D="false" dtr="false" t="normal">+(K175*10+L175*20)*12*0.85</f>
        <v>291924</v>
      </c>
      <c r="Z175" s="3" t="n">
        <f aca="false" ca="false" dt2D="false" dtr="false" t="normal">+(K175*10+L175*20)*12*30</f>
        <v>10303200</v>
      </c>
      <c r="AB175" s="23" t="n">
        <f aca="false" ca="true" dt2D="false" dtr="false" t="normal">SUBTOTAL(9, AC175:AQ175)</f>
        <v>539462.39</v>
      </c>
      <c r="AC175" s="17" t="n">
        <v>0</v>
      </c>
      <c r="AD175" s="17" t="n">
        <v>0</v>
      </c>
      <c r="AE175" s="195" t="n"/>
      <c r="AF175" s="17" t="n"/>
      <c r="AG175" s="17" t="n"/>
      <c r="AH175" s="17" t="n"/>
      <c r="AI175" s="17" t="n"/>
      <c r="AJ175" s="17" t="n"/>
      <c r="AK175" s="17" t="n"/>
      <c r="AL175" s="17" t="n"/>
      <c r="AM175" s="17" t="n">
        <v>0</v>
      </c>
      <c r="AN175" s="17" t="n">
        <v>539462.39</v>
      </c>
      <c r="AO175" s="17" t="n"/>
      <c r="AP175" s="18" t="n"/>
      <c r="AQ175" s="24" t="n"/>
      <c r="AR175" s="3" t="n">
        <f aca="false" ca="false" dt2D="false" dtr="false" t="normal">N175-AB175</f>
        <v>0</v>
      </c>
    </row>
    <row outlineLevel="0" r="176">
      <c r="A176" s="154" t="n">
        <f aca="false" ca="false" dt2D="false" dtr="false" t="normal">+A175+1</f>
        <v>159</v>
      </c>
      <c r="B176" s="138" t="n">
        <f aca="false" ca="false" dt2D="false" dtr="false" t="normal">+B175+1</f>
        <v>159</v>
      </c>
      <c r="C176" s="138" t="s">
        <v>403</v>
      </c>
      <c r="D176" s="138" t="s">
        <v>404</v>
      </c>
      <c r="E176" s="139" t="n">
        <v>1972</v>
      </c>
      <c r="F176" s="139" t="n">
        <v>1984</v>
      </c>
      <c r="G176" s="139" t="s">
        <v>4</v>
      </c>
      <c r="H176" s="139" t="n">
        <v>4</v>
      </c>
      <c r="I176" s="139" t="n">
        <v>2</v>
      </c>
      <c r="J176" s="17" t="n">
        <v>1930.2</v>
      </c>
      <c r="K176" s="17" t="n">
        <v>1800.4</v>
      </c>
      <c r="L176" s="17" t="n">
        <v>0</v>
      </c>
      <c r="M176" s="140" t="n">
        <v>51</v>
      </c>
      <c r="N176" s="16" t="n">
        <f aca="false" ca="false" dt2D="false" dtr="false" t="normal">SUM(P176:T176)</f>
        <v>14480496.200000001</v>
      </c>
      <c r="O176" s="17" t="n"/>
      <c r="P176" s="18" t="n">
        <v>3669216.29</v>
      </c>
      <c r="Q176" s="18" t="n"/>
      <c r="R176" s="18" t="n">
        <v>820153.95</v>
      </c>
      <c r="S176" s="18" t="n">
        <v>6694161.21834428</v>
      </c>
      <c r="T176" s="17" t="n">
        <v>3296964.74165572</v>
      </c>
      <c r="U176" s="18" t="n">
        <v>8254.63791843162</v>
      </c>
      <c r="V176" s="18" t="n">
        <v>8254.63791843162</v>
      </c>
      <c r="W176" s="21" t="n">
        <v>2022</v>
      </c>
      <c r="X176" s="1" t="n">
        <v>636513.13</v>
      </c>
      <c r="Y176" s="3" t="n">
        <f aca="false" ca="false" dt2D="false" dtr="false" t="normal">+(K176*10+L176*20)*12*0.85</f>
        <v>183640.8</v>
      </c>
      <c r="Z176" s="3" t="n">
        <f aca="false" ca="false" dt2D="false" dtr="false" t="normal">+(K176*10+L176*20)*12*30</f>
        <v>6481440</v>
      </c>
      <c r="AB176" s="23" t="n">
        <f aca="false" ca="true" dt2D="false" dtr="false" t="normal">SUBTOTAL(9, AC176:AQ176)</f>
        <v>14480496.2</v>
      </c>
      <c r="AC176" s="17" t="n">
        <v>3185792.78</v>
      </c>
      <c r="AD176" s="17" t="n">
        <v>811520.58</v>
      </c>
      <c r="AE176" s="195" t="n">
        <v>739091.37</v>
      </c>
      <c r="AF176" s="17" t="n"/>
      <c r="AG176" s="17" t="n">
        <v>0</v>
      </c>
      <c r="AH176" s="17" t="n"/>
      <c r="AI176" s="17" t="n"/>
      <c r="AJ176" s="17" t="n">
        <v>0</v>
      </c>
      <c r="AK176" s="17" t="n">
        <v>5126751.94</v>
      </c>
      <c r="AL176" s="17" t="n">
        <v>0</v>
      </c>
      <c r="AM176" s="17" t="n"/>
      <c r="AN176" s="17" t="n">
        <v>4617339.53</v>
      </c>
      <c r="AO176" s="17" t="n"/>
      <c r="AP176" s="18" t="n"/>
      <c r="AQ176" s="24" t="n"/>
      <c r="AR176" s="3" t="n">
        <f aca="false" ca="false" dt2D="false" dtr="false" t="normal">N176-AB176</f>
        <v>0</v>
      </c>
    </row>
    <row outlineLevel="0" r="177">
      <c r="A177" s="154" t="n">
        <f aca="false" ca="false" dt2D="false" dtr="false" t="normal">+A176+1</f>
        <v>160</v>
      </c>
      <c r="B177" s="138" t="n">
        <f aca="false" ca="false" dt2D="false" dtr="false" t="normal">+B176+1</f>
        <v>160</v>
      </c>
      <c r="C177" s="138" t="s">
        <v>405</v>
      </c>
      <c r="D177" s="138" t="s">
        <v>406</v>
      </c>
      <c r="E177" s="139" t="n">
        <v>1986</v>
      </c>
      <c r="F177" s="139" t="n">
        <v>1986</v>
      </c>
      <c r="G177" s="139" t="s">
        <v>4</v>
      </c>
      <c r="H177" s="139" t="n">
        <v>2</v>
      </c>
      <c r="I177" s="139" t="n">
        <v>3</v>
      </c>
      <c r="J177" s="17" t="n">
        <v>946.5</v>
      </c>
      <c r="K177" s="17" t="n">
        <v>797.7</v>
      </c>
      <c r="L177" s="17" t="n">
        <v>0</v>
      </c>
      <c r="M177" s="140" t="n">
        <v>25</v>
      </c>
      <c r="N177" s="16" t="n">
        <f aca="false" ca="false" dt2D="false" dtr="false" t="normal">SUM(P177:T177)</f>
        <v>3997136.3000000003</v>
      </c>
      <c r="O177" s="17" t="n"/>
      <c r="P177" s="18" t="n">
        <v>1957073.09333333</v>
      </c>
      <c r="Q177" s="18" t="n"/>
      <c r="R177" s="18" t="n">
        <v>202536.72</v>
      </c>
      <c r="S177" s="18" t="n">
        <v>1050861.08</v>
      </c>
      <c r="T177" s="17" t="n">
        <v>786665.40666667</v>
      </c>
      <c r="U177" s="18" t="n">
        <v>5198.83621138523</v>
      </c>
      <c r="V177" s="18" t="n">
        <v>5198.83621138523</v>
      </c>
      <c r="W177" s="21" t="n">
        <v>2022</v>
      </c>
      <c r="X177" s="1" t="n">
        <f aca="false" ca="false" dt2D="false" dtr="false" t="normal">309904.68-196260.96</f>
        <v>113643.72</v>
      </c>
      <c r="Y177" s="3" t="n">
        <f aca="false" ca="false" dt2D="false" dtr="false" t="normal">+(K177*10+L177*20)*12*0.85</f>
        <v>81365.4</v>
      </c>
      <c r="Z177" s="3" t="n">
        <f aca="false" ca="false" dt2D="false" dtr="false" t="normal">+(K177*10+L177*20)*12*30-2086538.92</f>
        <v>785181.0800000001</v>
      </c>
      <c r="AB177" s="23" t="n">
        <f aca="false" ca="true" dt2D="false" dtr="false" t="normal">SUBTOTAL(9, AC177:AQ177)</f>
        <v>3997136.3000000003</v>
      </c>
      <c r="AC177" s="17" t="n">
        <v>0</v>
      </c>
      <c r="AD177" s="17" t="n">
        <v>0</v>
      </c>
      <c r="AE177" s="195" t="n">
        <v>0</v>
      </c>
      <c r="AF177" s="17" t="n">
        <v>0</v>
      </c>
      <c r="AG177" s="17" t="n">
        <v>0</v>
      </c>
      <c r="AH177" s="17" t="n"/>
      <c r="AI177" s="17" t="n"/>
      <c r="AJ177" s="17" t="n">
        <v>0</v>
      </c>
      <c r="AK177" s="17" t="n">
        <v>0</v>
      </c>
      <c r="AL177" s="17" t="n">
        <v>0</v>
      </c>
      <c r="AM177" s="17" t="n">
        <v>0</v>
      </c>
      <c r="AN177" s="17" t="n">
        <v>3880712.95</v>
      </c>
      <c r="AO177" s="17" t="n">
        <v>63874.52</v>
      </c>
      <c r="AP177" s="18" t="n">
        <v>52548.83</v>
      </c>
      <c r="AQ177" s="24" t="n"/>
      <c r="AR177" s="3" t="n">
        <f aca="false" ca="false" dt2D="false" dtr="false" t="normal">N177-AB177</f>
        <v>0</v>
      </c>
    </row>
    <row outlineLevel="0" r="178">
      <c r="A178" s="154" t="n">
        <f aca="false" ca="false" dt2D="false" dtr="false" t="normal">+A177+1</f>
        <v>161</v>
      </c>
      <c r="B178" s="138" t="n">
        <f aca="false" ca="false" dt2D="false" dtr="false" t="normal">+B177+1</f>
        <v>161</v>
      </c>
      <c r="C178" s="138" t="s">
        <v>405</v>
      </c>
      <c r="D178" s="138" t="s">
        <v>408</v>
      </c>
      <c r="E178" s="139" t="n">
        <v>1986</v>
      </c>
      <c r="F178" s="139" t="n">
        <v>1986</v>
      </c>
      <c r="G178" s="139" t="s">
        <v>4</v>
      </c>
      <c r="H178" s="139" t="n">
        <v>4</v>
      </c>
      <c r="I178" s="139" t="n">
        <v>4</v>
      </c>
      <c r="J178" s="17" t="n">
        <v>3420.4</v>
      </c>
      <c r="K178" s="17" t="n">
        <v>2641.9</v>
      </c>
      <c r="L178" s="17" t="n">
        <v>0</v>
      </c>
      <c r="M178" s="140" t="n">
        <v>102</v>
      </c>
      <c r="N178" s="16" t="n">
        <f aca="false" ca="false" dt2D="false" dtr="false" t="normal">SUM(P178:T178)</f>
        <v>6696808.97</v>
      </c>
      <c r="O178" s="17" t="n"/>
      <c r="P178" s="18" t="n"/>
      <c r="Q178" s="18" t="n"/>
      <c r="R178" s="18" t="n">
        <v>1164386.93</v>
      </c>
      <c r="S178" s="18" t="n">
        <v>5532422.04</v>
      </c>
      <c r="T178" s="17" t="n"/>
      <c r="U178" s="18" t="n">
        <v>2710.44898512358</v>
      </c>
      <c r="V178" s="18" t="n">
        <v>2710.44898512358</v>
      </c>
      <c r="W178" s="21" t="n">
        <v>2022</v>
      </c>
      <c r="X178" s="1" t="n">
        <v>1184809.02</v>
      </c>
      <c r="Y178" s="3" t="n">
        <f aca="false" ca="false" dt2D="false" dtr="false" t="normal">+(K178*10+L178*20)*12*0.85</f>
        <v>269473.8</v>
      </c>
      <c r="Z178" s="3" t="n">
        <f aca="false" ca="false" dt2D="false" dtr="false" t="normal">+(K178*10+L178*20)*12*30</f>
        <v>9510840</v>
      </c>
      <c r="AB178" s="23" t="n">
        <f aca="false" ca="true" dt2D="false" dtr="false" t="normal">SUBTOTAL(9, AC178:AQ178)</f>
        <v>6696808.97</v>
      </c>
      <c r="AC178" s="17" t="n">
        <v>0</v>
      </c>
      <c r="AD178" s="17" t="n">
        <v>0</v>
      </c>
      <c r="AE178" s="195" t="n">
        <v>0</v>
      </c>
      <c r="AF178" s="17" t="n">
        <v>0</v>
      </c>
      <c r="AG178" s="17" t="n">
        <v>0</v>
      </c>
      <c r="AH178" s="17" t="n"/>
      <c r="AI178" s="17" t="n"/>
      <c r="AJ178" s="17" t="n">
        <v>0</v>
      </c>
      <c r="AK178" s="17" t="n">
        <v>6406790.68</v>
      </c>
      <c r="AL178" s="17" t="n">
        <v>0</v>
      </c>
      <c r="AM178" s="17" t="n">
        <v>0</v>
      </c>
      <c r="AN178" s="17" t="n"/>
      <c r="AO178" s="17" t="n">
        <v>228114.94</v>
      </c>
      <c r="AP178" s="18" t="n">
        <v>61903.35</v>
      </c>
      <c r="AQ178" s="24" t="n"/>
      <c r="AR178" s="3" t="n">
        <f aca="false" ca="false" dt2D="false" dtr="false" t="normal">N178-AB178</f>
        <v>0</v>
      </c>
    </row>
    <row outlineLevel="0" r="179">
      <c r="A179" s="154" t="n">
        <f aca="false" ca="false" dt2D="false" dtr="false" t="normal">+A178+1</f>
        <v>162</v>
      </c>
      <c r="B179" s="138" t="n">
        <f aca="false" ca="false" dt2D="false" dtr="false" t="normal">+B178+1</f>
        <v>162</v>
      </c>
      <c r="C179" s="138" t="s">
        <v>405</v>
      </c>
      <c r="D179" s="138" t="s">
        <v>410</v>
      </c>
      <c r="E179" s="139" t="n">
        <v>1974</v>
      </c>
      <c r="F179" s="139" t="n">
        <v>1974</v>
      </c>
      <c r="G179" s="139" t="s">
        <v>4</v>
      </c>
      <c r="H179" s="139" t="n">
        <v>4</v>
      </c>
      <c r="I179" s="139" t="n">
        <v>4</v>
      </c>
      <c r="J179" s="17" t="n">
        <v>1999.2</v>
      </c>
      <c r="K179" s="17" t="n">
        <v>1458.9</v>
      </c>
      <c r="L179" s="17" t="n">
        <v>314.6</v>
      </c>
      <c r="M179" s="140" t="n">
        <v>57</v>
      </c>
      <c r="N179" s="16" t="n">
        <f aca="false" ca="false" dt2D="false" dtr="false" t="normal">SUM(P179:T179)</f>
        <v>4893604.36</v>
      </c>
      <c r="O179" s="17" t="n"/>
      <c r="P179" s="18" t="n"/>
      <c r="Q179" s="18" t="n"/>
      <c r="R179" s="18" t="n">
        <v>1064233.07</v>
      </c>
      <c r="S179" s="18" t="n">
        <v>3829371.29</v>
      </c>
      <c r="T179" s="17" t="n"/>
      <c r="U179" s="18" t="n">
        <v>2873.33307887905</v>
      </c>
      <c r="V179" s="18" t="n">
        <v>2873.33307887905</v>
      </c>
      <c r="W179" s="21" t="n">
        <v>2022</v>
      </c>
      <c r="X179" s="1" t="n">
        <v>851246.87</v>
      </c>
      <c r="Y179" s="3" t="n">
        <f aca="false" ca="false" dt2D="false" dtr="false" t="normal">+(K179*10+L179*20)*12*0.85</f>
        <v>212986.19999999998</v>
      </c>
      <c r="Z179" s="3" t="n">
        <f aca="false" ca="false" dt2D="false" dtr="false" t="normal">+(K179*10+L179*20)*12*30</f>
        <v>7517160</v>
      </c>
      <c r="AB179" s="23" t="n">
        <f aca="false" ca="true" dt2D="false" dtr="false" t="normal">SUBTOTAL(9, AC179:AQ179)</f>
        <v>4893604.36</v>
      </c>
      <c r="AC179" s="17" t="n">
        <v>0</v>
      </c>
      <c r="AD179" s="17" t="n">
        <v>0</v>
      </c>
      <c r="AE179" s="195" t="n">
        <v>0</v>
      </c>
      <c r="AF179" s="17" t="n">
        <v>0</v>
      </c>
      <c r="AG179" s="17" t="n">
        <v>0</v>
      </c>
      <c r="AH179" s="17" t="n"/>
      <c r="AI179" s="17" t="n"/>
      <c r="AJ179" s="17" t="n">
        <v>0</v>
      </c>
      <c r="AK179" s="17" t="n">
        <v>4786076.94</v>
      </c>
      <c r="AL179" s="17" t="n">
        <v>0</v>
      </c>
      <c r="AM179" s="17" t="n">
        <v>0</v>
      </c>
      <c r="AN179" s="17" t="n">
        <v>0</v>
      </c>
      <c r="AO179" s="17" t="n">
        <v>92267.42</v>
      </c>
      <c r="AP179" s="18" t="n">
        <v>15260</v>
      </c>
      <c r="AQ179" s="24" t="n"/>
      <c r="AR179" s="3" t="n">
        <f aca="false" ca="false" dt2D="false" dtr="false" t="normal">N179-AB179</f>
        <v>0</v>
      </c>
    </row>
    <row outlineLevel="0" r="180">
      <c r="A180" s="154" t="n">
        <f aca="false" ca="false" dt2D="false" dtr="false" t="normal">+A179+1</f>
        <v>163</v>
      </c>
      <c r="B180" s="138" t="n">
        <f aca="false" ca="false" dt2D="false" dtr="false" t="normal">+B179+1</f>
        <v>163</v>
      </c>
      <c r="C180" s="138" t="s">
        <v>411</v>
      </c>
      <c r="D180" s="138" t="s">
        <v>412</v>
      </c>
      <c r="E180" s="139" t="n">
        <v>1988</v>
      </c>
      <c r="F180" s="139" t="n">
        <v>2011</v>
      </c>
      <c r="G180" s="139" t="s">
        <v>4</v>
      </c>
      <c r="H180" s="139" t="n">
        <v>4</v>
      </c>
      <c r="I180" s="139" t="n">
        <v>4</v>
      </c>
      <c r="J180" s="17" t="n">
        <v>4417.02</v>
      </c>
      <c r="K180" s="17" t="n">
        <v>3086.82</v>
      </c>
      <c r="L180" s="17" t="n">
        <v>1330.2</v>
      </c>
      <c r="M180" s="140" t="n">
        <v>138</v>
      </c>
      <c r="N180" s="16" t="n">
        <f aca="false" ca="false" dt2D="false" dtr="false" t="normal">SUM(P180:T180)</f>
        <v>5464157.29</v>
      </c>
      <c r="O180" s="17" t="n"/>
      <c r="P180" s="18" t="n">
        <v>4957331.04</v>
      </c>
      <c r="Q180" s="18" t="n"/>
      <c r="R180" s="18" t="n">
        <v>506826.25</v>
      </c>
      <c r="S180" s="18" t="n"/>
      <c r="T180" s="17" t="n"/>
      <c r="U180" s="18" t="n">
        <v>1287.57496909681</v>
      </c>
      <c r="V180" s="18" t="n">
        <v>1287.57496909681</v>
      </c>
      <c r="W180" s="21" t="n">
        <v>2022</v>
      </c>
      <c r="X180" s="1" t="n">
        <v>1145113.48</v>
      </c>
      <c r="Y180" s="3" t="n">
        <f aca="false" ca="false" dt2D="false" dtr="false" t="normal">+(K180*10+L180*20)*12*0.85</f>
        <v>586216.44</v>
      </c>
      <c r="AB180" s="23" t="n">
        <f aca="false" ca="true" dt2D="false" dtr="false" t="normal">SUBTOTAL(9, AC180:AQ180)</f>
        <v>5464157.29</v>
      </c>
      <c r="AC180" s="17" t="n">
        <v>5464157.29</v>
      </c>
      <c r="AD180" s="17" t="n">
        <v>0</v>
      </c>
      <c r="AE180" s="195" t="n"/>
      <c r="AF180" s="17" t="n"/>
      <c r="AG180" s="17" t="n">
        <v>0</v>
      </c>
      <c r="AH180" s="17" t="n"/>
      <c r="AI180" s="17" t="n"/>
      <c r="AJ180" s="17" t="n">
        <v>0</v>
      </c>
      <c r="AK180" s="17" t="n">
        <v>0</v>
      </c>
      <c r="AL180" s="17" t="n">
        <v>0</v>
      </c>
      <c r="AM180" s="17" t="n">
        <v>0</v>
      </c>
      <c r="AN180" s="17" t="n">
        <v>0</v>
      </c>
      <c r="AO180" s="17" t="n"/>
      <c r="AP180" s="18" t="n"/>
      <c r="AQ180" s="156" t="n"/>
      <c r="AR180" s="3" t="n">
        <f aca="false" ca="false" dt2D="false" dtr="false" t="normal">N180-AB180</f>
        <v>0</v>
      </c>
    </row>
    <row customFormat="true" ht="15" outlineLevel="0" r="181" s="184">
      <c r="A181" s="154" t="n">
        <f aca="false" ca="false" dt2D="false" dtr="false" t="normal">+A180+1</f>
        <v>164</v>
      </c>
      <c r="B181" s="138" t="n">
        <f aca="false" ca="false" dt2D="false" dtr="false" t="normal">+B180+1</f>
        <v>164</v>
      </c>
      <c r="C181" s="138" t="s">
        <v>411</v>
      </c>
      <c r="D181" s="138" t="s">
        <v>415</v>
      </c>
      <c r="E181" s="139" t="s">
        <v>190</v>
      </c>
      <c r="F181" s="139" t="n"/>
      <c r="G181" s="139" t="s">
        <v>4</v>
      </c>
      <c r="H181" s="139" t="s">
        <v>159</v>
      </c>
      <c r="I181" s="139" t="s">
        <v>159</v>
      </c>
      <c r="J181" s="17" t="n">
        <v>4395.85</v>
      </c>
      <c r="K181" s="17" t="n">
        <v>3069.35</v>
      </c>
      <c r="L181" s="17" t="n">
        <v>1326.5</v>
      </c>
      <c r="M181" s="140" t="n">
        <v>146</v>
      </c>
      <c r="N181" s="16" t="n">
        <f aca="false" ca="false" dt2D="false" dtr="false" t="normal">SUM(P181:T181)</f>
        <v>28411164.88</v>
      </c>
      <c r="O181" s="17" t="n">
        <v>0</v>
      </c>
      <c r="P181" s="18" t="n">
        <v>26747489.99</v>
      </c>
      <c r="Q181" s="18" t="n">
        <v>0</v>
      </c>
      <c r="R181" s="18" t="n">
        <v>1552787.89</v>
      </c>
      <c r="S181" s="18" t="n">
        <v>0</v>
      </c>
      <c r="T181" s="17" t="n">
        <v>110887</v>
      </c>
      <c r="U181" s="18" t="n">
        <v>6486.13</v>
      </c>
      <c r="V181" s="18" t="n">
        <v>6486.13</v>
      </c>
      <c r="W181" s="21" t="n">
        <v>2022</v>
      </c>
      <c r="X181" s="184" t="n">
        <v>1313500.15</v>
      </c>
      <c r="Y181" s="3" t="n">
        <f aca="false" ca="false" dt2D="false" dtr="false" t="normal">+(K181*10+L181*20)*12*0.85</f>
        <v>583679.7</v>
      </c>
      <c r="Z181" s="3" t="n"/>
      <c r="AA181" s="3" t="n"/>
      <c r="AB181" s="23" t="n">
        <f aca="false" ca="true" dt2D="false" dtr="false" t="normal">SUBTOTAL(9, AC181:AQ181)</f>
        <v>28411164.88</v>
      </c>
      <c r="AC181" s="17" t="n">
        <v>8079212.4</v>
      </c>
      <c r="AD181" s="17" t="n"/>
      <c r="AE181" s="195" t="n">
        <v>3039831.6</v>
      </c>
      <c r="AF181" s="17" t="n">
        <v>2344507</v>
      </c>
      <c r="AG181" s="17" t="n"/>
      <c r="AH181" s="17" t="n"/>
      <c r="AI181" s="17" t="n"/>
      <c r="AJ181" s="17" t="n"/>
      <c r="AK181" s="17" t="n">
        <v>14009282.4</v>
      </c>
      <c r="AL181" s="17" t="n"/>
      <c r="AM181" s="17" t="n"/>
      <c r="AN181" s="17" t="n"/>
      <c r="AO181" s="17" t="n">
        <v>700984.03</v>
      </c>
      <c r="AP181" s="18" t="n">
        <v>24000</v>
      </c>
      <c r="AQ181" s="156" t="n">
        <v>213347.45</v>
      </c>
      <c r="AR181" s="3" t="n">
        <f aca="false" ca="false" dt2D="false" dtr="false" t="normal">N181-AB181</f>
        <v>0</v>
      </c>
      <c r="AT181" s="187" t="n"/>
    </row>
    <row customFormat="true" ht="15" outlineLevel="0" r="182" s="184">
      <c r="A182" s="154" t="n">
        <f aca="false" ca="false" dt2D="false" dtr="false" t="normal">+A181+1</f>
        <v>165</v>
      </c>
      <c r="B182" s="138" t="n">
        <f aca="false" ca="false" dt2D="false" dtr="false" t="normal">+B181+1</f>
        <v>165</v>
      </c>
      <c r="C182" s="138" t="s">
        <v>411</v>
      </c>
      <c r="D182" s="138" t="s">
        <v>417</v>
      </c>
      <c r="E182" s="139" t="s">
        <v>418</v>
      </c>
      <c r="F182" s="139" t="n"/>
      <c r="G182" s="139" t="s">
        <v>4</v>
      </c>
      <c r="H182" s="139" t="s">
        <v>159</v>
      </c>
      <c r="I182" s="139" t="s">
        <v>159</v>
      </c>
      <c r="J182" s="17" t="n">
        <v>4423.49</v>
      </c>
      <c r="K182" s="17" t="n">
        <v>3088.29</v>
      </c>
      <c r="L182" s="17" t="n">
        <v>1335.2</v>
      </c>
      <c r="M182" s="140" t="n">
        <v>130</v>
      </c>
      <c r="N182" s="16" t="n">
        <f aca="false" ca="false" dt2D="false" dtr="false" t="normal">SUM(P182:T182)</f>
        <v>19924186.37</v>
      </c>
      <c r="O182" s="17" t="n">
        <v>0</v>
      </c>
      <c r="P182" s="18" t="n">
        <v>18274358.62</v>
      </c>
      <c r="Q182" s="18" t="n">
        <v>0</v>
      </c>
      <c r="R182" s="18" t="n">
        <v>1539785.15626344</v>
      </c>
      <c r="S182" s="18" t="n">
        <v>0</v>
      </c>
      <c r="T182" s="17" t="n">
        <v>110042.593736559</v>
      </c>
      <c r="U182" s="18" t="n">
        <v>3634.91</v>
      </c>
      <c r="V182" s="18" t="n">
        <v>3634.91</v>
      </c>
      <c r="W182" s="21" t="n">
        <v>2022</v>
      </c>
      <c r="X182" s="184" t="n">
        <v>1347428.17</v>
      </c>
      <c r="Y182" s="3" t="n">
        <f aca="false" ca="false" dt2D="false" dtr="false" t="normal">+(K182*10+L182*20)*12*0.85</f>
        <v>587386.38</v>
      </c>
      <c r="Z182" s="3" t="n"/>
      <c r="AA182" s="3" t="n"/>
      <c r="AB182" s="23" t="n">
        <f aca="false" ca="true" dt2D="false" dtr="false" t="normal">SUBTOTAL(9, AC182:AQ182)</f>
        <v>19924186.37</v>
      </c>
      <c r="AC182" s="17" t="n"/>
      <c r="AD182" s="17" t="n"/>
      <c r="AE182" s="195" t="n">
        <v>3153436.8</v>
      </c>
      <c r="AF182" s="17" t="n">
        <v>2158646.4</v>
      </c>
      <c r="AG182" s="17" t="n"/>
      <c r="AH182" s="17" t="n"/>
      <c r="AI182" s="17" t="n"/>
      <c r="AJ182" s="17" t="n"/>
      <c r="AK182" s="17" t="n">
        <v>13939516.8</v>
      </c>
      <c r="AL182" s="17" t="n"/>
      <c r="AM182" s="17" t="n"/>
      <c r="AN182" s="17" t="n"/>
      <c r="AO182" s="17" t="n">
        <v>495096.03</v>
      </c>
      <c r="AP182" s="18" t="n">
        <v>24000</v>
      </c>
      <c r="AQ182" s="156" t="n">
        <v>153490.34</v>
      </c>
      <c r="AR182" s="3" t="n">
        <f aca="false" ca="false" dt2D="false" dtr="false" t="normal">N182-AB182</f>
        <v>0</v>
      </c>
      <c r="AT182" s="187" t="n"/>
    </row>
    <row outlineLevel="0" r="183">
      <c r="A183" s="154" t="n">
        <f aca="false" ca="false" dt2D="false" dtr="false" t="normal">+A182+1</f>
        <v>166</v>
      </c>
      <c r="B183" s="138" t="n">
        <f aca="false" ca="false" dt2D="false" dtr="false" t="normal">+B182+1</f>
        <v>166</v>
      </c>
      <c r="C183" s="138" t="s">
        <v>411</v>
      </c>
      <c r="D183" s="138" t="s">
        <v>419</v>
      </c>
      <c r="E183" s="139" t="n">
        <v>1985</v>
      </c>
      <c r="F183" s="139" t="n">
        <v>2011</v>
      </c>
      <c r="G183" s="139" t="s">
        <v>4</v>
      </c>
      <c r="H183" s="139" t="n">
        <v>4</v>
      </c>
      <c r="I183" s="139" t="n">
        <v>4</v>
      </c>
      <c r="J183" s="17" t="n">
        <v>4469.64</v>
      </c>
      <c r="K183" s="17" t="n">
        <v>3113.04</v>
      </c>
      <c r="L183" s="17" t="n">
        <v>1356.6</v>
      </c>
      <c r="M183" s="140" t="n">
        <v>164</v>
      </c>
      <c r="N183" s="16" t="n">
        <f aca="false" ca="false" dt2D="false" dtr="false" t="normal">SUM(P183:T183)</f>
        <v>9802331.11</v>
      </c>
      <c r="O183" s="17" t="n"/>
      <c r="P183" s="18" t="n">
        <v>9504817.2</v>
      </c>
      <c r="Q183" s="18" t="n"/>
      <c r="R183" s="18" t="n">
        <v>297513.91</v>
      </c>
      <c r="S183" s="18" t="n">
        <v>0</v>
      </c>
      <c r="T183" s="17" t="n">
        <v>0</v>
      </c>
      <c r="U183" s="18" t="n">
        <v>2193.09186198441</v>
      </c>
      <c r="V183" s="18" t="n">
        <v>2193.09186198441</v>
      </c>
      <c r="W183" s="21" t="n">
        <v>2022</v>
      </c>
      <c r="X183" s="1" t="n">
        <v>1300474.59</v>
      </c>
      <c r="Y183" s="3" t="n">
        <f aca="false" ca="false" dt2D="false" dtr="false" t="normal">+(K183*10+L183*20)*12*0.85</f>
        <v>594276.48</v>
      </c>
      <c r="AB183" s="23" t="n">
        <f aca="false" ca="true" dt2D="false" dtr="false" t="normal">SUBTOTAL(9, AC183:AQ183)</f>
        <v>9802331.11</v>
      </c>
      <c r="AC183" s="17" t="n">
        <v>0</v>
      </c>
      <c r="AD183" s="17" t="n">
        <v>0</v>
      </c>
      <c r="AE183" s="195" t="n">
        <v>0</v>
      </c>
      <c r="AF183" s="17" t="n">
        <v>0</v>
      </c>
      <c r="AG183" s="17" t="n">
        <v>0</v>
      </c>
      <c r="AH183" s="17" t="n"/>
      <c r="AI183" s="17" t="n"/>
      <c r="AJ183" s="17" t="n">
        <v>0</v>
      </c>
      <c r="AK183" s="17" t="n">
        <v>9802331.11</v>
      </c>
      <c r="AL183" s="17" t="n">
        <v>0</v>
      </c>
      <c r="AM183" s="17" t="n">
        <v>0</v>
      </c>
      <c r="AN183" s="17" t="n">
        <v>0</v>
      </c>
      <c r="AO183" s="17" t="n"/>
      <c r="AP183" s="18" t="n"/>
      <c r="AQ183" s="191" t="n"/>
      <c r="AR183" s="3" t="n">
        <f aca="false" ca="false" dt2D="false" dtr="false" t="normal">N183-AB183</f>
        <v>0</v>
      </c>
    </row>
    <row customFormat="true" ht="15" outlineLevel="0" r="184" s="184">
      <c r="A184" s="154" t="n">
        <f aca="false" ca="false" dt2D="false" dtr="false" t="normal">+A183+1</f>
        <v>167</v>
      </c>
      <c r="B184" s="138" t="n">
        <f aca="false" ca="false" dt2D="false" dtr="false" t="normal">+B183+1</f>
        <v>167</v>
      </c>
      <c r="C184" s="138" t="s">
        <v>411</v>
      </c>
      <c r="D184" s="138" t="s">
        <v>422</v>
      </c>
      <c r="E184" s="139" t="s">
        <v>193</v>
      </c>
      <c r="F184" s="139" t="n"/>
      <c r="G184" s="139" t="s">
        <v>4</v>
      </c>
      <c r="H184" s="139" t="s">
        <v>165</v>
      </c>
      <c r="I184" s="139" t="s">
        <v>312</v>
      </c>
      <c r="J184" s="17" t="n">
        <v>8240.9</v>
      </c>
      <c r="K184" s="17" t="n">
        <v>5786.7</v>
      </c>
      <c r="L184" s="17" t="n">
        <v>2454.2</v>
      </c>
      <c r="M184" s="140" t="n">
        <v>268</v>
      </c>
      <c r="N184" s="16" t="n">
        <f aca="false" ca="false" dt2D="false" dtr="false" t="normal">SUM(P184:T184)</f>
        <v>16952691.3</v>
      </c>
      <c r="O184" s="17" t="n">
        <v>0</v>
      </c>
      <c r="P184" s="18" t="n">
        <v>14417927.8</v>
      </c>
      <c r="Q184" s="18" t="n">
        <v>0</v>
      </c>
      <c r="R184" s="18" t="n">
        <v>2534763.5</v>
      </c>
      <c r="S184" s="18" t="n">
        <v>0</v>
      </c>
      <c r="T184" s="17" t="n">
        <v>0</v>
      </c>
      <c r="U184" s="18" t="n">
        <v>4392.93</v>
      </c>
      <c r="V184" s="18" t="n">
        <v>4392.93</v>
      </c>
      <c r="W184" s="21" t="n">
        <v>2022</v>
      </c>
      <c r="X184" s="184" t="n">
        <v>2221538.7</v>
      </c>
      <c r="Y184" s="3" t="n">
        <f aca="false" ca="false" dt2D="false" dtr="false" t="normal">+(K184*10+L184*20)*12*0.85</f>
        <v>1090900.2</v>
      </c>
      <c r="Z184" s="3" t="n"/>
      <c r="AA184" s="3" t="n"/>
      <c r="AB184" s="23" t="n">
        <f aca="false" ca="true" dt2D="false" dtr="false" t="normal">SUBTOTAL(9, AC184:AQ184)</f>
        <v>16952691.299999997</v>
      </c>
      <c r="AC184" s="17" t="n">
        <v>7939864.5</v>
      </c>
      <c r="AD184" s="17" t="n"/>
      <c r="AE184" s="195" t="n">
        <v>4681160.4</v>
      </c>
      <c r="AF184" s="17" t="n">
        <v>3537004.8</v>
      </c>
      <c r="AG184" s="17" t="n"/>
      <c r="AH184" s="17" t="n"/>
      <c r="AI184" s="17" t="n"/>
      <c r="AJ184" s="17" t="n"/>
      <c r="AK184" s="17" t="n"/>
      <c r="AL184" s="17" t="n"/>
      <c r="AM184" s="17" t="n"/>
      <c r="AN184" s="17" t="n"/>
      <c r="AO184" s="17" t="n">
        <v>634398.13</v>
      </c>
      <c r="AP184" s="18" t="n">
        <v>24000</v>
      </c>
      <c r="AQ184" s="156" t="n">
        <v>136263.47</v>
      </c>
      <c r="AR184" s="3" t="n">
        <f aca="false" ca="false" dt2D="false" dtr="false" t="normal">N184-AB184</f>
        <v>0</v>
      </c>
      <c r="AT184" s="187" t="n"/>
    </row>
    <row customFormat="true" ht="15" outlineLevel="0" r="185" s="184">
      <c r="A185" s="154" t="n">
        <f aca="false" ca="false" dt2D="false" dtr="false" t="normal">+A184+1</f>
        <v>168</v>
      </c>
      <c r="B185" s="138" t="n">
        <f aca="false" ca="false" dt2D="false" dtr="false" t="normal">+B184+1</f>
        <v>168</v>
      </c>
      <c r="C185" s="138" t="s">
        <v>411</v>
      </c>
      <c r="D185" s="138" t="s">
        <v>423</v>
      </c>
      <c r="E185" s="139" t="s">
        <v>190</v>
      </c>
      <c r="F185" s="139" t="n"/>
      <c r="G185" s="139" t="s">
        <v>4</v>
      </c>
      <c r="H185" s="139" t="s">
        <v>165</v>
      </c>
      <c r="I185" s="139" t="s">
        <v>151</v>
      </c>
      <c r="J185" s="17" t="n">
        <v>3960.6</v>
      </c>
      <c r="K185" s="17" t="n">
        <v>2780.6</v>
      </c>
      <c r="L185" s="17" t="n">
        <v>1180</v>
      </c>
      <c r="M185" s="140" t="n">
        <v>132</v>
      </c>
      <c r="N185" s="16" t="n">
        <f aca="false" ca="false" dt2D="false" dtr="false" t="normal">SUM(P185:T185)</f>
        <v>11455370.01</v>
      </c>
      <c r="O185" s="17" t="n">
        <v>0</v>
      </c>
      <c r="P185" s="18" t="n">
        <v>10200845.67</v>
      </c>
      <c r="Q185" s="18" t="n">
        <v>0</v>
      </c>
      <c r="R185" s="18" t="n">
        <v>1254524.34</v>
      </c>
      <c r="S185" s="18" t="n">
        <v>0</v>
      </c>
      <c r="T185" s="17" t="n">
        <v>0</v>
      </c>
      <c r="U185" s="18" t="n">
        <v>4392.93</v>
      </c>
      <c r="V185" s="18" t="n">
        <v>4392.93</v>
      </c>
      <c r="W185" s="21" t="n">
        <v>2022</v>
      </c>
      <c r="X185" s="184" t="n">
        <v>1131381.5</v>
      </c>
      <c r="Y185" s="3" t="n">
        <f aca="false" ca="false" dt2D="false" dtr="false" t="normal">+(K185*10+L185*20)*12*0.85</f>
        <v>524341.2</v>
      </c>
      <c r="Z185" s="3" t="n"/>
      <c r="AA185" s="3" t="n"/>
      <c r="AB185" s="23" t="n">
        <f aca="false" ca="true" dt2D="false" dtr="false" t="normal">SUBTOTAL(9, AC185:AQ185)</f>
        <v>11455370.009999998</v>
      </c>
      <c r="AC185" s="17" t="n">
        <v>5903245.2</v>
      </c>
      <c r="AD185" s="17" t="n"/>
      <c r="AE185" s="195" t="n">
        <v>3002210.4</v>
      </c>
      <c r="AF185" s="17" t="n">
        <v>1923324</v>
      </c>
      <c r="AG185" s="17" t="n"/>
      <c r="AH185" s="17" t="n"/>
      <c r="AI185" s="17" t="n"/>
      <c r="AJ185" s="17" t="n"/>
      <c r="AK185" s="17" t="n"/>
      <c r="AL185" s="17" t="n"/>
      <c r="AM185" s="17" t="n"/>
      <c r="AN185" s="17" t="n"/>
      <c r="AO185" s="17" t="n">
        <v>516618.54</v>
      </c>
      <c r="AP185" s="18" t="n">
        <v>24000</v>
      </c>
      <c r="AQ185" s="156" t="n">
        <v>85971.87</v>
      </c>
      <c r="AR185" s="3" t="n">
        <f aca="false" ca="false" dt2D="false" dtr="false" t="normal">N185-AB185</f>
        <v>0</v>
      </c>
      <c r="AT185" s="187" t="n"/>
    </row>
    <row customFormat="true" ht="15" outlineLevel="0" r="186" s="184">
      <c r="A186" s="154" t="n">
        <f aca="false" ca="false" dt2D="false" dtr="false" t="normal">+A185+1</f>
        <v>169</v>
      </c>
      <c r="B186" s="138" t="n">
        <f aca="false" ca="false" dt2D="false" dtr="false" t="normal">+B185+1</f>
        <v>169</v>
      </c>
      <c r="C186" s="138" t="s">
        <v>411</v>
      </c>
      <c r="D186" s="138" t="s">
        <v>425</v>
      </c>
      <c r="E186" s="139" t="s">
        <v>193</v>
      </c>
      <c r="F186" s="139" t="n"/>
      <c r="G186" s="139" t="s">
        <v>4</v>
      </c>
      <c r="H186" s="139" t="s">
        <v>165</v>
      </c>
      <c r="I186" s="139" t="s">
        <v>312</v>
      </c>
      <c r="J186" s="17" t="n">
        <v>8244.17</v>
      </c>
      <c r="K186" s="17" t="n">
        <v>5789.27</v>
      </c>
      <c r="L186" s="17" t="n">
        <v>2454.9</v>
      </c>
      <c r="M186" s="140" t="n">
        <v>264</v>
      </c>
      <c r="N186" s="16" t="n">
        <f aca="false" ca="false" dt2D="false" dtr="false" t="normal">SUM(P186:T186)</f>
        <v>21555121.63</v>
      </c>
      <c r="O186" s="17" t="n">
        <v>0</v>
      </c>
      <c r="P186" s="18" t="n">
        <v>18789721.56</v>
      </c>
      <c r="Q186" s="18" t="n">
        <v>0</v>
      </c>
      <c r="R186" s="18" t="n">
        <v>2765400.07</v>
      </c>
      <c r="S186" s="18" t="n">
        <v>0</v>
      </c>
      <c r="T186" s="17" t="n">
        <v>0</v>
      </c>
      <c r="U186" s="18" t="n">
        <v>4392.93</v>
      </c>
      <c r="V186" s="18" t="n">
        <v>4392.93</v>
      </c>
      <c r="W186" s="21" t="n">
        <v>2022</v>
      </c>
      <c r="X186" s="184" t="n">
        <v>2343373.81</v>
      </c>
      <c r="Y186" s="3" t="n">
        <f aca="false" ca="false" dt2D="false" dtr="false" t="normal">+(K186*10+L186*20)*12*0.85</f>
        <v>1091305.1400000001</v>
      </c>
      <c r="Z186" s="3" t="n"/>
      <c r="AA186" s="3" t="n"/>
      <c r="AB186" s="23" t="n">
        <f aca="false" ca="true" dt2D="false" dtr="false" t="normal">SUBTOTAL(9, AC186:AQ186)</f>
        <v>21555121.63</v>
      </c>
      <c r="AC186" s="17" t="n">
        <v>11356723.2</v>
      </c>
      <c r="AD186" s="17" t="n"/>
      <c r="AE186" s="195" t="n">
        <v>5611190.4</v>
      </c>
      <c r="AF186" s="17" t="n">
        <v>3761995.2</v>
      </c>
      <c r="AG186" s="17" t="n"/>
      <c r="AH186" s="17" t="n"/>
      <c r="AI186" s="17" t="n"/>
      <c r="AJ186" s="17" t="n"/>
      <c r="AK186" s="17" t="n"/>
      <c r="AL186" s="17" t="n"/>
      <c r="AM186" s="17" t="n"/>
      <c r="AN186" s="17" t="n"/>
      <c r="AO186" s="17" t="n">
        <v>634436.54</v>
      </c>
      <c r="AP186" s="18" t="n">
        <v>24000</v>
      </c>
      <c r="AQ186" s="156" t="n">
        <v>166776.29</v>
      </c>
      <c r="AR186" s="3" t="n">
        <f aca="false" ca="false" dt2D="false" dtr="false" t="normal">N186-AB186</f>
        <v>0</v>
      </c>
      <c r="AT186" s="187" t="n"/>
    </row>
    <row customFormat="true" ht="15" outlineLevel="0" r="187" s="184">
      <c r="A187" s="154" t="n">
        <f aca="false" ca="false" dt2D="false" dtr="false" t="normal">+A186+1</f>
        <v>170</v>
      </c>
      <c r="B187" s="138" t="n">
        <f aca="false" ca="false" dt2D="false" dtr="false" t="normal">+B186+1</f>
        <v>170</v>
      </c>
      <c r="C187" s="138" t="s">
        <v>411</v>
      </c>
      <c r="D187" s="138" t="s">
        <v>428</v>
      </c>
      <c r="E187" s="139" t="s">
        <v>190</v>
      </c>
      <c r="F187" s="139" t="n"/>
      <c r="G187" s="139" t="s">
        <v>4</v>
      </c>
      <c r="H187" s="139" t="s">
        <v>165</v>
      </c>
      <c r="I187" s="139" t="s">
        <v>312</v>
      </c>
      <c r="J187" s="17" t="n">
        <v>8245.7</v>
      </c>
      <c r="K187" s="17" t="n">
        <v>5795.3</v>
      </c>
      <c r="L187" s="17" t="n">
        <v>2450.4</v>
      </c>
      <c r="M187" s="140" t="n">
        <v>271</v>
      </c>
      <c r="N187" s="16" t="n">
        <f aca="false" ca="false" dt2D="false" dtr="false" t="normal">SUM(P187:T187)</f>
        <v>21555080.009999998</v>
      </c>
      <c r="O187" s="17" t="n">
        <v>0</v>
      </c>
      <c r="P187" s="18" t="n">
        <v>18913345.63</v>
      </c>
      <c r="Q187" s="18" t="n">
        <v>0</v>
      </c>
      <c r="R187" s="18" t="n">
        <v>2641734.38</v>
      </c>
      <c r="S187" s="18" t="n">
        <v>0</v>
      </c>
      <c r="T187" s="17" t="n">
        <v>0</v>
      </c>
      <c r="U187" s="18" t="n">
        <v>4392.93</v>
      </c>
      <c r="V187" s="18" t="n">
        <v>4392.93</v>
      </c>
      <c r="W187" s="21" t="n">
        <v>2022</v>
      </c>
      <c r="X187" s="184" t="n">
        <v>2258124.61</v>
      </c>
      <c r="Y187" s="3" t="n">
        <f aca="false" ca="false" dt2D="false" dtr="false" t="normal">+(K187*10+L187*20)*12*0.85</f>
        <v>1091002.2</v>
      </c>
      <c r="Z187" s="3" t="n"/>
      <c r="AA187" s="3" t="n"/>
      <c r="AB187" s="23" t="n">
        <f aca="false" ca="true" dt2D="false" dtr="false" t="normal">SUBTOTAL(9, AC187:AQ187)</f>
        <v>21555080.01</v>
      </c>
      <c r="AC187" s="17" t="n">
        <v>11356723.2</v>
      </c>
      <c r="AD187" s="17" t="n"/>
      <c r="AE187" s="195" t="n">
        <v>5611190.4</v>
      </c>
      <c r="AF187" s="17" t="n">
        <v>3761995.2</v>
      </c>
      <c r="AG187" s="17" t="n"/>
      <c r="AH187" s="17" t="n"/>
      <c r="AI187" s="17" t="n"/>
      <c r="AJ187" s="17" t="n"/>
      <c r="AK187" s="17" t="n"/>
      <c r="AL187" s="17" t="n"/>
      <c r="AM187" s="17" t="n"/>
      <c r="AN187" s="17" t="n"/>
      <c r="AO187" s="17" t="n">
        <v>634394.92</v>
      </c>
      <c r="AP187" s="18" t="n">
        <v>24000</v>
      </c>
      <c r="AQ187" s="156" t="n">
        <v>166776.29</v>
      </c>
      <c r="AR187" s="3" t="n">
        <f aca="false" ca="false" dt2D="false" dtr="false" t="normal">N187-AB187</f>
        <v>0</v>
      </c>
      <c r="AT187" s="187" t="n"/>
    </row>
    <row outlineLevel="0" r="188">
      <c r="A188" s="154" t="n">
        <f aca="false" ca="false" dt2D="false" dtr="false" t="normal">+A187+1</f>
        <v>171</v>
      </c>
      <c r="B188" s="138" t="n">
        <f aca="false" ca="false" dt2D="false" dtr="false" t="normal">+B187+1</f>
        <v>171</v>
      </c>
      <c r="C188" s="138" t="s">
        <v>411</v>
      </c>
      <c r="D188" s="138" t="s">
        <v>430</v>
      </c>
      <c r="E188" s="139" t="n">
        <v>1989</v>
      </c>
      <c r="F188" s="139" t="n">
        <v>2011</v>
      </c>
      <c r="G188" s="139" t="s">
        <v>4</v>
      </c>
      <c r="H188" s="139" t="n">
        <v>5</v>
      </c>
      <c r="I188" s="139" t="n">
        <v>3</v>
      </c>
      <c r="J188" s="17" t="n">
        <v>4149.85</v>
      </c>
      <c r="K188" s="17" t="n">
        <v>2952.15</v>
      </c>
      <c r="L188" s="17" t="n">
        <v>1197.7</v>
      </c>
      <c r="M188" s="140" t="n">
        <v>135</v>
      </c>
      <c r="N188" s="16" t="n">
        <f aca="false" ca="false" dt2D="false" dtr="false" t="normal">SUM(P188:T188)</f>
        <v>3733979.02</v>
      </c>
      <c r="O188" s="17" t="n"/>
      <c r="P188" s="18" t="n">
        <v>2786045.63</v>
      </c>
      <c r="Q188" s="18" t="n"/>
      <c r="R188" s="18" t="n">
        <v>947933.39</v>
      </c>
      <c r="S188" s="18" t="n"/>
      <c r="T188" s="17" t="n"/>
      <c r="U188" s="18" t="n">
        <v>915.323474342446</v>
      </c>
      <c r="V188" s="18" t="n">
        <v>915.323474342446</v>
      </c>
      <c r="W188" s="21" t="n">
        <v>2022</v>
      </c>
      <c r="X188" s="1" t="n">
        <v>1238172.51</v>
      </c>
      <c r="Y188" s="3" t="n">
        <f aca="false" ca="false" dt2D="false" dtr="false" t="normal">+(K188*10+L188*20)*12*0.85</f>
        <v>545450.1</v>
      </c>
      <c r="AB188" s="23" t="n">
        <f aca="false" ca="true" dt2D="false" dtr="false" t="normal">SUBTOTAL(9, AC188:AQ188)</f>
        <v>3733979.02</v>
      </c>
      <c r="AC188" s="17" t="n">
        <v>3733979.02</v>
      </c>
      <c r="AD188" s="17" t="n">
        <v>0</v>
      </c>
      <c r="AE188" s="195" t="n">
        <v>0</v>
      </c>
      <c r="AF188" s="17" t="n">
        <v>0</v>
      </c>
      <c r="AG188" s="17" t="n">
        <v>0</v>
      </c>
      <c r="AH188" s="17" t="n"/>
      <c r="AI188" s="17" t="n"/>
      <c r="AJ188" s="17" t="n">
        <v>0</v>
      </c>
      <c r="AK188" s="17" t="n">
        <v>0</v>
      </c>
      <c r="AL188" s="17" t="n">
        <v>0</v>
      </c>
      <c r="AM188" s="17" t="n">
        <v>0</v>
      </c>
      <c r="AN188" s="17" t="n">
        <v>0</v>
      </c>
      <c r="AO188" s="17" t="n"/>
      <c r="AP188" s="18" t="n"/>
      <c r="AQ188" s="156" t="n">
        <v>0</v>
      </c>
      <c r="AR188" s="3" t="n">
        <f aca="false" ca="false" dt2D="false" dtr="false" t="normal">N188-AB188</f>
        <v>0</v>
      </c>
    </row>
    <row outlineLevel="0" r="189">
      <c r="A189" s="154" t="n">
        <f aca="false" ca="false" dt2D="false" dtr="false" t="normal">+A188+1</f>
        <v>172</v>
      </c>
      <c r="B189" s="138" t="n">
        <f aca="false" ca="false" dt2D="false" dtr="false" t="normal">+B188+1</f>
        <v>172</v>
      </c>
      <c r="C189" s="138" t="s">
        <v>411</v>
      </c>
      <c r="D189" s="138" t="s">
        <v>431</v>
      </c>
      <c r="E189" s="139" t="n">
        <v>1986</v>
      </c>
      <c r="F189" s="139" t="n">
        <v>2011</v>
      </c>
      <c r="G189" s="139" t="s">
        <v>4</v>
      </c>
      <c r="H189" s="139" t="n">
        <v>4</v>
      </c>
      <c r="I189" s="139" t="n">
        <v>2</v>
      </c>
      <c r="J189" s="17" t="n">
        <v>2202.6</v>
      </c>
      <c r="K189" s="17" t="n">
        <v>1541.4</v>
      </c>
      <c r="L189" s="17" t="n">
        <v>661.2</v>
      </c>
      <c r="M189" s="140" t="n">
        <v>88</v>
      </c>
      <c r="N189" s="16" t="n">
        <f aca="false" ca="false" dt2D="false" dtr="false" t="normal">SUM(P189:T189)</f>
        <v>5044368.49</v>
      </c>
      <c r="O189" s="17" t="n"/>
      <c r="P189" s="18" t="n">
        <v>4921136.82</v>
      </c>
      <c r="Q189" s="18" t="n"/>
      <c r="R189" s="18" t="n">
        <v>123231.67</v>
      </c>
      <c r="S189" s="18" t="n"/>
      <c r="T189" s="17" t="n"/>
      <c r="U189" s="18" t="n">
        <v>2306.75592935622</v>
      </c>
      <c r="V189" s="18" t="n">
        <v>2306.75592935622</v>
      </c>
      <c r="W189" s="21" t="n">
        <v>2022</v>
      </c>
      <c r="X189" s="1" t="n">
        <v>658488.62</v>
      </c>
      <c r="Y189" s="3" t="n">
        <f aca="false" ca="false" dt2D="false" dtr="false" t="normal">+(K189*10+L189*20)*12*0.85</f>
        <v>292107.6</v>
      </c>
      <c r="AB189" s="23" t="n">
        <f aca="false" ca="true" dt2D="false" dtr="false" t="normal">SUBTOTAL(9, AC189:AQ189)</f>
        <v>5044368.49</v>
      </c>
      <c r="AC189" s="17" t="n">
        <v>0</v>
      </c>
      <c r="AD189" s="17" t="n">
        <v>0</v>
      </c>
      <c r="AE189" s="195" t="n">
        <v>0</v>
      </c>
      <c r="AF189" s="17" t="n">
        <v>0</v>
      </c>
      <c r="AG189" s="17" t="n">
        <v>0</v>
      </c>
      <c r="AH189" s="17" t="n"/>
      <c r="AI189" s="17" t="n"/>
      <c r="AJ189" s="17" t="n">
        <v>0</v>
      </c>
      <c r="AK189" s="17" t="n">
        <v>5044368.49</v>
      </c>
      <c r="AL189" s="17" t="n">
        <v>0</v>
      </c>
      <c r="AM189" s="17" t="n">
        <v>0</v>
      </c>
      <c r="AN189" s="17" t="n">
        <v>0</v>
      </c>
      <c r="AO189" s="17" t="n"/>
      <c r="AP189" s="18" t="n"/>
      <c r="AQ189" s="24" t="n"/>
      <c r="AR189" s="3" t="n">
        <f aca="false" ca="false" dt2D="false" dtr="false" t="normal">N189-AB189</f>
        <v>0</v>
      </c>
    </row>
    <row outlineLevel="0" r="190">
      <c r="A190" s="154" t="n">
        <f aca="false" ca="false" dt2D="false" dtr="false" t="normal">+A189+1</f>
        <v>173</v>
      </c>
      <c r="B190" s="138" t="n">
        <f aca="false" ca="false" dt2D="false" dtr="false" t="normal">+B189+1</f>
        <v>173</v>
      </c>
      <c r="C190" s="138" t="s">
        <v>138</v>
      </c>
      <c r="D190" s="138" t="s">
        <v>432</v>
      </c>
      <c r="E190" s="139" t="n">
        <v>1975</v>
      </c>
      <c r="F190" s="139" t="n">
        <v>2010</v>
      </c>
      <c r="G190" s="139" t="s">
        <v>4</v>
      </c>
      <c r="H190" s="139" t="n">
        <v>4</v>
      </c>
      <c r="I190" s="139" t="n">
        <v>3</v>
      </c>
      <c r="J190" s="17" t="n">
        <v>2207.3</v>
      </c>
      <c r="K190" s="17" t="n">
        <v>1539.8</v>
      </c>
      <c r="L190" s="17" t="n">
        <v>72.9</v>
      </c>
      <c r="M190" s="140" t="n">
        <v>60</v>
      </c>
      <c r="N190" s="16" t="n">
        <f aca="false" ca="false" dt2D="false" dtr="false" t="normal">SUM(P190:T190)</f>
        <v>8528765.64</v>
      </c>
      <c r="O190" s="17" t="n"/>
      <c r="P190" s="18" t="n">
        <v>305015.04</v>
      </c>
      <c r="Q190" s="18" t="n"/>
      <c r="R190" s="18" t="n">
        <v>1072056.31</v>
      </c>
      <c r="S190" s="18" t="n">
        <v>7151694.29</v>
      </c>
      <c r="T190" s="17" t="n"/>
      <c r="U190" s="18" t="n">
        <v>5428.88459684016</v>
      </c>
      <c r="V190" s="18" t="n">
        <v>5428.88459684016</v>
      </c>
      <c r="W190" s="21" t="n">
        <v>2022</v>
      </c>
      <c r="X190" s="1" t="n">
        <v>817698.89</v>
      </c>
      <c r="Y190" s="3" t="n">
        <f aca="false" ca="false" dt2D="false" dtr="false" t="normal">+(K190*10+L190*20)*12*0.85</f>
        <v>171931.19999999998</v>
      </c>
      <c r="Z190" s="3" t="n">
        <f aca="false" ca="false" dt2D="false" dtr="false" t="normal">+(K190*10+L190*20)*12*30</f>
        <v>6068160</v>
      </c>
      <c r="AB190" s="23" t="n">
        <f aca="false" ca="true" dt2D="false" dtr="false" t="normal">SUBTOTAL(9, AC190:AQ190)</f>
        <v>8528765.64</v>
      </c>
      <c r="AC190" s="17" t="n">
        <v>0</v>
      </c>
      <c r="AD190" s="17" t="n">
        <v>0</v>
      </c>
      <c r="AE190" s="195" t="n">
        <v>1011024.23</v>
      </c>
      <c r="AF190" s="17" t="n">
        <v>0</v>
      </c>
      <c r="AG190" s="17" t="n"/>
      <c r="AH190" s="17" t="n"/>
      <c r="AI190" s="17" t="n"/>
      <c r="AJ190" s="17" t="n">
        <v>0</v>
      </c>
      <c r="AK190" s="17" t="n">
        <v>0</v>
      </c>
      <c r="AL190" s="17" t="n">
        <v>0</v>
      </c>
      <c r="AM190" s="17" t="n">
        <v>4376437.43</v>
      </c>
      <c r="AN190" s="17" t="n">
        <v>3141303.98</v>
      </c>
      <c r="AO190" s="17" t="n"/>
      <c r="AP190" s="18" t="n"/>
      <c r="AQ190" s="24" t="n"/>
      <c r="AR190" s="3" t="n">
        <f aca="false" ca="false" dt2D="false" dtr="false" t="normal">N190-AB190</f>
        <v>0</v>
      </c>
    </row>
    <row outlineLevel="0" r="191">
      <c r="A191" s="154" t="n">
        <f aca="false" ca="false" dt2D="false" dtr="false" t="normal">+A190+1</f>
        <v>174</v>
      </c>
      <c r="B191" s="138" t="n">
        <f aca="false" ca="false" dt2D="false" dtr="false" t="normal">+B190+1</f>
        <v>174</v>
      </c>
      <c r="C191" s="138" t="s">
        <v>138</v>
      </c>
      <c r="D191" s="138" t="s">
        <v>433</v>
      </c>
      <c r="E191" s="139" t="n">
        <v>1968</v>
      </c>
      <c r="F191" s="139" t="n">
        <v>2010</v>
      </c>
      <c r="G191" s="139" t="s">
        <v>4</v>
      </c>
      <c r="H191" s="139" t="n">
        <v>2</v>
      </c>
      <c r="I191" s="139" t="n">
        <v>1</v>
      </c>
      <c r="J191" s="17" t="n">
        <v>395.2</v>
      </c>
      <c r="K191" s="17" t="n">
        <v>370.7</v>
      </c>
      <c r="L191" s="17" t="n">
        <v>0</v>
      </c>
      <c r="M191" s="140" t="n">
        <v>21</v>
      </c>
      <c r="N191" s="16" t="n">
        <f aca="false" ca="false" dt2D="false" dtr="false" t="normal">SUM(P191:T191)</f>
        <v>1463481.27</v>
      </c>
      <c r="O191" s="17" t="n"/>
      <c r="P191" s="18" t="n">
        <v>463367.23</v>
      </c>
      <c r="Q191" s="18" t="n"/>
      <c r="R191" s="18" t="n">
        <v>167186.07</v>
      </c>
      <c r="S191" s="18" t="n">
        <v>832927.97</v>
      </c>
      <c r="T191" s="17" t="n"/>
      <c r="U191" s="18" t="n">
        <v>4103.63318962536</v>
      </c>
      <c r="V191" s="18" t="n">
        <v>4103.63318962536</v>
      </c>
      <c r="W191" s="21" t="n">
        <v>2022</v>
      </c>
      <c r="X191" s="1" t="n">
        <v>177132.32</v>
      </c>
      <c r="Y191" s="3" t="n">
        <f aca="false" ca="false" dt2D="false" dtr="false" t="normal">+(K191*10+L191*20)*12*0.85</f>
        <v>37811.4</v>
      </c>
      <c r="Z191" s="3" t="n">
        <f aca="false" ca="false" dt2D="false" dtr="false" t="normal">+(K191*10+L191*20)*12*30</f>
        <v>1334520</v>
      </c>
      <c r="AB191" s="23" t="n">
        <f aca="false" ca="true" dt2D="false" dtr="false" t="normal">SUBTOTAL(9, AC191:AQ191)</f>
        <v>1463481.27</v>
      </c>
      <c r="AC191" s="17" t="n">
        <v>0</v>
      </c>
      <c r="AD191" s="17" t="n">
        <v>0</v>
      </c>
      <c r="AE191" s="195" t="n">
        <v>256799.44</v>
      </c>
      <c r="AF191" s="17" t="n">
        <v>0</v>
      </c>
      <c r="AG191" s="17" t="n">
        <v>0</v>
      </c>
      <c r="AH191" s="17" t="n"/>
      <c r="AI191" s="17" t="n"/>
      <c r="AJ191" s="17" t="n">
        <v>0</v>
      </c>
      <c r="AK191" s="17" t="n">
        <v>0</v>
      </c>
      <c r="AL191" s="17" t="n">
        <v>0</v>
      </c>
      <c r="AM191" s="17" t="n">
        <v>0</v>
      </c>
      <c r="AN191" s="17" t="n">
        <v>1206681.83</v>
      </c>
      <c r="AO191" s="17" t="n"/>
      <c r="AP191" s="18" t="n"/>
      <c r="AQ191" s="24" t="n"/>
      <c r="AR191" s="3" t="n">
        <f aca="false" ca="false" dt2D="false" dtr="false" t="normal">N191-AB191</f>
        <v>0</v>
      </c>
    </row>
    <row outlineLevel="0" r="192">
      <c r="A192" s="154" t="n">
        <f aca="false" ca="false" dt2D="false" dtr="false" t="normal">+A191+1</f>
        <v>175</v>
      </c>
      <c r="B192" s="138" t="n">
        <f aca="false" ca="false" dt2D="false" dtr="false" t="normal">+B191+1</f>
        <v>175</v>
      </c>
      <c r="C192" s="138" t="s">
        <v>141</v>
      </c>
      <c r="D192" s="138" t="s">
        <v>435</v>
      </c>
      <c r="E192" s="139" t="n">
        <v>1987</v>
      </c>
      <c r="F192" s="139" t="n">
        <v>1987</v>
      </c>
      <c r="G192" s="139" t="s">
        <v>4</v>
      </c>
      <c r="H192" s="139" t="n">
        <v>2</v>
      </c>
      <c r="I192" s="139" t="n">
        <v>2</v>
      </c>
      <c r="J192" s="17" t="n">
        <v>910.2</v>
      </c>
      <c r="K192" s="17" t="n">
        <v>783.4</v>
      </c>
      <c r="L192" s="17" t="n">
        <v>0</v>
      </c>
      <c r="M192" s="140" t="n">
        <v>32</v>
      </c>
      <c r="N192" s="16" t="n">
        <f aca="false" ca="false" dt2D="false" dtr="false" t="normal">SUM(P192:T192)</f>
        <v>749666.3940999999</v>
      </c>
      <c r="O192" s="17" t="n"/>
      <c r="P192" s="18" t="n"/>
      <c r="Q192" s="18" t="n"/>
      <c r="R192" s="18" t="n">
        <v>398689.43</v>
      </c>
      <c r="S192" s="18" t="n">
        <v>350976.9641</v>
      </c>
      <c r="T192" s="17" t="n"/>
      <c r="U192" s="18" t="n">
        <v>975.706854988843</v>
      </c>
      <c r="V192" s="18" t="n">
        <v>975.706854988843</v>
      </c>
      <c r="W192" s="21" t="n">
        <v>2022</v>
      </c>
      <c r="X192" s="1" t="n">
        <v>318782.63</v>
      </c>
      <c r="Y192" s="3" t="n">
        <f aca="false" ca="false" dt2D="false" dtr="false" t="normal">+(K192*10+L192*20)*12*0.85</f>
        <v>79906.8</v>
      </c>
      <c r="Z192" s="3" t="n">
        <f aca="false" ca="false" dt2D="false" dtr="false" t="normal">+(K192*10+L192*20)*12*30</f>
        <v>2820240</v>
      </c>
      <c r="AB192" s="23" t="n">
        <f aca="false" ca="true" dt2D="false" dtr="false" t="normal">SUBTOTAL(9, AC192:AQ192)</f>
        <v>749666.3940999999</v>
      </c>
      <c r="AC192" s="17" t="n">
        <v>0</v>
      </c>
      <c r="AD192" s="17" t="n">
        <v>0</v>
      </c>
      <c r="AE192" s="195" t="n">
        <v>664753.07</v>
      </c>
      <c r="AF192" s="17" t="n"/>
      <c r="AG192" s="17" t="n">
        <v>0</v>
      </c>
      <c r="AH192" s="17" t="n"/>
      <c r="AI192" s="17" t="n"/>
      <c r="AJ192" s="17" t="n">
        <v>0</v>
      </c>
      <c r="AK192" s="17" t="n">
        <v>0</v>
      </c>
      <c r="AL192" s="17" t="n">
        <v>0</v>
      </c>
      <c r="AM192" s="17" t="n">
        <v>0</v>
      </c>
      <c r="AN192" s="17" t="n">
        <v>0</v>
      </c>
      <c r="AO192" s="17" t="n">
        <v>77193.931</v>
      </c>
      <c r="AP192" s="18" t="n">
        <v>7719.3931</v>
      </c>
      <c r="AQ192" s="24" t="n"/>
      <c r="AR192" s="3" t="n">
        <f aca="false" ca="false" dt2D="false" dtr="false" t="normal">N192-AB192</f>
        <v>0</v>
      </c>
    </row>
    <row outlineLevel="0" r="193">
      <c r="A193" s="154" t="n">
        <f aca="false" ca="false" dt2D="false" dtr="false" t="normal">+A192+1</f>
        <v>176</v>
      </c>
      <c r="B193" s="138" t="n">
        <f aca="false" ca="false" dt2D="false" dtr="false" t="normal">+B192+1</f>
        <v>176</v>
      </c>
      <c r="C193" s="138" t="s">
        <v>141</v>
      </c>
      <c r="D193" s="138" t="s">
        <v>437</v>
      </c>
      <c r="E193" s="139" t="n">
        <v>1979</v>
      </c>
      <c r="F193" s="139" t="n">
        <v>2010</v>
      </c>
      <c r="G193" s="139" t="s">
        <v>4</v>
      </c>
      <c r="H193" s="139" t="n">
        <v>5</v>
      </c>
      <c r="I193" s="139" t="n">
        <v>2</v>
      </c>
      <c r="J193" s="17" t="n">
        <v>1745.5</v>
      </c>
      <c r="K193" s="17" t="n">
        <v>1575.1</v>
      </c>
      <c r="L193" s="17" t="n">
        <v>0</v>
      </c>
      <c r="M193" s="140" t="n">
        <v>61</v>
      </c>
      <c r="N193" s="16" t="n">
        <f aca="false" ca="false" dt2D="false" dtr="false" t="normal">SUM(P193:T193)</f>
        <v>346555.42</v>
      </c>
      <c r="O193" s="17" t="n"/>
      <c r="P193" s="18" t="n"/>
      <c r="Q193" s="18" t="n"/>
      <c r="R193" s="18" t="n">
        <v>346555.42</v>
      </c>
      <c r="S193" s="18" t="n"/>
      <c r="T193" s="17" t="n"/>
      <c r="U193" s="18" t="n">
        <v>231.787346733795</v>
      </c>
      <c r="V193" s="18" t="n">
        <v>231.787346733795</v>
      </c>
      <c r="W193" s="21" t="n">
        <v>2022</v>
      </c>
      <c r="X193" s="1" t="n">
        <f aca="false" ca="false" dt2D="false" dtr="false" t="normal">667423.91-106073.7</f>
        <v>561350.2100000001</v>
      </c>
      <c r="Y193" s="3" t="n">
        <f aca="false" ca="false" dt2D="false" dtr="false" t="normal">+(K193*10+L193*20)*12*0.85</f>
        <v>160660.19999999998</v>
      </c>
      <c r="Z193" s="3" t="n">
        <f aca="false" ca="false" dt2D="false" dtr="false" t="normal">+(K193*10+L193*20)*12*30</f>
        <v>5670360</v>
      </c>
      <c r="AB193" s="23" t="n">
        <f aca="false" ca="true" dt2D="false" dtr="false" t="normal">SUBTOTAL(9, AC193:AQ193)</f>
        <v>346555.42</v>
      </c>
      <c r="AC193" s="17" t="n">
        <v>0</v>
      </c>
      <c r="AD193" s="17" t="n">
        <v>0</v>
      </c>
      <c r="AE193" s="195" t="n">
        <v>0</v>
      </c>
      <c r="AF193" s="17" t="n">
        <v>346555.42</v>
      </c>
      <c r="AG193" s="17" t="n"/>
      <c r="AH193" s="17" t="n"/>
      <c r="AI193" s="17" t="n"/>
      <c r="AJ193" s="17" t="n">
        <v>0</v>
      </c>
      <c r="AK193" s="17" t="n">
        <v>0</v>
      </c>
      <c r="AL193" s="17" t="n">
        <v>0</v>
      </c>
      <c r="AM193" s="17" t="n">
        <v>0</v>
      </c>
      <c r="AN193" s="17" t="n">
        <v>0</v>
      </c>
      <c r="AO193" s="17" t="n"/>
      <c r="AP193" s="18" t="n"/>
      <c r="AQ193" s="24" t="n"/>
      <c r="AR193" s="3" t="n">
        <f aca="false" ca="false" dt2D="false" dtr="false" t="normal">N193-AB193</f>
        <v>0</v>
      </c>
    </row>
    <row outlineLevel="0" r="194">
      <c r="A194" s="154" t="n">
        <f aca="false" ca="false" dt2D="false" dtr="false" t="normal">+A193+1</f>
        <v>177</v>
      </c>
      <c r="B194" s="138" t="n">
        <f aca="false" ca="false" dt2D="false" dtr="false" t="normal">+B193+1</f>
        <v>177</v>
      </c>
      <c r="C194" s="138" t="s">
        <v>141</v>
      </c>
      <c r="D194" s="138" t="s">
        <v>439</v>
      </c>
      <c r="E194" s="139" t="n">
        <v>1979</v>
      </c>
      <c r="F194" s="139" t="n">
        <v>1979</v>
      </c>
      <c r="G194" s="139" t="s">
        <v>4</v>
      </c>
      <c r="H194" s="139" t="n">
        <v>5</v>
      </c>
      <c r="I194" s="139" t="n">
        <v>3</v>
      </c>
      <c r="J194" s="17" t="n">
        <v>4465.27</v>
      </c>
      <c r="K194" s="17" t="n">
        <v>4027.37</v>
      </c>
      <c r="L194" s="17" t="n">
        <v>437.9</v>
      </c>
      <c r="M194" s="140" t="n">
        <v>123</v>
      </c>
      <c r="N194" s="16" t="n">
        <f aca="false" ca="false" dt2D="false" dtr="false" t="normal">SUM(P194:T194)</f>
        <v>8345806.4</v>
      </c>
      <c r="O194" s="17" t="n"/>
      <c r="P194" s="18" t="n"/>
      <c r="Q194" s="18" t="n"/>
      <c r="R194" s="18" t="n">
        <v>1518552.78</v>
      </c>
      <c r="S194" s="18" t="n">
        <v>6827253.62</v>
      </c>
      <c r="T194" s="17" t="n"/>
      <c r="U194" s="18" t="n">
        <v>1927.34626571526</v>
      </c>
      <c r="V194" s="18" t="n">
        <v>1927.34626571526</v>
      </c>
      <c r="W194" s="21" t="n">
        <v>2022</v>
      </c>
      <c r="X194" s="1" t="n">
        <f aca="false" ca="false" dt2D="false" dtr="false" t="normal">2029381.74-810307.04</f>
        <v>1219074.7</v>
      </c>
      <c r="Y194" s="3" t="n">
        <f aca="false" ca="false" dt2D="false" dtr="false" t="normal">+(K194*10+L194*20)*12*0.85</f>
        <v>500123.3399999999</v>
      </c>
      <c r="Z194" s="3" t="n">
        <f aca="false" ca="false" dt2D="false" dtr="false" t="normal">+(K194*10+L194*20)*12*30-25438.56</f>
        <v>17625973.439999998</v>
      </c>
      <c r="AB194" s="23" t="n">
        <f aca="false" ca="true" dt2D="false" dtr="false" t="normal">SUBTOTAL(9, AC194:AQ194)</f>
        <v>8345806.4</v>
      </c>
      <c r="AC194" s="17" t="n">
        <v>0</v>
      </c>
      <c r="AD194" s="17" t="n">
        <v>0</v>
      </c>
      <c r="AE194" s="195" t="n">
        <v>0</v>
      </c>
      <c r="AF194" s="17" t="n"/>
      <c r="AG194" s="17" t="n">
        <v>0</v>
      </c>
      <c r="AH194" s="17" t="n"/>
      <c r="AI194" s="17" t="n"/>
      <c r="AJ194" s="17" t="n">
        <v>0</v>
      </c>
      <c r="AK194" s="17" t="n">
        <v>8345806.4</v>
      </c>
      <c r="AL194" s="17" t="n">
        <v>0</v>
      </c>
      <c r="AM194" s="17" t="n">
        <v>0</v>
      </c>
      <c r="AN194" s="17" t="n">
        <v>0</v>
      </c>
      <c r="AO194" s="17" t="n"/>
      <c r="AP194" s="18" t="n"/>
      <c r="AQ194" s="24" t="n"/>
      <c r="AR194" s="3" t="n">
        <f aca="false" ca="false" dt2D="false" dtr="false" t="normal">N194-AB194</f>
        <v>0</v>
      </c>
    </row>
    <row outlineLevel="0" r="195">
      <c r="A195" s="154" t="n">
        <f aca="false" ca="false" dt2D="false" dtr="false" t="normal">+A194+1</f>
        <v>178</v>
      </c>
      <c r="B195" s="138" t="n">
        <f aca="false" ca="false" dt2D="false" dtr="false" t="normal">+B194+1</f>
        <v>178</v>
      </c>
      <c r="C195" s="138" t="s">
        <v>141</v>
      </c>
      <c r="D195" s="138" t="s">
        <v>441</v>
      </c>
      <c r="E195" s="139" t="n">
        <v>1994</v>
      </c>
      <c r="F195" s="139" t="n">
        <v>2011</v>
      </c>
      <c r="G195" s="139" t="s">
        <v>4</v>
      </c>
      <c r="H195" s="139" t="n">
        <v>5</v>
      </c>
      <c r="I195" s="139" t="n">
        <v>2</v>
      </c>
      <c r="J195" s="17" t="n">
        <v>1801.3</v>
      </c>
      <c r="K195" s="17" t="n">
        <v>1628.1</v>
      </c>
      <c r="L195" s="17" t="n">
        <v>0</v>
      </c>
      <c r="M195" s="140" t="n">
        <v>70</v>
      </c>
      <c r="N195" s="16" t="n">
        <f aca="false" ca="false" dt2D="false" dtr="false" t="normal">SUM(P195:T195)</f>
        <v>363946.04</v>
      </c>
      <c r="O195" s="17" t="n"/>
      <c r="P195" s="18" t="n"/>
      <c r="Q195" s="18" t="n"/>
      <c r="R195" s="18" t="n">
        <v>363946.04</v>
      </c>
      <c r="S195" s="18" t="n"/>
      <c r="T195" s="17" t="n"/>
      <c r="U195" s="18" t="n">
        <v>295.924071182925</v>
      </c>
      <c r="V195" s="18" t="n">
        <v>295.924071182925</v>
      </c>
      <c r="W195" s="21" t="n">
        <v>2022</v>
      </c>
      <c r="X195" s="1" t="n">
        <v>668373.47</v>
      </c>
      <c r="Y195" s="3" t="n">
        <f aca="false" ca="false" dt2D="false" dtr="false" t="normal">+(K195*10+L195*20)*12*0.85</f>
        <v>166066.19999999998</v>
      </c>
      <c r="Z195" s="3" t="n">
        <f aca="false" ca="false" dt2D="false" dtr="false" t="normal">+(K195*10+L195*20)*12*30</f>
        <v>5861160</v>
      </c>
      <c r="AB195" s="23" t="n">
        <f aca="false" ca="true" dt2D="false" dtr="false" t="normal">SUBTOTAL(9, AC195:AQ195)</f>
        <v>363946.04</v>
      </c>
      <c r="AC195" s="17" t="n"/>
      <c r="AD195" s="17" t="n">
        <v>0</v>
      </c>
      <c r="AE195" s="195" t="n"/>
      <c r="AF195" s="17" t="n">
        <v>363946.04</v>
      </c>
      <c r="AG195" s="17" t="n">
        <v>0</v>
      </c>
      <c r="AH195" s="17" t="n"/>
      <c r="AI195" s="17" t="n"/>
      <c r="AJ195" s="17" t="n">
        <v>0</v>
      </c>
      <c r="AK195" s="17" t="n">
        <v>0</v>
      </c>
      <c r="AL195" s="17" t="n">
        <v>0</v>
      </c>
      <c r="AM195" s="17" t="n">
        <v>0</v>
      </c>
      <c r="AN195" s="17" t="n">
        <v>0</v>
      </c>
      <c r="AO195" s="17" t="n"/>
      <c r="AP195" s="18" t="n"/>
      <c r="AQ195" s="24" t="n"/>
      <c r="AR195" s="3" t="n">
        <f aca="false" ca="false" dt2D="false" dtr="false" t="normal">N195-AB195</f>
        <v>0</v>
      </c>
    </row>
    <row outlineLevel="0" r="196">
      <c r="A196" s="154" t="n">
        <f aca="false" ca="false" dt2D="false" dtr="false" t="normal">+A195+1</f>
        <v>179</v>
      </c>
      <c r="B196" s="138" t="n">
        <f aca="false" ca="false" dt2D="false" dtr="false" t="normal">+B195+1</f>
        <v>179</v>
      </c>
      <c r="C196" s="138" t="s">
        <v>141</v>
      </c>
      <c r="D196" s="138" t="s">
        <v>443</v>
      </c>
      <c r="E196" s="139" t="n">
        <v>1979</v>
      </c>
      <c r="F196" s="139" t="n">
        <v>2009</v>
      </c>
      <c r="G196" s="139" t="s">
        <v>4</v>
      </c>
      <c r="H196" s="139" t="n">
        <v>4</v>
      </c>
      <c r="I196" s="139" t="n">
        <v>4</v>
      </c>
      <c r="J196" s="17" t="n">
        <v>4071.8</v>
      </c>
      <c r="K196" s="17" t="n">
        <v>3488.7</v>
      </c>
      <c r="L196" s="17" t="n">
        <v>0</v>
      </c>
      <c r="M196" s="140" t="n">
        <v>160</v>
      </c>
      <c r="N196" s="16" t="n">
        <f aca="false" ca="false" dt2D="false" dtr="false" t="normal">SUM(P196:T196)</f>
        <v>1321350.85</v>
      </c>
      <c r="O196" s="17" t="n"/>
      <c r="P196" s="18" t="n"/>
      <c r="Q196" s="18" t="n"/>
      <c r="R196" s="18" t="n">
        <v>1187619.09</v>
      </c>
      <c r="S196" s="18" t="n">
        <v>133731.76</v>
      </c>
      <c r="T196" s="17" t="n"/>
      <c r="U196" s="18" t="n">
        <v>395.519752673087</v>
      </c>
      <c r="V196" s="18" t="n">
        <v>395.519752673087</v>
      </c>
      <c r="W196" s="21" t="n">
        <v>2022</v>
      </c>
      <c r="X196" s="1" t="n">
        <f aca="false" ca="false" dt2D="false" dtr="false" t="normal">1427606.19-595834.5</f>
        <v>831771.69</v>
      </c>
      <c r="Y196" s="3" t="n">
        <f aca="false" ca="false" dt2D="false" dtr="false" t="normal">+(K196*10+L196*20)*12*0.85</f>
        <v>355847.39999999997</v>
      </c>
      <c r="Z196" s="3" t="n">
        <f aca="false" ca="false" dt2D="false" dtr="false" t="normal">+(K196*10+L196*20)*12*30-93757.36-12468</f>
        <v>12453094.64</v>
      </c>
      <c r="AB196" s="23" t="n">
        <f aca="false" ca="true" dt2D="false" dtr="false" t="normal">SUBTOTAL(9, AC196:AQ196)</f>
        <v>1321350.85</v>
      </c>
      <c r="AC196" s="17" t="n">
        <v>0</v>
      </c>
      <c r="AD196" s="17" t="n">
        <v>0</v>
      </c>
      <c r="AE196" s="195" t="n">
        <v>0</v>
      </c>
      <c r="AF196" s="17" t="n">
        <v>1321350.85</v>
      </c>
      <c r="AG196" s="17" t="n"/>
      <c r="AH196" s="17" t="n"/>
      <c r="AI196" s="17" t="n"/>
      <c r="AJ196" s="17" t="n">
        <v>0</v>
      </c>
      <c r="AK196" s="17" t="n">
        <v>0</v>
      </c>
      <c r="AL196" s="17" t="n">
        <v>0</v>
      </c>
      <c r="AM196" s="17" t="n">
        <v>0</v>
      </c>
      <c r="AN196" s="17" t="n">
        <v>0</v>
      </c>
      <c r="AO196" s="17" t="n"/>
      <c r="AP196" s="18" t="n"/>
      <c r="AQ196" s="24" t="n"/>
      <c r="AR196" s="3" t="n">
        <f aca="false" ca="false" dt2D="false" dtr="false" t="normal">N196-AB196</f>
        <v>0</v>
      </c>
    </row>
    <row outlineLevel="0" r="197">
      <c r="A197" s="154" t="n">
        <f aca="false" ca="false" dt2D="false" dtr="false" t="normal">+A196+1</f>
        <v>180</v>
      </c>
      <c r="B197" s="138" t="n">
        <f aca="false" ca="false" dt2D="false" dtr="false" t="normal">+B196+1</f>
        <v>180</v>
      </c>
      <c r="C197" s="138" t="s">
        <v>141</v>
      </c>
      <c r="D197" s="138" t="s">
        <v>445</v>
      </c>
      <c r="E197" s="139" t="n">
        <v>1973</v>
      </c>
      <c r="F197" s="139" t="n">
        <v>2010</v>
      </c>
      <c r="G197" s="139" t="s">
        <v>4</v>
      </c>
      <c r="H197" s="139" t="n">
        <v>5</v>
      </c>
      <c r="I197" s="139" t="n">
        <v>4</v>
      </c>
      <c r="J197" s="17" t="n">
        <v>3449.3</v>
      </c>
      <c r="K197" s="17" t="n">
        <v>3117.4</v>
      </c>
      <c r="L197" s="17" t="n">
        <v>171.7</v>
      </c>
      <c r="M197" s="140" t="n">
        <v>147</v>
      </c>
      <c r="N197" s="16" t="n">
        <f aca="false" ca="false" dt2D="false" dtr="false" t="normal">SUM(P197:T197)</f>
        <v>3253286.449999998</v>
      </c>
      <c r="O197" s="17" t="n"/>
      <c r="P197" s="18" t="n">
        <v>731499.767935848</v>
      </c>
      <c r="Q197" s="18" t="n"/>
      <c r="R197" s="18" t="n">
        <v>299122.24749524</v>
      </c>
      <c r="S197" s="18" t="n">
        <v>2222664.43456891</v>
      </c>
      <c r="T197" s="17" t="n"/>
      <c r="U197" s="18" t="n">
        <v>1080.05493827954</v>
      </c>
      <c r="V197" s="18" t="n">
        <v>1080.05493827954</v>
      </c>
      <c r="W197" s="21" t="n">
        <v>2022</v>
      </c>
      <c r="X197" s="1" t="n">
        <f aca="false" ca="false" dt2D="false" dtr="false" t="normal">1240910.11-689425.44-282620.64</f>
        <v>268864.03000000014</v>
      </c>
      <c r="Y197" s="3" t="n">
        <f aca="false" ca="false" dt2D="false" dtr="false" t="normal">+(K197*10+L197*20)*12*0.85</f>
        <v>353001.6</v>
      </c>
      <c r="Z197" s="3" t="n">
        <f aca="false" ca="false" dt2D="false" dtr="false" t="normal">+(K197*10+L197*20)*12*30-3027646.57-12468.88</f>
        <v>9418764.549999999</v>
      </c>
      <c r="AB197" s="23" t="n">
        <f aca="false" ca="true" dt2D="false" dtr="false" t="normal">SUBTOTAL(9, AC197:AQ197)</f>
        <v>3253286.45</v>
      </c>
      <c r="AC197" s="17" t="n"/>
      <c r="AD197" s="17" t="n">
        <v>0</v>
      </c>
      <c r="AE197" s="195" t="n">
        <v>0</v>
      </c>
      <c r="AF197" s="17" t="n">
        <v>0</v>
      </c>
      <c r="AG197" s="17" t="n"/>
      <c r="AH197" s="17" t="n"/>
      <c r="AI197" s="17" t="n"/>
      <c r="AJ197" s="17" t="n">
        <v>0</v>
      </c>
      <c r="AK197" s="17" t="n">
        <v>0</v>
      </c>
      <c r="AL197" s="17" t="n">
        <v>0</v>
      </c>
      <c r="AM197" s="17" t="n"/>
      <c r="AN197" s="17" t="n">
        <v>3253286.45</v>
      </c>
      <c r="AO197" s="17" t="n"/>
      <c r="AP197" s="18" t="n"/>
      <c r="AQ197" s="24" t="n"/>
      <c r="AR197" s="3" t="n">
        <f aca="false" ca="false" dt2D="false" dtr="false" t="normal">N197-AB197</f>
        <v>0</v>
      </c>
    </row>
    <row outlineLevel="0" r="198">
      <c r="A198" s="154" t="n">
        <f aca="false" ca="false" dt2D="false" dtr="false" t="normal">+A197+1</f>
        <v>181</v>
      </c>
      <c r="B198" s="138" t="n">
        <f aca="false" ca="false" dt2D="false" dtr="false" t="normal">+B197+1</f>
        <v>181</v>
      </c>
      <c r="C198" s="138" t="s">
        <v>141</v>
      </c>
      <c r="D198" s="138" t="s">
        <v>446</v>
      </c>
      <c r="E198" s="139" t="n">
        <v>1985</v>
      </c>
      <c r="F198" s="139" t="n">
        <v>2011</v>
      </c>
      <c r="G198" s="139" t="s">
        <v>4</v>
      </c>
      <c r="H198" s="139" t="n">
        <v>5</v>
      </c>
      <c r="I198" s="139" t="n">
        <v>2</v>
      </c>
      <c r="J198" s="17" t="n">
        <v>1696.6</v>
      </c>
      <c r="K198" s="17" t="n">
        <v>1532.2</v>
      </c>
      <c r="L198" s="17" t="n">
        <v>54.4</v>
      </c>
      <c r="M198" s="140" t="n">
        <v>58</v>
      </c>
      <c r="N198" s="16" t="n">
        <f aca="false" ca="false" dt2D="false" dtr="false" t="normal">SUM(P198:T198)</f>
        <v>1159407.5899999999</v>
      </c>
      <c r="O198" s="17" t="n"/>
      <c r="P198" s="18" t="n">
        <v>0</v>
      </c>
      <c r="Q198" s="18" t="n"/>
      <c r="R198" s="18" t="n">
        <v>827589.23</v>
      </c>
      <c r="S198" s="18" t="n">
        <v>331818.36</v>
      </c>
      <c r="T198" s="17" t="n"/>
      <c r="U198" s="18" t="n">
        <v>743.079848424757</v>
      </c>
      <c r="V198" s="18" t="n">
        <v>743.079848424757</v>
      </c>
      <c r="W198" s="21" t="n">
        <v>2022</v>
      </c>
      <c r="X198" s="1" t="n">
        <v>660207.23</v>
      </c>
      <c r="Y198" s="3" t="n">
        <f aca="false" ca="false" dt2D="false" dtr="false" t="normal">+(K198*10+L198*20)*12*0.85</f>
        <v>167382</v>
      </c>
      <c r="Z198" s="3" t="n">
        <f aca="false" ca="false" dt2D="false" dtr="false" t="normal">+(K198*10+L198*20)*12*30</f>
        <v>5907600</v>
      </c>
      <c r="AB198" s="23" t="n">
        <f aca="false" ca="true" dt2D="false" dtr="false" t="normal">SUBTOTAL(9, AC198:AQ198)</f>
        <v>1159407.59</v>
      </c>
      <c r="AC198" s="17" t="n"/>
      <c r="AD198" s="17" t="n"/>
      <c r="AE198" s="195" t="n">
        <v>667653.5</v>
      </c>
      <c r="AF198" s="17" t="n">
        <v>491754.09</v>
      </c>
      <c r="AG198" s="17" t="n"/>
      <c r="AH198" s="17" t="n"/>
      <c r="AI198" s="17" t="n"/>
      <c r="AJ198" s="17" t="n">
        <v>0</v>
      </c>
      <c r="AK198" s="17" t="n">
        <v>0</v>
      </c>
      <c r="AL198" s="17" t="n">
        <v>0</v>
      </c>
      <c r="AM198" s="17" t="n">
        <v>0</v>
      </c>
      <c r="AN198" s="17" t="n">
        <v>0</v>
      </c>
      <c r="AO198" s="17" t="n"/>
      <c r="AP198" s="18" t="n"/>
      <c r="AQ198" s="24" t="n"/>
      <c r="AR198" s="3" t="n">
        <f aca="false" ca="false" dt2D="false" dtr="false" t="normal">N198-AB198</f>
        <v>0</v>
      </c>
    </row>
    <row outlineLevel="0" r="199">
      <c r="A199" s="154" t="n">
        <f aca="false" ca="false" dt2D="false" dtr="false" t="normal">+A198+1</f>
        <v>182</v>
      </c>
      <c r="B199" s="138" t="n">
        <f aca="false" ca="false" dt2D="false" dtr="false" t="normal">+B198+1</f>
        <v>182</v>
      </c>
      <c r="C199" s="138" t="s">
        <v>141</v>
      </c>
      <c r="D199" s="138" t="s">
        <v>447</v>
      </c>
      <c r="E199" s="139" t="n">
        <v>1983</v>
      </c>
      <c r="F199" s="139" t="n">
        <v>2012</v>
      </c>
      <c r="G199" s="139" t="s">
        <v>4</v>
      </c>
      <c r="H199" s="139" t="n">
        <v>4</v>
      </c>
      <c r="I199" s="139" t="n">
        <v>6</v>
      </c>
      <c r="J199" s="17" t="n">
        <v>5867</v>
      </c>
      <c r="K199" s="17" t="n">
        <v>4942.2</v>
      </c>
      <c r="L199" s="17" t="n">
        <v>35.2</v>
      </c>
      <c r="M199" s="140" t="n">
        <v>212</v>
      </c>
      <c r="N199" s="16" t="n">
        <f aca="false" ca="false" dt2D="false" dtr="false" t="normal">SUM(P199:T199)</f>
        <v>1990765.32</v>
      </c>
      <c r="O199" s="17" t="n"/>
      <c r="P199" s="18" t="n"/>
      <c r="Q199" s="18" t="n"/>
      <c r="R199" s="18" t="n">
        <v>1940839.38</v>
      </c>
      <c r="S199" s="18" t="n">
        <v>49925.9400000002</v>
      </c>
      <c r="T199" s="17" t="n"/>
      <c r="U199" s="18" t="n">
        <v>411.764280815124</v>
      </c>
      <c r="V199" s="18" t="n">
        <v>411.764280815124</v>
      </c>
      <c r="W199" s="21" t="n">
        <v>2022</v>
      </c>
      <c r="X199" s="1" t="n">
        <f aca="false" ca="false" dt2D="false" dtr="false" t="normal">2070107.33-640553.15</f>
        <v>1429554.1800000002</v>
      </c>
      <c r="Y199" s="3" t="n">
        <f aca="false" ca="false" dt2D="false" dtr="false" t="normal">+(K199*10+L199*20)*12*0.85</f>
        <v>511285.2</v>
      </c>
      <c r="Z199" s="3" t="n">
        <f aca="false" ca="false" dt2D="false" dtr="false" t="normal">+(K199*10+L199*20)*12*30-929957.98</f>
        <v>17115402.02</v>
      </c>
      <c r="AB199" s="23" t="n">
        <f aca="false" ca="true" dt2D="false" dtr="false" t="normal">SUBTOTAL(9, AC199:AQ199)</f>
        <v>1990765.32</v>
      </c>
      <c r="AC199" s="17" t="n">
        <v>0</v>
      </c>
      <c r="AD199" s="17" t="n">
        <v>0</v>
      </c>
      <c r="AE199" s="195" t="n"/>
      <c r="AF199" s="17" t="n">
        <v>1990765.32</v>
      </c>
      <c r="AG199" s="17" t="n"/>
      <c r="AH199" s="17" t="n"/>
      <c r="AI199" s="17" t="n"/>
      <c r="AJ199" s="17" t="n">
        <v>0</v>
      </c>
      <c r="AK199" s="17" t="n">
        <v>0</v>
      </c>
      <c r="AL199" s="17" t="n">
        <v>0</v>
      </c>
      <c r="AM199" s="17" t="n">
        <v>0</v>
      </c>
      <c r="AN199" s="17" t="n">
        <v>0</v>
      </c>
      <c r="AO199" s="17" t="n"/>
      <c r="AP199" s="18" t="n"/>
      <c r="AQ199" s="24" t="n"/>
      <c r="AR199" s="3" t="n">
        <f aca="false" ca="false" dt2D="false" dtr="false" t="normal">N199-AB199</f>
        <v>0</v>
      </c>
    </row>
    <row outlineLevel="0" r="200">
      <c r="A200" s="154" t="n">
        <f aca="false" ca="false" dt2D="false" dtr="false" t="normal">+A199+1</f>
        <v>183</v>
      </c>
      <c r="B200" s="138" t="n">
        <f aca="false" ca="false" dt2D="false" dtr="false" t="normal">+B199+1</f>
        <v>183</v>
      </c>
      <c r="C200" s="138" t="s">
        <v>141</v>
      </c>
      <c r="D200" s="138" t="s">
        <v>448</v>
      </c>
      <c r="E200" s="139" t="n">
        <v>1969</v>
      </c>
      <c r="F200" s="139" t="n">
        <v>2009</v>
      </c>
      <c r="G200" s="139" t="s">
        <v>4</v>
      </c>
      <c r="H200" s="139" t="n">
        <v>4</v>
      </c>
      <c r="I200" s="139" t="n">
        <v>4</v>
      </c>
      <c r="J200" s="17" t="n">
        <v>2719.1</v>
      </c>
      <c r="K200" s="17" t="n">
        <v>2454</v>
      </c>
      <c r="L200" s="17" t="n">
        <v>66.5</v>
      </c>
      <c r="M200" s="140" t="n">
        <v>120</v>
      </c>
      <c r="N200" s="16" t="n">
        <f aca="false" ca="false" dt2D="false" dtr="false" t="normal">SUM(P200:T200)</f>
        <v>6113601.88</v>
      </c>
      <c r="O200" s="17" t="n"/>
      <c r="P200" s="18" t="n"/>
      <c r="Q200" s="18" t="n"/>
      <c r="R200" s="18" t="n">
        <v>1163543.43</v>
      </c>
      <c r="S200" s="18" t="n">
        <v>4950058.45</v>
      </c>
      <c r="T200" s="17" t="n"/>
      <c r="U200" s="18" t="n">
        <v>2486.00198823408</v>
      </c>
      <c r="V200" s="18" t="n">
        <v>2486.00198823408</v>
      </c>
      <c r="W200" s="21" t="n">
        <v>2022</v>
      </c>
      <c r="X200" s="1" t="n">
        <v>882910.83</v>
      </c>
      <c r="Y200" s="3" t="n">
        <f aca="false" ca="false" dt2D="false" dtr="false" t="normal">+(K200*10+L200*20)*12*0.85</f>
        <v>263874</v>
      </c>
      <c r="Z200" s="3" t="n">
        <f aca="false" ca="false" dt2D="false" dtr="false" t="normal">+(K200*10+L200*20)*12*30</f>
        <v>9313200</v>
      </c>
      <c r="AB200" s="23" t="n">
        <f aca="false" ca="true" dt2D="false" dtr="false" t="normal">SUBTOTAL(9, AC200:AQ200)</f>
        <v>6113601.88</v>
      </c>
      <c r="AC200" s="17" t="n">
        <v>0</v>
      </c>
      <c r="AD200" s="17" t="n">
        <v>0</v>
      </c>
      <c r="AE200" s="195" t="n">
        <v>0</v>
      </c>
      <c r="AF200" s="17" t="n">
        <v>0</v>
      </c>
      <c r="AG200" s="17" t="n"/>
      <c r="AH200" s="17" t="n"/>
      <c r="AI200" s="17" t="n"/>
      <c r="AJ200" s="17" t="n">
        <v>0</v>
      </c>
      <c r="AK200" s="17" t="n">
        <v>0</v>
      </c>
      <c r="AL200" s="17" t="n">
        <v>0</v>
      </c>
      <c r="AM200" s="17" t="n">
        <v>6113601.88</v>
      </c>
      <c r="AN200" s="17" t="n"/>
      <c r="AO200" s="17" t="n"/>
      <c r="AP200" s="18" t="n"/>
      <c r="AQ200" s="24" t="n"/>
      <c r="AR200" s="3" t="n">
        <f aca="false" ca="false" dt2D="false" dtr="false" t="normal">N200-AB200</f>
        <v>0</v>
      </c>
    </row>
    <row outlineLevel="0" r="201">
      <c r="A201" s="154" t="n">
        <f aca="false" ca="false" dt2D="false" dtr="false" t="normal">+A200+1</f>
        <v>184</v>
      </c>
      <c r="B201" s="138" t="n">
        <f aca="false" ca="false" dt2D="false" dtr="false" t="normal">+B200+1</f>
        <v>184</v>
      </c>
      <c r="C201" s="138" t="s">
        <v>141</v>
      </c>
      <c r="D201" s="138" t="s">
        <v>449</v>
      </c>
      <c r="E201" s="139" t="n">
        <v>1967</v>
      </c>
      <c r="F201" s="139" t="n">
        <v>2008</v>
      </c>
      <c r="G201" s="139" t="s">
        <v>4</v>
      </c>
      <c r="H201" s="139" t="n">
        <v>4</v>
      </c>
      <c r="I201" s="139" t="n">
        <v>4</v>
      </c>
      <c r="J201" s="17" t="n">
        <v>2789.5</v>
      </c>
      <c r="K201" s="17" t="n">
        <v>2436</v>
      </c>
      <c r="L201" s="17" t="n">
        <v>98.5</v>
      </c>
      <c r="M201" s="140" t="n">
        <v>116</v>
      </c>
      <c r="N201" s="16" t="n">
        <f aca="false" ca="false" dt2D="false" dtr="false" t="normal">SUM(P201:T201)</f>
        <v>18044694.39</v>
      </c>
      <c r="O201" s="17" t="n"/>
      <c r="P201" s="18" t="n">
        <v>546289.42</v>
      </c>
      <c r="Q201" s="18" t="n"/>
      <c r="R201" s="18" t="n">
        <v>1107518.53</v>
      </c>
      <c r="S201" s="18" t="n">
        <v>9478800</v>
      </c>
      <c r="T201" s="17" t="n">
        <v>6912086.44</v>
      </c>
      <c r="U201" s="18" t="n">
        <v>7203.44766700493</v>
      </c>
      <c r="V201" s="18" t="n">
        <v>7203.44766700493</v>
      </c>
      <c r="W201" s="21" t="n">
        <v>2022</v>
      </c>
      <c r="X201" s="1" t="n">
        <v>996118.85</v>
      </c>
      <c r="Y201" s="3" t="n">
        <f aca="false" ca="false" dt2D="false" dtr="false" t="normal">+(K201*10+L201*20)*12*0.85</f>
        <v>268566</v>
      </c>
      <c r="Z201" s="3" t="n">
        <f aca="false" ca="false" dt2D="false" dtr="false" t="normal">+(K201*10+L201*20)*12*30</f>
        <v>9478800</v>
      </c>
      <c r="AB201" s="23" t="n">
        <f aca="false" ca="true" dt2D="false" dtr="false" t="normal">SUBTOTAL(9, AC201:AQ201)</f>
        <v>18044694.39</v>
      </c>
      <c r="AC201" s="17" t="n">
        <v>4878537.09</v>
      </c>
      <c r="AD201" s="17" t="n">
        <v>0</v>
      </c>
      <c r="AE201" s="195" t="n">
        <v>0</v>
      </c>
      <c r="AF201" s="17" t="n">
        <v>0</v>
      </c>
      <c r="AG201" s="17" t="n"/>
      <c r="AH201" s="17" t="n"/>
      <c r="AI201" s="17" t="n"/>
      <c r="AJ201" s="17" t="n">
        <v>0</v>
      </c>
      <c r="AK201" s="17" t="n">
        <v>0</v>
      </c>
      <c r="AL201" s="17" t="n">
        <v>0</v>
      </c>
      <c r="AM201" s="17" t="n">
        <v>5994057.42</v>
      </c>
      <c r="AN201" s="17" t="n">
        <v>7172099.88</v>
      </c>
      <c r="AO201" s="17" t="n"/>
      <c r="AP201" s="18" t="n"/>
      <c r="AQ201" s="24" t="n"/>
      <c r="AR201" s="3" t="n">
        <f aca="false" ca="false" dt2D="false" dtr="false" t="normal">N201-AB201</f>
        <v>0</v>
      </c>
    </row>
    <row outlineLevel="0" r="202">
      <c r="A202" s="154" t="n">
        <f aca="false" ca="false" dt2D="false" dtr="false" t="normal">+A201+1</f>
        <v>185</v>
      </c>
      <c r="B202" s="138" t="n">
        <f aca="false" ca="false" dt2D="false" dtr="false" t="normal">+B201+1</f>
        <v>185</v>
      </c>
      <c r="C202" s="138" t="s">
        <v>141</v>
      </c>
      <c r="D202" s="138" t="s">
        <v>451</v>
      </c>
      <c r="E202" s="139" t="n">
        <v>1975</v>
      </c>
      <c r="F202" s="139" t="n">
        <v>1985</v>
      </c>
      <c r="G202" s="139" t="s">
        <v>4</v>
      </c>
      <c r="H202" s="139" t="n">
        <v>4</v>
      </c>
      <c r="I202" s="139" t="n">
        <v>1</v>
      </c>
      <c r="J202" s="17" t="n">
        <v>2576.4</v>
      </c>
      <c r="K202" s="17" t="n">
        <v>1895.4</v>
      </c>
      <c r="L202" s="17" t="n">
        <v>169.5</v>
      </c>
      <c r="M202" s="140" t="n">
        <v>92</v>
      </c>
      <c r="N202" s="16" t="n">
        <f aca="false" ca="false" dt2D="false" dtr="false" t="normal">SUM(P202:T202)</f>
        <v>1207654.75</v>
      </c>
      <c r="O202" s="17" t="n"/>
      <c r="P202" s="18" t="n"/>
      <c r="Q202" s="18" t="n"/>
      <c r="R202" s="18" t="n">
        <v>1018495.61</v>
      </c>
      <c r="S202" s="18" t="n">
        <v>189159.14</v>
      </c>
      <c r="T202" s="17" t="n">
        <v>0</v>
      </c>
      <c r="U202" s="18" t="n">
        <v>602.906908296101</v>
      </c>
      <c r="V202" s="18" t="n">
        <v>602.906908296101</v>
      </c>
      <c r="W202" s="21" t="n">
        <v>2022</v>
      </c>
      <c r="X202" s="1" t="n">
        <v>790586.81</v>
      </c>
      <c r="Y202" s="3" t="n">
        <f aca="false" ca="false" dt2D="false" dtr="false" t="normal">+(K202*10+L202*20)*12*0.85</f>
        <v>227908.8</v>
      </c>
      <c r="Z202" s="3" t="n">
        <f aca="false" ca="false" dt2D="false" dtr="false" t="normal">+(K202*10+L202*20)*12*30</f>
        <v>8043840</v>
      </c>
      <c r="AB202" s="23" t="n">
        <f aca="false" ca="true" dt2D="false" dtr="false" t="normal">SUBTOTAL(9, AC202:AQ202)</f>
        <v>1207654.75</v>
      </c>
      <c r="AC202" s="17" t="n">
        <v>0</v>
      </c>
      <c r="AD202" s="17" t="n">
        <v>0</v>
      </c>
      <c r="AE202" s="195" t="n">
        <v>1207654.75</v>
      </c>
      <c r="AF202" s="17" t="n">
        <v>0</v>
      </c>
      <c r="AG202" s="17" t="n">
        <v>0</v>
      </c>
      <c r="AH202" s="17" t="n"/>
      <c r="AI202" s="17" t="n"/>
      <c r="AJ202" s="17" t="n">
        <v>0</v>
      </c>
      <c r="AK202" s="17" t="n">
        <v>0</v>
      </c>
      <c r="AL202" s="17" t="n">
        <v>0</v>
      </c>
      <c r="AM202" s="17" t="n">
        <v>0</v>
      </c>
      <c r="AN202" s="17" t="n">
        <v>0</v>
      </c>
      <c r="AO202" s="17" t="n"/>
      <c r="AP202" s="18" t="n"/>
      <c r="AQ202" s="24" t="n"/>
      <c r="AR202" s="3" t="n">
        <f aca="false" ca="false" dt2D="false" dtr="false" t="normal">N202-AB202</f>
        <v>0</v>
      </c>
    </row>
    <row outlineLevel="0" r="203">
      <c r="A203" s="154" t="n">
        <f aca="false" ca="false" dt2D="false" dtr="false" t="normal">+A202+1</f>
        <v>186</v>
      </c>
      <c r="B203" s="138" t="n">
        <f aca="false" ca="false" dt2D="false" dtr="false" t="normal">+B202+1</f>
        <v>186</v>
      </c>
      <c r="C203" s="138" t="s">
        <v>177</v>
      </c>
      <c r="D203" s="138" t="s">
        <v>452</v>
      </c>
      <c r="E203" s="139" t="n">
        <v>2005</v>
      </c>
      <c r="F203" s="139" t="n"/>
      <c r="G203" s="139" t="s">
        <v>4</v>
      </c>
      <c r="H203" s="139" t="n">
        <v>6</v>
      </c>
      <c r="I203" s="139" t="n">
        <v>1</v>
      </c>
      <c r="J203" s="17" t="n">
        <v>1214.1</v>
      </c>
      <c r="K203" s="17" t="n">
        <v>1104.6</v>
      </c>
      <c r="L203" s="17" t="n">
        <v>0</v>
      </c>
      <c r="M203" s="140" t="n">
        <v>41</v>
      </c>
      <c r="N203" s="16" t="n">
        <f aca="false" ca="false" dt2D="false" dtr="false" t="normal">SUM(P203:T203)</f>
        <v>4254086.16</v>
      </c>
      <c r="O203" s="17" t="n"/>
      <c r="P203" s="18" t="n"/>
      <c r="Q203" s="18" t="n"/>
      <c r="R203" s="18" t="n">
        <v>4254086.16</v>
      </c>
      <c r="S203" s="18" t="n"/>
      <c r="T203" s="18" t="n">
        <v>0</v>
      </c>
      <c r="U203" s="18" t="n">
        <v>3851.24584464965</v>
      </c>
      <c r="V203" s="18" t="n">
        <v>3851.24584464965</v>
      </c>
      <c r="W203" s="21" t="n">
        <v>2022</v>
      </c>
      <c r="X203" s="1" t="n">
        <v>547627.87</v>
      </c>
      <c r="Y203" s="3" t="n">
        <f aca="false" ca="false" dt2D="false" dtr="false" t="normal">+(K203*10+L203*20)*12*0.85</f>
        <v>112669.2</v>
      </c>
      <c r="Z203" s="3" t="n">
        <f aca="false" ca="false" dt2D="false" dtr="false" t="normal">+(K203*10+L203*20)*12*30</f>
        <v>3976560</v>
      </c>
      <c r="AB203" s="23" t="n">
        <f aca="false" ca="true" dt2D="false" dtr="false" t="normal">SUBTOTAL(9, AC203:AQ203)</f>
        <v>4254086.16</v>
      </c>
      <c r="AC203" s="17" t="n"/>
      <c r="AD203" s="17" t="n"/>
      <c r="AE203" s="195" t="n"/>
      <c r="AF203" s="17" t="n"/>
      <c r="AG203" s="17" t="n"/>
      <c r="AH203" s="17" t="n"/>
      <c r="AI203" s="17" t="n"/>
      <c r="AJ203" s="17" t="n"/>
      <c r="AK203" s="17" t="n">
        <v>4254086.16</v>
      </c>
      <c r="AL203" s="17" t="n"/>
      <c r="AM203" s="17" t="n"/>
      <c r="AN203" s="17" t="n"/>
      <c r="AO203" s="17" t="n"/>
      <c r="AP203" s="17" t="n"/>
      <c r="AQ203" s="17" t="n"/>
      <c r="AR203" s="3" t="n">
        <f aca="false" ca="false" dt2D="false" dtr="false" t="normal">N203-AB203</f>
        <v>0</v>
      </c>
    </row>
    <row outlineLevel="0" r="204">
      <c r="A204" s="154" t="n">
        <f aca="false" ca="false" dt2D="false" dtr="false" t="normal">+A203+1</f>
        <v>187</v>
      </c>
      <c r="B204" s="138" t="n">
        <f aca="false" ca="false" dt2D="false" dtr="false" t="normal">+B203+1</f>
        <v>187</v>
      </c>
      <c r="C204" s="1" t="s">
        <v>454</v>
      </c>
      <c r="D204" s="138" t="s">
        <v>455</v>
      </c>
      <c r="E204" s="139" t="s">
        <v>456</v>
      </c>
      <c r="F204" s="139" t="n"/>
      <c r="G204" s="139" t="s">
        <v>4</v>
      </c>
      <c r="H204" s="139" t="s">
        <v>151</v>
      </c>
      <c r="I204" s="139" t="s">
        <v>5</v>
      </c>
      <c r="J204" s="17" t="n">
        <v>1440.7</v>
      </c>
      <c r="K204" s="17" t="n">
        <v>820.56</v>
      </c>
      <c r="L204" s="17" t="n">
        <v>349.5</v>
      </c>
      <c r="M204" s="140" t="n">
        <v>48</v>
      </c>
      <c r="N204" s="16" t="n">
        <f aca="false" ca="false" dt2D="false" dtr="false" t="normal">SUM(P204:T204)</f>
        <v>566057.97</v>
      </c>
      <c r="O204" s="17" t="n">
        <v>0</v>
      </c>
      <c r="P204" s="18" t="n">
        <v>0</v>
      </c>
      <c r="Q204" s="18" t="n">
        <v>0</v>
      </c>
      <c r="R204" s="18" t="n">
        <v>566057.97</v>
      </c>
      <c r="S204" s="18" t="n"/>
      <c r="T204" s="18" t="n">
        <v>0</v>
      </c>
      <c r="U204" s="18" t="n">
        <v>483.785421260448</v>
      </c>
      <c r="V204" s="18" t="n">
        <v>483.785421260448</v>
      </c>
      <c r="W204" s="21" t="n">
        <v>2022</v>
      </c>
      <c r="AB204" s="23" t="n">
        <f aca="false" ca="true" dt2D="false" dtr="false" t="normal">SUBTOTAL(9, AC204:AQ204)</f>
        <v>566057.97</v>
      </c>
      <c r="AC204" s="17" t="n"/>
      <c r="AD204" s="17" t="n"/>
      <c r="AE204" s="195" t="n"/>
      <c r="AF204" s="17" t="n"/>
      <c r="AG204" s="17" t="n"/>
      <c r="AH204" s="17" t="n"/>
      <c r="AI204" s="17" t="n"/>
      <c r="AJ204" s="17" t="n"/>
      <c r="AK204" s="17" t="n">
        <v>194953.44</v>
      </c>
      <c r="AL204" s="17" t="n"/>
      <c r="AM204" s="17" t="n">
        <v>371104.53</v>
      </c>
      <c r="AN204" s="17" t="n"/>
      <c r="AO204" s="17" t="n"/>
      <c r="AP204" s="17" t="n"/>
      <c r="AQ204" s="17" t="n"/>
      <c r="AR204" s="3" t="n">
        <f aca="false" ca="false" dt2D="false" dtr="false" t="normal">N204-AB204</f>
        <v>0</v>
      </c>
    </row>
    <row outlineLevel="0" r="205">
      <c r="A205" s="154" t="n">
        <f aca="false" ca="false" dt2D="false" dtr="false" t="normal">+A204+1</f>
        <v>188</v>
      </c>
      <c r="B205" s="138" t="n">
        <f aca="false" ca="false" dt2D="false" dtr="false" t="normal">+B204+1</f>
        <v>188</v>
      </c>
      <c r="C205" s="1" t="s">
        <v>454</v>
      </c>
      <c r="D205" s="138" t="s">
        <v>461</v>
      </c>
      <c r="E205" s="139" t="s">
        <v>462</v>
      </c>
      <c r="F205" s="139" t="n"/>
      <c r="G205" s="139" t="s">
        <v>4</v>
      </c>
      <c r="H205" s="139" t="s">
        <v>151</v>
      </c>
      <c r="I205" s="139" t="s">
        <v>219</v>
      </c>
      <c r="J205" s="17" t="n">
        <v>819.9</v>
      </c>
      <c r="K205" s="17" t="n">
        <v>649</v>
      </c>
      <c r="L205" s="17" t="n">
        <v>0</v>
      </c>
      <c r="M205" s="140" t="n">
        <v>30</v>
      </c>
      <c r="N205" s="16" t="n">
        <f aca="false" ca="false" dt2D="false" dtr="false" t="normal">SUM(P205:T205)</f>
        <v>10770762.3</v>
      </c>
      <c r="O205" s="17" t="n">
        <v>0</v>
      </c>
      <c r="P205" s="18" t="n">
        <v>0</v>
      </c>
      <c r="Q205" s="18" t="n">
        <v>0</v>
      </c>
      <c r="R205" s="18" t="n">
        <v>10770762.3</v>
      </c>
      <c r="S205" s="18" t="n"/>
      <c r="T205" s="18" t="n">
        <v>0</v>
      </c>
      <c r="U205" s="18" t="n">
        <v>16595.9357473035</v>
      </c>
      <c r="V205" s="18" t="n">
        <v>16595.9357473035</v>
      </c>
      <c r="W205" s="21" t="n">
        <v>2022</v>
      </c>
      <c r="AB205" s="206" t="n">
        <f aca="false" ca="true" dt2D="false" dtr="false" t="normal">SUBTOTAL(9, AC205:AQ205)</f>
        <v>10770762.3</v>
      </c>
      <c r="AC205" s="207" t="n"/>
      <c r="AD205" s="207" t="n"/>
      <c r="AE205" s="208" t="n"/>
      <c r="AF205" s="207" t="n"/>
      <c r="AG205" s="207" t="n"/>
      <c r="AH205" s="207" t="n"/>
      <c r="AI205" s="207" t="n"/>
      <c r="AJ205" s="207" t="n"/>
      <c r="AK205" s="207" t="n">
        <v>5195058.41</v>
      </c>
      <c r="AL205" s="207" t="n"/>
      <c r="AM205" s="207" t="n">
        <v>5575703.89</v>
      </c>
      <c r="AN205" s="207" t="n"/>
      <c r="AO205" s="207" t="n"/>
      <c r="AP205" s="207" t="n"/>
      <c r="AQ205" s="207" t="n"/>
      <c r="AR205" s="3" t="n">
        <f aca="false" ca="false" dt2D="false" dtr="false" t="normal">N205-AB205</f>
        <v>0</v>
      </c>
    </row>
    <row outlineLevel="0" r="206">
      <c r="A206" s="166" t="n"/>
      <c r="B206" s="166" t="n"/>
      <c r="C206" s="166" t="n"/>
      <c r="D206" s="126" t="n">
        <v>2023</v>
      </c>
      <c r="E206" s="168" t="n"/>
      <c r="F206" s="168" t="n"/>
      <c r="G206" s="168" t="n"/>
      <c r="H206" s="168" t="n"/>
      <c r="I206" s="168" t="n"/>
      <c r="J206" s="170" t="n">
        <f aca="false" ca="false" dt2D="false" dtr="false" t="normal">SUM(J207:J478)</f>
        <v>1032349.4600000001</v>
      </c>
      <c r="K206" s="170" t="n">
        <f aca="false" ca="false" dt2D="false" dtr="false" t="normal">SUM(K207:K478)</f>
        <v>859397.8</v>
      </c>
      <c r="L206" s="170" t="n">
        <f aca="false" ca="false" dt2D="false" dtr="false" t="normal">SUM(L207:L478)</f>
        <v>53575.67999999999</v>
      </c>
      <c r="M206" s="170" t="n">
        <f aca="false" ca="false" dt2D="false" dtr="false" t="normal">SUM(M207:M478)</f>
        <v>37246</v>
      </c>
      <c r="N206" s="170" t="n">
        <f aca="false" ca="false" dt2D="false" dtr="false" t="normal">SUM(P206:T206)</f>
        <v>2357254214.90563</v>
      </c>
      <c r="O206" s="170" t="n"/>
      <c r="P206" s="170" t="n">
        <f aca="false" ca="false" dt2D="false" dtr="false" t="normal">SUM(P207:P478)</f>
        <v>749983518.5979561</v>
      </c>
      <c r="Q206" s="170" t="n">
        <f aca="false" ca="false" dt2D="false" dtr="false" t="normal">SUM(Q207:Q478)</f>
        <v>7110771.999999998</v>
      </c>
      <c r="R206" s="170" t="n">
        <f aca="false" ca="false" dt2D="false" dtr="false" t="normal">SUM(R207:R478)</f>
        <v>372427855.38736665</v>
      </c>
      <c r="S206" s="170" t="n">
        <f aca="false" ca="false" dt2D="false" dtr="false" t="normal">SUM(S207:S478)</f>
        <v>1156207386.1924965</v>
      </c>
      <c r="T206" s="170" t="n">
        <f aca="false" ca="false" dt2D="false" dtr="false" t="normal">SUM(T207:T478)</f>
        <v>71524682.72781062</v>
      </c>
      <c r="U206" s="209" t="n"/>
      <c r="V206" s="209" t="n"/>
      <c r="W206" s="172" t="n"/>
      <c r="AB206" s="210" t="e">
        <f aca="false" ca="false" dt2D="false" dtr="false" t="normal">#REF!+#REF!</f>
        <v>#REF!</v>
      </c>
      <c r="AC206" s="211" t="e">
        <f aca="false" ca="false" dt2D="false" dtr="false" t="normal">#REF!+#REF!</f>
        <v>#REF!</v>
      </c>
      <c r="AD206" s="211" t="e">
        <f aca="false" ca="false" dt2D="false" dtr="false" t="normal">#REF!+#REF!</f>
        <v>#REF!</v>
      </c>
      <c r="AE206" s="211" t="e">
        <f aca="false" ca="false" dt2D="false" dtr="false" t="normal">#REF!+#REF!</f>
        <v>#REF!</v>
      </c>
      <c r="AF206" s="211" t="e">
        <f aca="false" ca="false" dt2D="false" dtr="false" t="normal">#REF!+#REF!</f>
        <v>#REF!</v>
      </c>
      <c r="AG206" s="211" t="e">
        <f aca="false" ca="false" dt2D="false" dtr="false" t="normal">#REF!+#REF!</f>
        <v>#REF!</v>
      </c>
      <c r="AH206" s="211" t="e">
        <f aca="false" ca="false" dt2D="false" dtr="false" t="normal">#REF!+#REF!</f>
        <v>#REF!</v>
      </c>
      <c r="AI206" s="211" t="e">
        <f aca="false" ca="false" dt2D="false" dtr="false" t="normal">#REF!+#REF!</f>
        <v>#REF!</v>
      </c>
      <c r="AJ206" s="211" t="e">
        <f aca="false" ca="false" dt2D="false" dtr="false" t="normal">#REF!+#REF!</f>
        <v>#REF!</v>
      </c>
      <c r="AK206" s="211" t="e">
        <f aca="false" ca="false" dt2D="false" dtr="false" t="normal">#REF!+#REF!</f>
        <v>#REF!</v>
      </c>
      <c r="AL206" s="211" t="e">
        <f aca="false" ca="false" dt2D="false" dtr="false" t="normal">#REF!+#REF!</f>
        <v>#REF!</v>
      </c>
      <c r="AM206" s="211" t="e">
        <f aca="false" ca="false" dt2D="false" dtr="false" t="normal">#REF!+#REF!</f>
        <v>#REF!</v>
      </c>
      <c r="AN206" s="211" t="e">
        <f aca="false" ca="false" dt2D="false" dtr="false" t="normal">#REF!+#REF!</f>
        <v>#REF!</v>
      </c>
      <c r="AO206" s="211" t="e">
        <f aca="false" ca="false" dt2D="false" dtr="false" t="normal">#REF!+#REF!</f>
        <v>#REF!</v>
      </c>
      <c r="AP206" s="211" t="e">
        <f aca="false" ca="false" dt2D="false" dtr="false" t="normal">#REF!+#REF!</f>
        <v>#REF!</v>
      </c>
      <c r="AQ206" s="211" t="e">
        <f aca="false" ca="false" dt2D="false" dtr="false" t="normal">#REF!+#REF!</f>
        <v>#REF!</v>
      </c>
      <c r="AR206" s="3" t="n"/>
    </row>
    <row outlineLevel="0" r="207">
      <c r="A207" s="5" t="n">
        <f aca="false" ca="false" dt2D="false" dtr="false" t="normal">+A205+1</f>
        <v>189</v>
      </c>
      <c r="B207" s="159" t="n">
        <v>1</v>
      </c>
      <c r="C207" s="6" t="s">
        <v>147</v>
      </c>
      <c r="D207" s="6" t="s">
        <v>465</v>
      </c>
      <c r="E207" s="139" t="n">
        <v>1993</v>
      </c>
      <c r="F207" s="139" t="n">
        <v>2013</v>
      </c>
      <c r="G207" s="139" t="s">
        <v>4</v>
      </c>
      <c r="H207" s="139" t="n">
        <v>9</v>
      </c>
      <c r="I207" s="139" t="n">
        <v>1</v>
      </c>
      <c r="J207" s="17" t="n">
        <v>4027.7</v>
      </c>
      <c r="K207" s="17" t="n">
        <v>2671.9</v>
      </c>
      <c r="L207" s="17" t="n">
        <v>0</v>
      </c>
      <c r="M207" s="140" t="n">
        <v>88</v>
      </c>
      <c r="N207" s="16" t="n">
        <f aca="false" ca="false" dt2D="false" dtr="false" t="normal">SUM(P207:T207)</f>
        <v>5403128.5</v>
      </c>
      <c r="O207" s="18" t="n"/>
      <c r="P207" s="18" t="n">
        <v>951459.54</v>
      </c>
      <c r="Q207" s="18" t="n"/>
      <c r="R207" s="18" t="n">
        <v>1171287.68</v>
      </c>
      <c r="S207" s="18" t="n">
        <v>3280381.28</v>
      </c>
      <c r="T207" s="18" t="n">
        <v>0</v>
      </c>
      <c r="U207" s="18" t="n">
        <v>2058.63897753802</v>
      </c>
      <c r="V207" s="18" t="n">
        <v>1174.283020064</v>
      </c>
      <c r="W207" s="212" t="n">
        <v>2023</v>
      </c>
      <c r="X207" s="1" t="n">
        <f aca="false" ca="false" dt2D="false" dtr="false" t="normal">1985654.28-830510.88</f>
        <v>1155143.4</v>
      </c>
      <c r="Y207" s="3" t="n">
        <f aca="false" ca="false" dt2D="false" dtr="false" t="normal">+(K207*13.95+L207*23.65)*12*0.85</f>
        <v>380184.65099999995</v>
      </c>
      <c r="Z207" s="3" t="n">
        <f aca="false" ca="false" dt2D="false" dtr="false" t="normal">+(K207*13.95+L207*23.65)*12*30-2624808.09</f>
        <v>10793473.709999999</v>
      </c>
      <c r="AB207" s="158" t="n">
        <f aca="false" ca="true" dt2D="false" dtr="false" t="normal">SUBTOTAL(9, AC207:AQ207)</f>
        <v>5403128.5</v>
      </c>
      <c r="AC207" s="18" t="n">
        <v>0</v>
      </c>
      <c r="AD207" s="18" t="n">
        <v>0</v>
      </c>
      <c r="AE207" s="18" t="n">
        <v>0</v>
      </c>
      <c r="AF207" s="18" t="n">
        <v>0</v>
      </c>
      <c r="AG207" s="18" t="n">
        <v>0</v>
      </c>
      <c r="AH207" s="18" t="n"/>
      <c r="AI207" s="18" t="n"/>
      <c r="AJ207" s="18" t="n">
        <v>0</v>
      </c>
      <c r="AK207" s="18" t="n"/>
      <c r="AL207" s="18" t="n">
        <v>5403128.5</v>
      </c>
      <c r="AM207" s="18" t="n">
        <v>0</v>
      </c>
      <c r="AN207" s="18" t="n">
        <v>0</v>
      </c>
      <c r="AO207" s="18" t="n"/>
      <c r="AP207" s="18" t="n"/>
      <c r="AQ207" s="24" t="n"/>
      <c r="AR207" s="3" t="n">
        <f aca="false" ca="false" dt2D="false" dtr="false" t="normal">N207-AB207</f>
        <v>0</v>
      </c>
    </row>
    <row outlineLevel="0" r="208">
      <c r="A208" s="5" t="n">
        <v>190</v>
      </c>
      <c r="B208" s="159" t="n">
        <v>2</v>
      </c>
      <c r="C208" s="6" t="s">
        <v>147</v>
      </c>
      <c r="D208" s="6" t="s">
        <v>466</v>
      </c>
      <c r="E208" s="139" t="n">
        <v>1993</v>
      </c>
      <c r="F208" s="139" t="n">
        <v>2013</v>
      </c>
      <c r="G208" s="139" t="s">
        <v>4</v>
      </c>
      <c r="H208" s="139" t="n">
        <v>9</v>
      </c>
      <c r="I208" s="139" t="n">
        <v>1</v>
      </c>
      <c r="J208" s="17" t="n">
        <v>4065.2</v>
      </c>
      <c r="K208" s="17" t="n">
        <v>2714.9</v>
      </c>
      <c r="L208" s="17" t="n">
        <v>0</v>
      </c>
      <c r="M208" s="140" t="n">
        <v>97</v>
      </c>
      <c r="N208" s="16" t="n">
        <f aca="false" ca="false" dt2D="false" dtr="false" t="normal">SUM(P208:T208)</f>
        <v>5976346.289999999</v>
      </c>
      <c r="O208" s="18" t="n"/>
      <c r="P208" s="18" t="n">
        <v>1451368.66</v>
      </c>
      <c r="Q208" s="18" t="n"/>
      <c r="R208" s="18" t="n">
        <v>589325.33</v>
      </c>
      <c r="S208" s="18" t="n">
        <v>3935652.3</v>
      </c>
      <c r="T208" s="18" t="n">
        <v>0</v>
      </c>
      <c r="U208" s="18" t="n">
        <v>2372.28398686903</v>
      </c>
      <c r="V208" s="18" t="n">
        <v>1175.283020064</v>
      </c>
      <c r="W208" s="212" t="n">
        <v>2023</v>
      </c>
      <c r="X208" s="1" t="n">
        <f aca="false" ca="false" dt2D="false" dtr="false" t="normal">2036159.03-955818.8-238954.7-238954.7008</f>
        <v>602430.8292</v>
      </c>
      <c r="Y208" s="3" t="n">
        <f aca="false" ca="false" dt2D="false" dtr="false" t="normal">+(K208*13.95+L208*23.65)*12*0.85</f>
        <v>386303.1209999999</v>
      </c>
      <c r="Z208" s="3" t="n">
        <f aca="false" ca="false" dt2D="false" dtr="false" t="normal">+(K208*13.95+L208*23.65)*12*30-785411.714-946514.09-915077.42</f>
        <v>10987224.576</v>
      </c>
      <c r="AB208" s="158" t="n">
        <f aca="false" ca="true" dt2D="false" dtr="false" t="normal">SUBTOTAL(9, AC208:AQ208)</f>
        <v>5976346.29</v>
      </c>
      <c r="AC208" s="18" t="n">
        <v>0</v>
      </c>
      <c r="AD208" s="18" t="n">
        <v>0</v>
      </c>
      <c r="AE208" s="18" t="n">
        <v>0</v>
      </c>
      <c r="AF208" s="18" t="n">
        <v>0</v>
      </c>
      <c r="AG208" s="18" t="n">
        <v>0</v>
      </c>
      <c r="AH208" s="18" t="n"/>
      <c r="AI208" s="18" t="n"/>
      <c r="AJ208" s="18" t="n">
        <v>0</v>
      </c>
      <c r="AK208" s="18" t="n">
        <v>0</v>
      </c>
      <c r="AL208" s="18" t="n">
        <v>5976346.29</v>
      </c>
      <c r="AM208" s="18" t="n"/>
      <c r="AN208" s="18" t="n">
        <v>0</v>
      </c>
      <c r="AO208" s="18" t="n"/>
      <c r="AP208" s="18" t="n"/>
      <c r="AQ208" s="24" t="n"/>
      <c r="AR208" s="3" t="n">
        <f aca="false" ca="false" dt2D="false" dtr="false" t="normal">N208-AB208</f>
        <v>0</v>
      </c>
    </row>
    <row outlineLevel="0" r="209">
      <c r="A209" s="5" t="n">
        <v>191</v>
      </c>
      <c r="B209" s="159" t="n">
        <v>3</v>
      </c>
      <c r="C209" s="138" t="s">
        <v>147</v>
      </c>
      <c r="D209" s="138" t="s">
        <v>155</v>
      </c>
      <c r="E209" s="139" t="n">
        <v>1997</v>
      </c>
      <c r="F209" s="139" t="n">
        <v>2013</v>
      </c>
      <c r="G209" s="139" t="s">
        <v>4</v>
      </c>
      <c r="H209" s="139" t="n">
        <v>3</v>
      </c>
      <c r="I209" s="139" t="n">
        <v>3</v>
      </c>
      <c r="J209" s="17" t="n">
        <v>2554.7</v>
      </c>
      <c r="K209" s="17" t="n">
        <v>1158.4</v>
      </c>
      <c r="L209" s="17" t="n">
        <v>157.9</v>
      </c>
      <c r="M209" s="140" t="n">
        <v>40</v>
      </c>
      <c r="N209" s="16" t="n">
        <f aca="false" ca="false" dt2D="false" dtr="false" t="normal">SUM(P209:T209)</f>
        <v>442092.5</v>
      </c>
      <c r="O209" s="17" t="n"/>
      <c r="P209" s="17" t="n"/>
      <c r="Q209" s="17" t="n"/>
      <c r="R209" s="17" t="n">
        <v>442092.5</v>
      </c>
      <c r="S209" s="17" t="n"/>
      <c r="T209" s="17" t="n">
        <v>0</v>
      </c>
      <c r="U209" s="17" t="n">
        <v>9006.82940818962</v>
      </c>
      <c r="V209" s="17" t="n">
        <v>9006.82940818962</v>
      </c>
      <c r="W209" s="212" t="n">
        <v>2023</v>
      </c>
      <c r="X209" s="1" t="n">
        <v>739157.71</v>
      </c>
      <c r="Y209" s="3" t="n">
        <f aca="false" ca="false" dt2D="false" dtr="false" t="normal">+(K209*10+L209*20)*12*0.85</f>
        <v>150368.4</v>
      </c>
      <c r="Z209" s="3" t="n">
        <f aca="false" ca="false" dt2D="false" dtr="false" t="normal">+(K209*10+L209*20)*12*30</f>
        <v>5307120</v>
      </c>
      <c r="AB209" s="23" t="n">
        <f aca="false" ca="true" dt2D="false" dtr="false" t="normal">SUBTOTAL(9, AC209:AQ209)</f>
        <v>442092.5</v>
      </c>
      <c r="AC209" s="18" t="n"/>
      <c r="AD209" s="18" t="n"/>
      <c r="AE209" s="18" t="n">
        <v>442092.5</v>
      </c>
      <c r="AF209" s="18" t="n"/>
      <c r="AG209" s="18" t="n">
        <v>0</v>
      </c>
      <c r="AH209" s="18" t="n"/>
      <c r="AI209" s="18" t="n"/>
      <c r="AJ209" s="18" t="n">
        <v>0</v>
      </c>
      <c r="AK209" s="18" t="n"/>
      <c r="AL209" s="17" t="n"/>
      <c r="AM209" s="18" t="n"/>
      <c r="AN209" s="18" t="n"/>
      <c r="AO209" s="18" t="n"/>
      <c r="AP209" s="18" t="n"/>
      <c r="AQ209" s="24" t="n"/>
      <c r="AR209" s="3" t="n">
        <f aca="false" ca="false" dt2D="false" dtr="false" t="normal">N209-AB209</f>
        <v>0</v>
      </c>
    </row>
    <row customFormat="true" ht="15" outlineLevel="0" r="210" s="184">
      <c r="A210" s="5" t="n">
        <f aca="false" ca="false" dt2D="false" dtr="false" t="normal">+A209+1</f>
        <v>192</v>
      </c>
      <c r="B210" s="159" t="n">
        <v>4</v>
      </c>
      <c r="C210" s="6" t="s">
        <v>80</v>
      </c>
      <c r="D210" s="6" t="s">
        <v>81</v>
      </c>
      <c r="E210" s="139" t="s">
        <v>414</v>
      </c>
      <c r="F210" s="139" t="n"/>
      <c r="G210" s="139" t="s">
        <v>4</v>
      </c>
      <c r="H210" s="139" t="s">
        <v>165</v>
      </c>
      <c r="I210" s="139" t="s">
        <v>312</v>
      </c>
      <c r="J210" s="17" t="n">
        <v>5474.4</v>
      </c>
      <c r="K210" s="17" t="n">
        <v>4591</v>
      </c>
      <c r="L210" s="17" t="n">
        <v>74.8</v>
      </c>
      <c r="M210" s="140" t="n">
        <v>142</v>
      </c>
      <c r="N210" s="16" t="n">
        <f aca="false" ca="false" dt2D="false" dtr="false" t="normal">SUM(P210:T210)</f>
        <v>4023991.379999999</v>
      </c>
      <c r="O210" s="18" t="n">
        <v>0</v>
      </c>
      <c r="P210" s="18" t="n">
        <v>3054635.8</v>
      </c>
      <c r="Q210" s="18" t="n">
        <v>0</v>
      </c>
      <c r="R210" s="18" t="n">
        <v>732511.62</v>
      </c>
      <c r="S210" s="18" t="n">
        <v>236843.959999999</v>
      </c>
      <c r="T210" s="151" t="n">
        <v>0</v>
      </c>
      <c r="U210" s="17" t="n">
        <v>1076.31151479542</v>
      </c>
      <c r="V210" s="17" t="n">
        <v>1076.31151479542</v>
      </c>
      <c r="W210" s="212" t="n">
        <v>2023</v>
      </c>
      <c r="X210" s="192" t="n">
        <f aca="false" ca="false" dt2D="false" dtr="false" t="normal">2359832.72-R18</f>
        <v>-343147.54946667</v>
      </c>
      <c r="Y210" s="3" t="n">
        <f aca="false" ca="false" dt2D="false" dtr="false" t="normal">+(K210*10+L210*20)*12*0.85</f>
        <v>483541.2</v>
      </c>
      <c r="Z210" s="3" t="n">
        <f aca="false" ca="false" dt2D="false" dtr="false" t="normal">+(K210*10+L210*20)*12*30-S18</f>
        <v>-4053688.4800000004</v>
      </c>
      <c r="AA210" s="3" t="n"/>
      <c r="AB210" s="23" t="n">
        <f aca="false" ca="true" dt2D="false" dtr="false" t="normal">SUBTOTAL(9, AC210:AQ210)</f>
        <v>4023991.38</v>
      </c>
      <c r="AC210" s="18" t="n"/>
      <c r="AD210" s="18" t="n"/>
      <c r="AE210" s="18" t="n">
        <v>3762253.56</v>
      </c>
      <c r="AF210" s="18" t="n">
        <v>0</v>
      </c>
      <c r="AG210" s="18" t="n">
        <v>0</v>
      </c>
      <c r="AH210" s="18" t="n"/>
      <c r="AI210" s="18" t="n"/>
      <c r="AJ210" s="18" t="n">
        <v>0</v>
      </c>
      <c r="AK210" s="18" t="n">
        <v>0</v>
      </c>
      <c r="AL210" s="18" t="n">
        <v>0</v>
      </c>
      <c r="AM210" s="17" t="n"/>
      <c r="AN210" s="18" t="n"/>
      <c r="AO210" s="18" t="n">
        <v>257737.82</v>
      </c>
      <c r="AP210" s="18" t="n">
        <v>4000</v>
      </c>
      <c r="AQ210" s="24" t="n"/>
      <c r="AR210" s="3" t="n">
        <f aca="false" ca="false" dt2D="false" dtr="false" t="normal">N210-AB210</f>
        <v>0</v>
      </c>
      <c r="AT210" s="187" t="n"/>
    </row>
    <row customFormat="true" customHeight="true" ht="15" outlineLevel="0" r="211" s="184">
      <c r="A211" s="5" t="n">
        <f aca="false" ca="false" dt2D="false" dtr="false" t="normal">+A210+1</f>
        <v>193</v>
      </c>
      <c r="B211" s="159" t="n">
        <v>5</v>
      </c>
      <c r="C211" s="6" t="s">
        <v>80</v>
      </c>
      <c r="D211" s="6" t="s">
        <v>84</v>
      </c>
      <c r="E211" s="139" t="s">
        <v>164</v>
      </c>
      <c r="F211" s="139" t="n"/>
      <c r="G211" s="139" t="s">
        <v>4</v>
      </c>
      <c r="H211" s="139" t="s">
        <v>165</v>
      </c>
      <c r="I211" s="139" t="s">
        <v>312</v>
      </c>
      <c r="J211" s="17" t="n">
        <v>4657</v>
      </c>
      <c r="K211" s="17" t="n">
        <v>4657</v>
      </c>
      <c r="L211" s="17" t="n">
        <v>0</v>
      </c>
      <c r="M211" s="140" t="n">
        <v>172</v>
      </c>
      <c r="N211" s="16" t="n">
        <f aca="false" ca="false" dt2D="false" dtr="false" t="normal">SUM(P211:T211)</f>
        <v>21777938.175</v>
      </c>
      <c r="O211" s="18" t="n">
        <v>0</v>
      </c>
      <c r="P211" s="18" t="n">
        <v>5312507.8</v>
      </c>
      <c r="Q211" s="18" t="n">
        <v>0</v>
      </c>
      <c r="R211" s="18" t="n">
        <v>1314330.07</v>
      </c>
      <c r="S211" s="18" t="n">
        <v>15151100.305</v>
      </c>
      <c r="T211" s="18" t="n">
        <v>0</v>
      </c>
      <c r="U211" s="17" t="n">
        <v>5218.08745698601</v>
      </c>
      <c r="V211" s="17" t="n">
        <v>5218.08745698601</v>
      </c>
      <c r="W211" s="212" t="n">
        <v>2023</v>
      </c>
      <c r="X211" s="192" t="n">
        <f aca="false" ca="false" dt2D="false" dtr="false" t="normal">2457007.84-R19</f>
        <v>-475014</v>
      </c>
      <c r="Y211" s="3" t="n">
        <f aca="false" ca="false" dt2D="false" dtr="false" t="normal">+(K211*10+L211*20)*12*0.85</f>
        <v>475014</v>
      </c>
      <c r="Z211" s="3" t="n">
        <f aca="false" ca="false" dt2D="false" dtr="false" t="normal">+(K211*10+L211*20)*12*30-S19</f>
        <v>0</v>
      </c>
      <c r="AA211" s="3" t="n"/>
      <c r="AB211" s="23" t="n">
        <f aca="false" ca="true" dt2D="false" dtr="false" t="normal">SUBTOTAL(9, AC211:AQ211)</f>
        <v>21777938.169999998</v>
      </c>
      <c r="AC211" s="18" t="n"/>
      <c r="AD211" s="18" t="n"/>
      <c r="AE211" s="18" t="n">
        <v>3766305.47</v>
      </c>
      <c r="AF211" s="18" t="n">
        <v>0</v>
      </c>
      <c r="AG211" s="18" t="n">
        <v>0</v>
      </c>
      <c r="AH211" s="18" t="n"/>
      <c r="AI211" s="18" t="n"/>
      <c r="AJ211" s="18" t="n">
        <v>0</v>
      </c>
      <c r="AK211" s="18" t="n">
        <v>0</v>
      </c>
      <c r="AL211" s="18" t="n">
        <v>0</v>
      </c>
      <c r="AM211" s="18" t="n">
        <v>17283832.8</v>
      </c>
      <c r="AN211" s="18" t="n"/>
      <c r="AO211" s="18" t="n">
        <v>711799.9</v>
      </c>
      <c r="AP211" s="18" t="n">
        <v>16000</v>
      </c>
      <c r="AQ211" s="24" t="n"/>
      <c r="AR211" s="3" t="n">
        <f aca="false" ca="false" dt2D="false" dtr="false" t="normal">N211-AB211</f>
        <v>0.005000002682209015</v>
      </c>
      <c r="AT211" s="187" t="n"/>
    </row>
    <row customFormat="true" ht="15" outlineLevel="0" r="212" s="184">
      <c r="A212" s="5" t="n">
        <f aca="false" ca="false" dt2D="false" dtr="false" t="normal">+A211+1</f>
        <v>194</v>
      </c>
      <c r="B212" s="159" t="n">
        <v>6</v>
      </c>
      <c r="C212" s="6" t="s">
        <v>80</v>
      </c>
      <c r="D212" s="6" t="s">
        <v>86</v>
      </c>
      <c r="E212" s="139" t="s">
        <v>471</v>
      </c>
      <c r="F212" s="139" t="n"/>
      <c r="G212" s="139" t="s">
        <v>4</v>
      </c>
      <c r="H212" s="139" t="s">
        <v>165</v>
      </c>
      <c r="I212" s="139" t="s">
        <v>159</v>
      </c>
      <c r="J212" s="17" t="n">
        <v>3725.7</v>
      </c>
      <c r="K212" s="17" t="n">
        <v>3170.6</v>
      </c>
      <c r="L212" s="17" t="n">
        <v>0</v>
      </c>
      <c r="M212" s="140" t="n">
        <v>120</v>
      </c>
      <c r="N212" s="16" t="n">
        <f aca="false" ca="false" dt2D="false" dtr="false" t="normal">SUM(P212:T212)</f>
        <v>15325690.4</v>
      </c>
      <c r="O212" s="18" t="n">
        <v>0</v>
      </c>
      <c r="P212" s="18" t="n">
        <v>12324543.11</v>
      </c>
      <c r="Q212" s="18" t="n">
        <v>0</v>
      </c>
      <c r="R212" s="18" t="n"/>
      <c r="S212" s="18" t="n">
        <v>1538172.706</v>
      </c>
      <c r="T212" s="18" t="n">
        <v>1462974.584</v>
      </c>
      <c r="U212" s="17" t="n">
        <v>5293.18623071679</v>
      </c>
      <c r="V212" s="17" t="n">
        <v>5293.18623071679</v>
      </c>
      <c r="W212" s="212" t="n">
        <v>2023</v>
      </c>
      <c r="X212" s="192" t="n">
        <f aca="false" ca="false" dt2D="false" dtr="false" t="normal">1554485.44-R20</f>
        <v>-323401.19999999995</v>
      </c>
      <c r="Y212" s="3" t="n">
        <f aca="false" ca="false" dt2D="false" dtr="false" t="normal">+(K212*10+L212*20)*12*0.85</f>
        <v>323401.2</v>
      </c>
      <c r="Z212" s="3" t="n">
        <f aca="false" ca="false" dt2D="false" dtr="false" t="normal">+(K212*10+L212*20)*12*30-S20</f>
        <v>0</v>
      </c>
      <c r="AA212" s="3" t="n"/>
      <c r="AB212" s="23" t="n">
        <f aca="false" ca="true" dt2D="false" dtr="false" t="normal">SUBTOTAL(9, AC212:AQ212)</f>
        <v>15325690.4</v>
      </c>
      <c r="AC212" s="18" t="n"/>
      <c r="AD212" s="213" t="n"/>
      <c r="AE212" s="18" t="n">
        <v>2589897.61</v>
      </c>
      <c r="AF212" s="213" t="n">
        <v>0</v>
      </c>
      <c r="AG212" s="18" t="n">
        <v>0</v>
      </c>
      <c r="AH212" s="18" t="n"/>
      <c r="AI212" s="18" t="n"/>
      <c r="AJ212" s="18" t="n">
        <v>0</v>
      </c>
      <c r="AK212" s="213" t="n">
        <v>0</v>
      </c>
      <c r="AL212" s="213" t="n">
        <v>0</v>
      </c>
      <c r="AM212" s="18" t="n">
        <v>12127268.4</v>
      </c>
      <c r="AN212" s="18" t="n"/>
      <c r="AO212" s="18" t="n">
        <v>594524.39</v>
      </c>
      <c r="AP212" s="18" t="n">
        <v>14000</v>
      </c>
      <c r="AQ212" s="24" t="n"/>
      <c r="AR212" s="3" t="n">
        <f aca="false" ca="false" dt2D="false" dtr="false" t="normal">N212-AB212</f>
        <v>0</v>
      </c>
      <c r="AT212" s="187" t="n"/>
    </row>
    <row outlineLevel="0" r="213">
      <c r="A213" s="5" t="n">
        <f aca="false" ca="false" dt2D="false" dtr="false" t="normal">+A212+1</f>
        <v>195</v>
      </c>
      <c r="B213" s="159" t="n">
        <v>7</v>
      </c>
      <c r="C213" s="6" t="s">
        <v>97</v>
      </c>
      <c r="D213" s="6" t="s">
        <v>169</v>
      </c>
      <c r="E213" s="139" t="n">
        <v>1989</v>
      </c>
      <c r="F213" s="139" t="n">
        <v>2012</v>
      </c>
      <c r="G213" s="139" t="s">
        <v>4</v>
      </c>
      <c r="H213" s="139" t="n">
        <v>5</v>
      </c>
      <c r="I213" s="139" t="n">
        <v>4</v>
      </c>
      <c r="J213" s="17" t="n">
        <v>5759.5</v>
      </c>
      <c r="K213" s="17" t="n">
        <v>4823.5</v>
      </c>
      <c r="L213" s="17" t="n">
        <v>45.7</v>
      </c>
      <c r="M213" s="140" t="n">
        <v>161</v>
      </c>
      <c r="N213" s="16" t="n">
        <f aca="false" ca="false" dt2D="false" dtr="false" t="normal">SUM(P213:T213)</f>
        <v>10867243.93</v>
      </c>
      <c r="O213" s="18" t="n"/>
      <c r="P213" s="18" t="n">
        <v>2183252.61</v>
      </c>
      <c r="Q213" s="18" t="n"/>
      <c r="R213" s="18" t="n">
        <v>835185.525</v>
      </c>
      <c r="S213" s="18" t="n">
        <v>7848805.795</v>
      </c>
      <c r="T213" s="18" t="n"/>
      <c r="U213" s="17" t="n">
        <v>3631.35654119086</v>
      </c>
      <c r="V213" s="17" t="n">
        <v>3631.35654119086</v>
      </c>
      <c r="W213" s="212" t="n">
        <v>2023</v>
      </c>
      <c r="X213" s="1" t="n">
        <v>2384141.34</v>
      </c>
      <c r="Y213" s="3" t="n">
        <f aca="false" ca="false" dt2D="false" dtr="false" t="normal">+(K213*10+L213*20)*12*0.85</f>
        <v>501319.8</v>
      </c>
      <c r="Z213" s="3" t="n">
        <f aca="false" ca="false" dt2D="false" dtr="false" t="normal">+(K213*10+L213*20)*12*30</f>
        <v>17693640</v>
      </c>
      <c r="AB213" s="23" t="n">
        <f aca="false" ca="true" dt2D="false" dtr="false" t="normal">SUBTOTAL(9, AC213:AQ213)</f>
        <v>10867243.93</v>
      </c>
      <c r="AC213" s="18" t="n">
        <v>0</v>
      </c>
      <c r="AD213" s="18" t="n">
        <v>0</v>
      </c>
      <c r="AE213" s="18" t="n">
        <v>1953253.18</v>
      </c>
      <c r="AF213" s="18" t="n">
        <v>1982667.17</v>
      </c>
      <c r="AG213" s="18" t="n">
        <v>0</v>
      </c>
      <c r="AH213" s="18" t="n"/>
      <c r="AI213" s="18" t="n"/>
      <c r="AJ213" s="18" t="n">
        <v>0</v>
      </c>
      <c r="AK213" s="18" t="n">
        <v>0</v>
      </c>
      <c r="AL213" s="18" t="n">
        <v>6881364.65</v>
      </c>
      <c r="AM213" s="18" t="n"/>
      <c r="AN213" s="18" t="n"/>
      <c r="AO213" s="18" t="n"/>
      <c r="AP213" s="18" t="n"/>
      <c r="AQ213" s="156" t="n">
        <f aca="false" ca="false" dt2D="false" dtr="false" t="normal">32043.58+17915.35</f>
        <v>49958.93</v>
      </c>
      <c r="AR213" s="3" t="n">
        <f aca="false" ca="false" dt2D="false" dtr="false" t="normal">N213-AB213</f>
        <v>0</v>
      </c>
    </row>
    <row outlineLevel="0" r="214">
      <c r="A214" s="5" t="n">
        <f aca="false" ca="false" dt2D="false" dtr="false" t="normal">+A213+1</f>
        <v>196</v>
      </c>
      <c r="B214" s="159" t="n">
        <v>8</v>
      </c>
      <c r="C214" s="138" t="s">
        <v>104</v>
      </c>
      <c r="D214" s="138" t="s">
        <v>473</v>
      </c>
      <c r="E214" s="139" t="n">
        <v>1987</v>
      </c>
      <c r="F214" s="139" t="n">
        <v>2017</v>
      </c>
      <c r="G214" s="139" t="s">
        <v>4</v>
      </c>
      <c r="H214" s="139" t="n">
        <v>9</v>
      </c>
      <c r="I214" s="139" t="n">
        <v>5</v>
      </c>
      <c r="J214" s="17" t="n">
        <v>12266.2</v>
      </c>
      <c r="K214" s="17" t="n">
        <v>9496.8</v>
      </c>
      <c r="L214" s="17" t="n">
        <v>175.7</v>
      </c>
      <c r="M214" s="140" t="n">
        <v>406</v>
      </c>
      <c r="N214" s="16" t="n">
        <f aca="false" ca="false" dt2D="false" dtr="false" t="normal">SUM(P214:T214)</f>
        <v>6651944.44</v>
      </c>
      <c r="O214" s="17" t="n"/>
      <c r="P214" s="18" t="n"/>
      <c r="Q214" s="18" t="n"/>
      <c r="R214" s="18" t="n">
        <v>6651944.44</v>
      </c>
      <c r="S214" s="18" t="n"/>
      <c r="T214" s="151" t="n"/>
      <c r="U214" s="18" t="n">
        <v>2594.5512519494</v>
      </c>
      <c r="V214" s="18" t="n">
        <v>1199.283020064</v>
      </c>
      <c r="W214" s="212" t="n">
        <v>2023</v>
      </c>
      <c r="X214" s="1" t="n">
        <v>7111161.16</v>
      </c>
      <c r="Y214" s="3" t="n">
        <f aca="false" ca="false" dt2D="false" dtr="false" t="normal">+(K214*13.95+L214*23.65)*12*0.85</f>
        <v>1393683.7829999998</v>
      </c>
      <c r="Z214" s="3" t="n">
        <f aca="false" ca="false" dt2D="false" dtr="false" t="normal">+(K214*13.95+L214*23.65)*12*30</f>
        <v>49188839.39999999</v>
      </c>
      <c r="AB214" s="158" t="n">
        <f aca="false" ca="true" dt2D="false" dtr="false" t="normal">SUBTOTAL(9, AC214:AQ214)</f>
        <v>6651944.44</v>
      </c>
      <c r="AC214" s="18" t="n">
        <v>6547103.74</v>
      </c>
      <c r="AD214" s="18" t="n">
        <v>0</v>
      </c>
      <c r="AE214" s="18" t="n"/>
      <c r="AF214" s="18" t="n">
        <v>0</v>
      </c>
      <c r="AG214" s="18" t="n">
        <v>0</v>
      </c>
      <c r="AH214" s="18" t="n"/>
      <c r="AI214" s="18" t="n"/>
      <c r="AJ214" s="18" t="n">
        <v>0</v>
      </c>
      <c r="AK214" s="18" t="n">
        <v>0</v>
      </c>
      <c r="AL214" s="18" t="n">
        <v>0</v>
      </c>
      <c r="AM214" s="18" t="n">
        <v>0</v>
      </c>
      <c r="AN214" s="18" t="n">
        <v>0</v>
      </c>
      <c r="AO214" s="18" t="n"/>
      <c r="AP214" s="18" t="n"/>
      <c r="AQ214" s="156" t="n">
        <v>104840.7</v>
      </c>
      <c r="AR214" s="3" t="n">
        <f aca="false" ca="false" dt2D="false" dtr="false" t="normal">N214-AB214</f>
        <v>0</v>
      </c>
    </row>
    <row outlineLevel="0" r="215">
      <c r="A215" s="5" t="n">
        <f aca="false" ca="false" dt2D="false" dtr="false" t="normal">+A214+1</f>
        <v>197</v>
      </c>
      <c r="B215" s="159" t="n">
        <v>9</v>
      </c>
      <c r="C215" s="138" t="s">
        <v>104</v>
      </c>
      <c r="D215" s="138" t="s">
        <v>118</v>
      </c>
      <c r="E215" s="139" t="n">
        <v>1988</v>
      </c>
      <c r="F215" s="139" t="n">
        <v>2016</v>
      </c>
      <c r="G215" s="139" t="s">
        <v>4</v>
      </c>
      <c r="H215" s="139" t="n">
        <v>5</v>
      </c>
      <c r="I215" s="139" t="n">
        <v>2</v>
      </c>
      <c r="J215" s="17" t="n">
        <v>4465.5</v>
      </c>
      <c r="K215" s="17" t="n">
        <v>2945.85</v>
      </c>
      <c r="L215" s="17" t="n">
        <v>451.6</v>
      </c>
      <c r="M215" s="140" t="n">
        <v>169</v>
      </c>
      <c r="N215" s="16" t="n">
        <f aca="false" ca="false" dt2D="false" dtr="false" t="normal">SUM(P215:T215)</f>
        <v>4115348.42</v>
      </c>
      <c r="O215" s="17" t="n"/>
      <c r="P215" s="18" t="n"/>
      <c r="Q215" s="18" t="n"/>
      <c r="R215" s="18" t="n"/>
      <c r="S215" s="18" t="n">
        <v>4115348.42</v>
      </c>
      <c r="T215" s="18" t="n"/>
      <c r="U215" s="18" t="n">
        <v>5457.15628584248</v>
      </c>
      <c r="V215" s="18" t="n">
        <v>1193.283020064</v>
      </c>
      <c r="W215" s="212" t="n">
        <v>2023</v>
      </c>
      <c r="X215" s="12" t="n">
        <f aca="false" ca="false" dt2D="false" dtr="false" t="normal">2191563.13-R32</f>
        <v>54528.87999999989</v>
      </c>
      <c r="Y215" s="3" t="n">
        <f aca="false" ca="false" dt2D="false" dtr="false" t="normal">+(K215*10.5+L215*21)*12*0.85</f>
        <v>412233.255</v>
      </c>
      <c r="Z215" s="3" t="n">
        <f aca="false" ca="false" dt2D="false" dtr="false" t="normal">+(K215*10.5+L215*21)*12*30-S32</f>
        <v>10699675.590000002</v>
      </c>
      <c r="AB215" s="158" t="n">
        <f aca="false" ca="true" dt2D="false" dtr="false" t="normal">SUBTOTAL(9, AC215:AQ215)</f>
        <v>4115348.42</v>
      </c>
      <c r="AC215" s="18" t="n"/>
      <c r="AD215" s="18" t="n"/>
      <c r="AE215" s="18" t="n">
        <v>0</v>
      </c>
      <c r="AF215" s="18" t="n"/>
      <c r="AG215" s="18" t="n">
        <v>0</v>
      </c>
      <c r="AH215" s="18" t="n"/>
      <c r="AI215" s="18" t="n"/>
      <c r="AJ215" s="18" t="n">
        <v>0</v>
      </c>
      <c r="AK215" s="18" t="n">
        <v>0</v>
      </c>
      <c r="AL215" s="18" t="n"/>
      <c r="AM215" s="18" t="n">
        <v>4078338.76</v>
      </c>
      <c r="AN215" s="18" t="n">
        <v>0</v>
      </c>
      <c r="AO215" s="18" t="n"/>
      <c r="AP215" s="18" t="n"/>
      <c r="AQ215" s="156" t="n">
        <v>37009.66</v>
      </c>
      <c r="AR215" s="3" t="n">
        <f aca="false" ca="false" dt2D="false" dtr="false" t="normal">N215-AB215</f>
        <v>0</v>
      </c>
    </row>
    <row outlineLevel="0" r="216">
      <c r="A216" s="5" t="n">
        <f aca="false" ca="false" dt2D="false" dtr="false" t="normal">+A215+1</f>
        <v>198</v>
      </c>
      <c r="B216" s="159" t="n">
        <v>10</v>
      </c>
      <c r="C216" s="138" t="s">
        <v>104</v>
      </c>
      <c r="D216" s="138" t="s">
        <v>475</v>
      </c>
      <c r="E216" s="139" t="n">
        <v>1997</v>
      </c>
      <c r="F216" s="139" t="n">
        <v>1997</v>
      </c>
      <c r="G216" s="139" t="s">
        <v>4</v>
      </c>
      <c r="H216" s="139" t="n">
        <v>9</v>
      </c>
      <c r="I216" s="139" t="n">
        <v>1</v>
      </c>
      <c r="J216" s="17" t="n">
        <v>2892.9</v>
      </c>
      <c r="K216" s="17" t="n">
        <v>2475.7</v>
      </c>
      <c r="L216" s="17" t="n">
        <v>0</v>
      </c>
      <c r="M216" s="140" t="n">
        <v>81</v>
      </c>
      <c r="N216" s="16" t="n">
        <f aca="false" ca="false" dt2D="false" dtr="false" t="normal">SUM(P216:T216)</f>
        <v>4652447.56</v>
      </c>
      <c r="O216" s="17" t="n"/>
      <c r="P216" s="18" t="n">
        <v>0</v>
      </c>
      <c r="Q216" s="18" t="n"/>
      <c r="R216" s="18" t="n">
        <v>2270366.743</v>
      </c>
      <c r="S216" s="18" t="n">
        <v>2382080.817</v>
      </c>
      <c r="T216" s="18" t="n"/>
      <c r="U216" s="18" t="n">
        <v>5499.65901230128</v>
      </c>
      <c r="V216" s="18" t="n">
        <v>1200.283020064</v>
      </c>
      <c r="W216" s="212" t="n">
        <v>2023</v>
      </c>
      <c r="X216" s="103" t="n">
        <v>1918099.39</v>
      </c>
      <c r="Y216" s="3" t="n">
        <f aca="false" ca="false" dt2D="false" dtr="false" t="normal">+(K216*13.95+L216*23.65)*12*0.85</f>
        <v>352267.35299999994</v>
      </c>
      <c r="Z216" s="3" t="n">
        <f aca="false" ca="false" dt2D="false" dtr="false" t="normal">+(K216*13.95+L216*23.65)*12*30</f>
        <v>12432965.399999999</v>
      </c>
      <c r="AB216" s="158" t="n">
        <f aca="false" ca="true" dt2D="false" dtr="false" t="normal">SUBTOTAL(9, AC216:AQ216)</f>
        <v>4652447.5600000005</v>
      </c>
      <c r="AC216" s="18" t="n">
        <v>1431154.42</v>
      </c>
      <c r="AD216" s="18" t="n">
        <v>676787.87</v>
      </c>
      <c r="AE216" s="18" t="n"/>
      <c r="AF216" s="18" t="n">
        <v>524666.75</v>
      </c>
      <c r="AG216" s="18" t="n">
        <v>0</v>
      </c>
      <c r="AH216" s="18" t="n"/>
      <c r="AI216" s="18" t="n"/>
      <c r="AJ216" s="18" t="n">
        <v>0</v>
      </c>
      <c r="AK216" s="18" t="n">
        <v>2019838.52</v>
      </c>
      <c r="AL216" s="18" t="n">
        <v>0</v>
      </c>
      <c r="AM216" s="18" t="n">
        <v>0</v>
      </c>
      <c r="AN216" s="18" t="n">
        <v>0</v>
      </c>
      <c r="AO216" s="18" t="n"/>
      <c r="AP216" s="18" t="n"/>
      <c r="AQ216" s="24" t="n"/>
      <c r="AR216" s="3" t="n">
        <f aca="false" ca="false" dt2D="false" dtr="false" t="normal">N216-AB216</f>
        <v>0</v>
      </c>
    </row>
    <row outlineLevel="0" r="217">
      <c r="A217" s="5" t="n">
        <f aca="false" ca="false" dt2D="false" dtr="false" t="normal">+A216+1</f>
        <v>199</v>
      </c>
      <c r="B217" s="159" t="n">
        <f aca="false" ca="false" dt2D="false" dtr="false" t="normal">+B216+1</f>
        <v>11</v>
      </c>
      <c r="C217" s="138" t="s">
        <v>104</v>
      </c>
      <c r="D217" s="138" t="s">
        <v>124</v>
      </c>
      <c r="E217" s="139" t="n">
        <v>1981</v>
      </c>
      <c r="F217" s="139" t="n">
        <v>2016</v>
      </c>
      <c r="G217" s="139" t="s">
        <v>4</v>
      </c>
      <c r="H217" s="139" t="n">
        <v>4</v>
      </c>
      <c r="I217" s="139" t="n">
        <v>3</v>
      </c>
      <c r="J217" s="17" t="n">
        <v>3910.2</v>
      </c>
      <c r="K217" s="17" t="n">
        <v>2017.9</v>
      </c>
      <c r="L217" s="17" t="n">
        <v>997.9</v>
      </c>
      <c r="M217" s="140" t="n">
        <v>113</v>
      </c>
      <c r="N217" s="16" t="n">
        <f aca="false" ca="false" dt2D="false" dtr="false" t="normal">SUM(P217:T217)</f>
        <v>1472824.81</v>
      </c>
      <c r="O217" s="17" t="n"/>
      <c r="P217" s="18" t="n"/>
      <c r="Q217" s="18" t="n"/>
      <c r="R217" s="18" t="n">
        <v>806677.1</v>
      </c>
      <c r="S217" s="18" t="n">
        <v>666147.71</v>
      </c>
      <c r="T217" s="151" t="n"/>
      <c r="U217" s="17" t="n">
        <v>1444.68651649849</v>
      </c>
      <c r="V217" s="17" t="n">
        <v>1444.68651649849</v>
      </c>
      <c r="W217" s="212" t="n">
        <v>2023</v>
      </c>
      <c r="X217" s="1" t="n">
        <v>954415.48</v>
      </c>
      <c r="Y217" s="3" t="n">
        <f aca="false" ca="false" dt2D="false" dtr="false" t="normal">+(K217*10+L217*20)*12*0.85</f>
        <v>409397.39999999997</v>
      </c>
      <c r="Z217" s="3" t="n">
        <f aca="false" ca="false" dt2D="false" dtr="false" t="normal">+(K217*10+L217*20)*12*30</f>
        <v>14449320</v>
      </c>
      <c r="AB217" s="23" t="n">
        <f aca="false" ca="true" dt2D="false" dtr="false" t="normal">SUBTOTAL(9, AC217:AQ217)</f>
        <v>1472824.81</v>
      </c>
      <c r="AC217" s="18" t="n">
        <v>1440738</v>
      </c>
      <c r="AD217" s="18" t="n"/>
      <c r="AE217" s="18" t="n"/>
      <c r="AF217" s="18" t="n">
        <v>0</v>
      </c>
      <c r="AG217" s="18" t="n">
        <v>0</v>
      </c>
      <c r="AH217" s="18" t="n"/>
      <c r="AI217" s="18" t="n"/>
      <c r="AJ217" s="18" t="n"/>
      <c r="AK217" s="18" t="n"/>
      <c r="AL217" s="18" t="n">
        <v>0</v>
      </c>
      <c r="AM217" s="18" t="n">
        <v>0</v>
      </c>
      <c r="AN217" s="18" t="n">
        <v>0</v>
      </c>
      <c r="AO217" s="18" t="n"/>
      <c r="AP217" s="18" t="n"/>
      <c r="AQ217" s="156" t="n">
        <v>32086.81</v>
      </c>
      <c r="AR217" s="3" t="n">
        <f aca="false" ca="false" dt2D="false" dtr="false" t="normal">N217-AB217</f>
        <v>0</v>
      </c>
    </row>
    <row outlineLevel="0" r="218">
      <c r="A218" s="5" t="n">
        <f aca="false" ca="false" dt2D="false" dtr="false" t="normal">+A217+1</f>
        <v>200</v>
      </c>
      <c r="B218" s="159" t="n">
        <f aca="false" ca="false" dt2D="false" dtr="false" t="normal">+B217+1</f>
        <v>12</v>
      </c>
      <c r="C218" s="138" t="s">
        <v>104</v>
      </c>
      <c r="D218" s="138" t="s">
        <v>478</v>
      </c>
      <c r="E218" s="139" t="n">
        <v>1990</v>
      </c>
      <c r="F218" s="139" t="n">
        <v>2017</v>
      </c>
      <c r="G218" s="139" t="s">
        <v>4</v>
      </c>
      <c r="H218" s="139" t="n">
        <v>9</v>
      </c>
      <c r="I218" s="139" t="n">
        <v>1</v>
      </c>
      <c r="J218" s="17" t="n">
        <v>3216.7</v>
      </c>
      <c r="K218" s="17" t="n">
        <v>2758.3</v>
      </c>
      <c r="L218" s="17" t="n">
        <v>0</v>
      </c>
      <c r="M218" s="140" t="n">
        <v>101</v>
      </c>
      <c r="N218" s="16" t="n">
        <f aca="false" ca="false" dt2D="false" dtr="false" t="normal">SUM(P218:T218)</f>
        <v>1265002.89</v>
      </c>
      <c r="O218" s="17" t="n"/>
      <c r="P218" s="17" t="n"/>
      <c r="Q218" s="17" t="n"/>
      <c r="R218" s="17" t="n"/>
      <c r="S218" s="17" t="n">
        <v>1265002.89</v>
      </c>
      <c r="T218" s="17" t="n"/>
      <c r="U218" s="17" t="n">
        <v>989.543462830196</v>
      </c>
      <c r="V218" s="18" t="n">
        <v>989.543462830196</v>
      </c>
      <c r="W218" s="212" t="n">
        <v>2023</v>
      </c>
      <c r="X218" s="1" t="n">
        <v>1661335.31</v>
      </c>
      <c r="Y218" s="3" t="n">
        <f aca="false" ca="false" dt2D="false" dtr="false" t="normal">+(K218*13.29+L218*22.52)*12*0.85</f>
        <v>373909.6314</v>
      </c>
      <c r="Z218" s="3" t="n">
        <f aca="false" ca="false" dt2D="false" dtr="false" t="normal">+(K218*13.29+L218*22.52)*12*30</f>
        <v>13196810.52</v>
      </c>
      <c r="AB218" s="23" t="n">
        <f aca="false" ca="true" dt2D="false" dtr="false" t="normal">SUBTOTAL(9, AC218:AQ218)</f>
        <v>1265002.8900000001</v>
      </c>
      <c r="AC218" s="18" t="n"/>
      <c r="AD218" s="18" t="n">
        <v>598205.16</v>
      </c>
      <c r="AE218" s="18" t="n">
        <v>0</v>
      </c>
      <c r="AF218" s="18" t="n">
        <v>649302.38</v>
      </c>
      <c r="AG218" s="18" t="n">
        <v>0</v>
      </c>
      <c r="AH218" s="18" t="n"/>
      <c r="AI218" s="18" t="n"/>
      <c r="AJ218" s="18" t="n">
        <v>0</v>
      </c>
      <c r="AK218" s="18" t="n">
        <v>0</v>
      </c>
      <c r="AL218" s="18" t="n">
        <v>0</v>
      </c>
      <c r="AM218" s="18" t="n">
        <v>0</v>
      </c>
      <c r="AN218" s="18" t="n">
        <v>0</v>
      </c>
      <c r="AO218" s="18" t="n"/>
      <c r="AP218" s="18" t="n"/>
      <c r="AQ218" s="156" t="n">
        <v>17495.35</v>
      </c>
      <c r="AR218" s="3" t="n">
        <f aca="false" ca="false" dt2D="false" dtr="false" t="normal">N218-AB218</f>
        <v>0</v>
      </c>
    </row>
    <row outlineLevel="0" r="219">
      <c r="A219" s="5" t="n">
        <f aca="false" ca="false" dt2D="false" dtr="false" t="normal">+A218+1</f>
        <v>201</v>
      </c>
      <c r="B219" s="159" t="n">
        <f aca="false" ca="false" dt2D="false" dtr="false" t="normal">+B218+1</f>
        <v>13</v>
      </c>
      <c r="C219" s="138" t="s">
        <v>104</v>
      </c>
      <c r="D219" s="138" t="s">
        <v>143</v>
      </c>
      <c r="E219" s="139" t="n">
        <v>1991</v>
      </c>
      <c r="F219" s="139" t="n">
        <v>1991</v>
      </c>
      <c r="G219" s="139" t="s">
        <v>4</v>
      </c>
      <c r="H219" s="139" t="n">
        <v>5</v>
      </c>
      <c r="I219" s="139" t="n">
        <v>8</v>
      </c>
      <c r="J219" s="17" t="n">
        <v>7532.7</v>
      </c>
      <c r="K219" s="17" t="n">
        <v>6513.5</v>
      </c>
      <c r="L219" s="17" t="n">
        <v>98.2</v>
      </c>
      <c r="M219" s="140" t="n">
        <v>288</v>
      </c>
      <c r="N219" s="16" t="n">
        <f aca="false" ca="false" dt2D="false" dtr="false" t="normal">SUM(P219:T219)</f>
        <v>4657286.09</v>
      </c>
      <c r="O219" s="155" t="n"/>
      <c r="P219" s="18" t="n"/>
      <c r="Q219" s="18" t="n"/>
      <c r="R219" s="18" t="n">
        <v>2140753.46</v>
      </c>
      <c r="S219" s="18" t="n">
        <v>2516532.63</v>
      </c>
      <c r="T219" s="18" t="n"/>
      <c r="U219" s="18" t="n">
        <v>795.499167980207</v>
      </c>
      <c r="V219" s="18" t="n">
        <v>795.499167980207</v>
      </c>
      <c r="W219" s="212" t="n">
        <v>2023</v>
      </c>
      <c r="X219" s="1" t="n">
        <f aca="false" ca="false" dt2D="false" dtr="false" t="normal">3159895.02-'[2]Приложение №1'!$R$23-542094.29</f>
        <v>2617800.73</v>
      </c>
      <c r="Y219" s="3" t="n">
        <f aca="false" ca="false" dt2D="false" dtr="false" t="normal">+(K219*10+L219*20)*12*0.85</f>
        <v>684409.7999999999</v>
      </c>
      <c r="Z219" s="3" t="n">
        <f aca="false" ca="false" dt2D="false" dtr="false" t="normal">+(K219*10+L219*20)*12*30-'[2]Приложение №1'!$S$23-4668048.56</f>
        <v>19487591.44</v>
      </c>
      <c r="AB219" s="23" t="n">
        <f aca="false" ca="true" dt2D="false" dtr="false" t="normal">SUBTOTAL(9, AC219:AQ219)</f>
        <v>4657286.09</v>
      </c>
      <c r="AC219" s="18" t="n">
        <v>2785412.36</v>
      </c>
      <c r="AD219" s="18" t="n"/>
      <c r="AE219" s="18" t="n"/>
      <c r="AF219" s="18" t="n">
        <v>1797583.57</v>
      </c>
      <c r="AG219" s="18" t="n">
        <v>0</v>
      </c>
      <c r="AH219" s="18" t="n"/>
      <c r="AI219" s="18" t="n"/>
      <c r="AJ219" s="18" t="n">
        <v>0</v>
      </c>
      <c r="AK219" s="18" t="n">
        <v>0</v>
      </c>
      <c r="AL219" s="18" t="n">
        <v>0</v>
      </c>
      <c r="AM219" s="18" t="n">
        <v>0</v>
      </c>
      <c r="AN219" s="18" t="n">
        <v>0</v>
      </c>
      <c r="AO219" s="18" t="n"/>
      <c r="AP219" s="18" t="n"/>
      <c r="AQ219" s="156" t="n">
        <f aca="false" ca="false" dt2D="false" dtr="false" t="normal">47685.81+26604.35</f>
        <v>74290.16</v>
      </c>
      <c r="AR219" s="3" t="n">
        <f aca="false" ca="false" dt2D="false" dtr="false" t="normal">N219-AB219</f>
        <v>0</v>
      </c>
    </row>
    <row outlineLevel="0" r="220">
      <c r="A220" s="5" t="n">
        <f aca="false" ca="false" dt2D="false" dtr="false" t="normal">+A219+1</f>
        <v>202</v>
      </c>
      <c r="B220" s="159" t="n">
        <f aca="false" ca="false" dt2D="false" dtr="false" t="normal">+B219+1</f>
        <v>14</v>
      </c>
      <c r="C220" s="138" t="s">
        <v>104</v>
      </c>
      <c r="D220" s="138" t="s">
        <v>152</v>
      </c>
      <c r="E220" s="139" t="n">
        <v>1986</v>
      </c>
      <c r="F220" s="139" t="n">
        <v>2013</v>
      </c>
      <c r="G220" s="139" t="s">
        <v>4</v>
      </c>
      <c r="H220" s="139" t="n">
        <v>5</v>
      </c>
      <c r="I220" s="139" t="n">
        <v>3</v>
      </c>
      <c r="J220" s="17" t="n">
        <v>4428.4</v>
      </c>
      <c r="K220" s="17" t="n">
        <v>3725.8</v>
      </c>
      <c r="L220" s="17" t="n">
        <v>0</v>
      </c>
      <c r="M220" s="140" t="n">
        <v>153</v>
      </c>
      <c r="N220" s="16" t="n">
        <f aca="false" ca="false" dt2D="false" dtr="false" t="normal">SUM(P220:T220)</f>
        <v>998067.65</v>
      </c>
      <c r="O220" s="17" t="n"/>
      <c r="P220" s="18" t="n"/>
      <c r="Q220" s="18" t="n"/>
      <c r="R220" s="18" t="n"/>
      <c r="S220" s="18" t="n">
        <v>998067.65</v>
      </c>
      <c r="T220" s="18" t="n"/>
      <c r="U220" s="18" t="n">
        <v>318.126606749886</v>
      </c>
      <c r="V220" s="18" t="n">
        <v>318.126606749886</v>
      </c>
      <c r="W220" s="212" t="n">
        <v>2023</v>
      </c>
      <c r="X220" s="12" t="n">
        <f aca="false" ca="false" dt2D="false" dtr="false" t="normal">1864228.53-R45</f>
        <v>-380031.59999999986</v>
      </c>
      <c r="Y220" s="3" t="n">
        <f aca="false" ca="false" dt2D="false" dtr="false" t="normal">+(K220*10+L220*20)*12*0.85</f>
        <v>380031.6</v>
      </c>
      <c r="Z220" s="3" t="n">
        <f aca="false" ca="false" dt2D="false" dtr="false" t="normal">+(K220*10+L220*20)*12*30-S45</f>
        <v>10541912.96</v>
      </c>
      <c r="AB220" s="23" t="n">
        <f aca="false" ca="true" dt2D="false" dtr="false" t="normal">SUBTOTAL(9, AC220:AQ220)</f>
        <v>998067.65</v>
      </c>
      <c r="AC220" s="18" t="n"/>
      <c r="AD220" s="18" t="n">
        <v>0</v>
      </c>
      <c r="AE220" s="18" t="n">
        <v>0</v>
      </c>
      <c r="AF220" s="18" t="n">
        <v>998067.65</v>
      </c>
      <c r="AG220" s="18" t="n">
        <v>0</v>
      </c>
      <c r="AH220" s="18" t="n"/>
      <c r="AI220" s="18" t="n"/>
      <c r="AJ220" s="18" t="n">
        <v>0</v>
      </c>
      <c r="AK220" s="18" t="n">
        <v>0</v>
      </c>
      <c r="AL220" s="18" t="n"/>
      <c r="AM220" s="18" t="n">
        <v>0</v>
      </c>
      <c r="AN220" s="18" t="n">
        <v>0</v>
      </c>
      <c r="AO220" s="18" t="n"/>
      <c r="AP220" s="18" t="n"/>
      <c r="AQ220" s="24" t="n"/>
      <c r="AR220" s="3" t="n">
        <f aca="false" ca="false" dt2D="false" dtr="false" t="normal">N220-AB220</f>
        <v>0</v>
      </c>
    </row>
    <row outlineLevel="0" r="221">
      <c r="A221" s="5" t="n">
        <f aca="false" ca="false" dt2D="false" dtr="false" t="normal">+A220+1</f>
        <v>203</v>
      </c>
      <c r="B221" s="159" t="n">
        <f aca="false" ca="false" dt2D="false" dtr="false" t="normal">+B220+1</f>
        <v>15</v>
      </c>
      <c r="C221" s="6" t="s">
        <v>104</v>
      </c>
      <c r="D221" s="6" t="s">
        <v>170</v>
      </c>
      <c r="E221" s="139" t="n">
        <v>1992</v>
      </c>
      <c r="F221" s="139" t="n">
        <v>2001</v>
      </c>
      <c r="G221" s="139" t="s">
        <v>4</v>
      </c>
      <c r="H221" s="139" t="n">
        <v>3</v>
      </c>
      <c r="I221" s="139" t="n">
        <v>5</v>
      </c>
      <c r="J221" s="17" t="n">
        <v>2965.1</v>
      </c>
      <c r="K221" s="17" t="n">
        <v>2484</v>
      </c>
      <c r="L221" s="17" t="n">
        <v>87.5</v>
      </c>
      <c r="M221" s="140" t="n">
        <v>91</v>
      </c>
      <c r="N221" s="16" t="n">
        <f aca="false" ca="false" dt2D="false" dtr="false" t="normal">SUM(P221:T221)</f>
        <v>8234860.976000001</v>
      </c>
      <c r="O221" s="18" t="n"/>
      <c r="P221" s="18" t="n">
        <v>5985386.16</v>
      </c>
      <c r="Q221" s="18" t="n"/>
      <c r="R221" s="18" t="n">
        <v>213532.98</v>
      </c>
      <c r="S221" s="18" t="n">
        <v>2035941.836</v>
      </c>
      <c r="T221" s="18" t="n"/>
      <c r="U221" s="18" t="n">
        <v>3616.10975281901</v>
      </c>
      <c r="V221" s="18" t="n">
        <v>3616.10975281901</v>
      </c>
      <c r="W221" s="212" t="n">
        <v>2023</v>
      </c>
      <c r="X221" s="12" t="n">
        <f aca="false" ca="false" dt2D="false" dtr="false" t="normal">1173019.05-R51</f>
        <v>-13985.589374080068</v>
      </c>
      <c r="Y221" s="3" t="n">
        <f aca="false" ca="false" dt2D="false" dtr="false" t="normal">+(K221*10+L221*20)*12*0.85</f>
        <v>271218</v>
      </c>
      <c r="Z221" s="3" t="n">
        <f aca="false" ca="false" dt2D="false" dtr="false" t="normal">+(K221*10+L221*20)*12*30-S51</f>
        <v>3099907.0893740803</v>
      </c>
      <c r="AB221" s="23" t="n">
        <f aca="false" ca="true" dt2D="false" dtr="false" t="normal">SUBTOTAL(9, AC221:AQ221)</f>
        <v>8234860.98</v>
      </c>
      <c r="AC221" s="18" t="n">
        <v>0</v>
      </c>
      <c r="AD221" s="18" t="n">
        <v>0</v>
      </c>
      <c r="AE221" s="18" t="n">
        <v>0</v>
      </c>
      <c r="AF221" s="18" t="n">
        <v>0</v>
      </c>
      <c r="AG221" s="18" t="n">
        <v>0</v>
      </c>
      <c r="AH221" s="18" t="n"/>
      <c r="AI221" s="18" t="n"/>
      <c r="AJ221" s="18" t="n">
        <v>0</v>
      </c>
      <c r="AK221" s="18" t="n">
        <v>8234860.98</v>
      </c>
      <c r="AL221" s="18" t="n">
        <v>0</v>
      </c>
      <c r="AM221" s="18" t="n"/>
      <c r="AN221" s="18" t="n">
        <v>0</v>
      </c>
      <c r="AO221" s="18" t="n"/>
      <c r="AP221" s="18" t="n"/>
      <c r="AQ221" s="24" t="n"/>
      <c r="AR221" s="3" t="n">
        <f aca="false" ca="false" dt2D="false" dtr="false" t="normal">N221-AB221</f>
        <v>-0.003999999724328518</v>
      </c>
    </row>
    <row outlineLevel="0" r="222">
      <c r="A222" s="5" t="n">
        <f aca="false" ca="false" dt2D="false" dtr="false" t="normal">+A221+1</f>
        <v>204</v>
      </c>
      <c r="B222" s="159" t="n">
        <f aca="false" ca="false" dt2D="false" dtr="false" t="normal">+B221+1</f>
        <v>16</v>
      </c>
      <c r="C222" s="138" t="s">
        <v>104</v>
      </c>
      <c r="D222" s="138" t="s">
        <v>287</v>
      </c>
      <c r="E222" s="139" t="n">
        <v>1987</v>
      </c>
      <c r="F222" s="139" t="n">
        <v>2016</v>
      </c>
      <c r="G222" s="139" t="s">
        <v>4</v>
      </c>
      <c r="H222" s="139" t="n">
        <v>5</v>
      </c>
      <c r="I222" s="139" t="n">
        <v>5</v>
      </c>
      <c r="J222" s="17" t="n">
        <v>7155.6</v>
      </c>
      <c r="K222" s="17" t="n">
        <v>5789.5</v>
      </c>
      <c r="L222" s="17" t="n">
        <v>194.7</v>
      </c>
      <c r="M222" s="140" t="n">
        <v>243</v>
      </c>
      <c r="N222" s="16" t="n">
        <f aca="false" ca="false" dt2D="false" dtr="false" t="normal">SUM(P222:T222)</f>
        <v>8726659.43</v>
      </c>
      <c r="O222" s="17" t="n"/>
      <c r="P222" s="17" t="n"/>
      <c r="Q222" s="17" t="n"/>
      <c r="R222" s="17" t="n">
        <v>2256212.41</v>
      </c>
      <c r="S222" s="17" t="n">
        <v>6470447.02</v>
      </c>
      <c r="T222" s="17" t="n"/>
      <c r="U222" s="17" t="n">
        <v>5709.58601666298</v>
      </c>
      <c r="V222" s="18" t="n">
        <v>1235.283020064</v>
      </c>
      <c r="W222" s="212" t="n">
        <v>2023</v>
      </c>
      <c r="X222" s="103" t="n">
        <v>3643194.21</v>
      </c>
      <c r="Y222" s="3" t="n">
        <f aca="false" ca="false" dt2D="false" dtr="false" t="normal">+(K222*10.5+L222*21)*12*0.85</f>
        <v>661760.19</v>
      </c>
      <c r="Z222" s="3" t="n">
        <f aca="false" ca="false" dt2D="false" dtr="false" t="normal">+(K222*10.5+L222*21)*12*30</f>
        <v>23356241.999999996</v>
      </c>
      <c r="AB222" s="158" t="n">
        <f aca="false" ca="true" dt2D="false" dtr="false" t="normal">SUBTOTAL(9, AC222:AQ222)</f>
        <v>8726659.43</v>
      </c>
      <c r="AC222" s="18" t="n"/>
      <c r="AD222" s="18" t="n">
        <v>0</v>
      </c>
      <c r="AE222" s="18" t="n">
        <v>0</v>
      </c>
      <c r="AF222" s="18" t="n"/>
      <c r="AG222" s="18" t="n">
        <v>0</v>
      </c>
      <c r="AH222" s="18" t="n"/>
      <c r="AJ222" s="18" t="n">
        <v>0</v>
      </c>
      <c r="AK222" s="18" t="n">
        <v>8726659.43</v>
      </c>
      <c r="AL222" s="18" t="n"/>
      <c r="AM222" s="18" t="n">
        <v>0</v>
      </c>
      <c r="AN222" s="18" t="n">
        <v>0</v>
      </c>
      <c r="AO222" s="18" t="n"/>
      <c r="AP222" s="18" t="n"/>
      <c r="AQ222" s="24" t="n"/>
      <c r="AR222" s="3" t="n">
        <f aca="false" ca="false" dt2D="false" dtr="false" t="normal">N222-AB222</f>
        <v>0</v>
      </c>
    </row>
    <row outlineLevel="0" r="223">
      <c r="A223" s="5" t="n">
        <f aca="false" ca="false" dt2D="false" dtr="false" t="normal">+A222+1</f>
        <v>205</v>
      </c>
      <c r="B223" s="159" t="n">
        <f aca="false" ca="false" dt2D="false" dtr="false" t="normal">+B222+1</f>
        <v>17</v>
      </c>
      <c r="C223" s="18" t="s">
        <v>104</v>
      </c>
      <c r="D223" s="17" t="s">
        <v>484</v>
      </c>
      <c r="E223" s="139" t="n">
        <v>1988</v>
      </c>
      <c r="F223" s="139" t="n">
        <v>2016</v>
      </c>
      <c r="G223" s="139" t="s">
        <v>4</v>
      </c>
      <c r="H223" s="139" t="n">
        <v>5</v>
      </c>
      <c r="I223" s="139" t="n">
        <v>4</v>
      </c>
      <c r="J223" s="17" t="n">
        <v>5772.8</v>
      </c>
      <c r="K223" s="18" t="n">
        <v>4849.63</v>
      </c>
      <c r="L223" s="18" t="n">
        <v>82.5</v>
      </c>
      <c r="M223" s="17" t="n">
        <v>180</v>
      </c>
      <c r="N223" s="16" t="n">
        <f aca="false" ca="false" dt2D="false" dtr="false" t="normal">SUM(P223:T223)</f>
        <v>25012527.400000002</v>
      </c>
      <c r="O223" s="18" t="n"/>
      <c r="P223" s="18" t="n">
        <v>5645681.85</v>
      </c>
      <c r="Q223" s="18" t="n"/>
      <c r="R223" s="18" t="n">
        <v>2069358.88</v>
      </c>
      <c r="S223" s="18" t="n">
        <v>16566112.4</v>
      </c>
      <c r="T223" s="18" t="n">
        <v>731374.270000004</v>
      </c>
      <c r="U223" s="18" t="n">
        <v>6311.26539243694</v>
      </c>
      <c r="V223" s="17" t="n">
        <v>6311.26539243694</v>
      </c>
      <c r="W223" s="212" t="n">
        <v>2023</v>
      </c>
      <c r="X223" s="1" t="n">
        <v>1557866.62</v>
      </c>
      <c r="Y223" s="3" t="n">
        <f aca="false" ca="false" dt2D="false" dtr="false" t="normal">+(K223*10+L223*20)*12*0.85</f>
        <v>511492.26000000007</v>
      </c>
      <c r="Z223" s="3" t="n">
        <f aca="false" ca="false" dt2D="false" dtr="false" t="normal">+(K223*10+L223*20)*12*30</f>
        <v>18052668.000000004</v>
      </c>
      <c r="AB223" s="23" t="n">
        <f aca="false" ca="true" dt2D="false" dtr="false" t="normal">SUBTOTAL(9, AC223:AQ223)</f>
        <v>25012527.400000002</v>
      </c>
      <c r="AC223" s="18" t="n">
        <v>5599179.59</v>
      </c>
      <c r="AD223" s="18" t="n">
        <v>4577737.76</v>
      </c>
      <c r="AE223" s="18" t="n">
        <v>0</v>
      </c>
      <c r="AF223" s="18" t="n">
        <v>0</v>
      </c>
      <c r="AG223" s="18" t="n">
        <v>0</v>
      </c>
      <c r="AH223" s="18" t="n"/>
      <c r="AI223" s="18" t="n"/>
      <c r="AJ223" s="18" t="n">
        <v>0</v>
      </c>
      <c r="AK223" s="18" t="n">
        <v>7920633.25</v>
      </c>
      <c r="AL223" s="18" t="n">
        <v>6914976.8</v>
      </c>
      <c r="AM223" s="18" t="n">
        <v>0</v>
      </c>
      <c r="AN223" s="18" t="n">
        <v>0</v>
      </c>
      <c r="AO223" s="18" t="n"/>
      <c r="AP223" s="18" t="n"/>
      <c r="AQ223" s="24" t="n"/>
      <c r="AR223" s="3" t="n">
        <f aca="false" ca="false" dt2D="false" dtr="false" t="normal">N223-AB223</f>
        <v>0</v>
      </c>
    </row>
    <row outlineLevel="0" r="224">
      <c r="A224" s="5" t="n">
        <f aca="false" ca="false" dt2D="false" dtr="false" t="normal">+A223+1</f>
        <v>206</v>
      </c>
      <c r="B224" s="159" t="n">
        <f aca="false" ca="false" dt2D="false" dtr="false" t="normal">+B223+1</f>
        <v>18</v>
      </c>
      <c r="C224" s="18" t="s">
        <v>104</v>
      </c>
      <c r="D224" s="17" t="s">
        <v>289</v>
      </c>
      <c r="E224" s="139" t="n">
        <v>1993</v>
      </c>
      <c r="F224" s="139" t="n">
        <v>1993</v>
      </c>
      <c r="G224" s="139" t="s">
        <v>4</v>
      </c>
      <c r="H224" s="139" t="n">
        <v>5</v>
      </c>
      <c r="I224" s="139" t="n">
        <v>3</v>
      </c>
      <c r="J224" s="17" t="n">
        <v>2627.7</v>
      </c>
      <c r="K224" s="18" t="n">
        <v>2328</v>
      </c>
      <c r="L224" s="18" t="n">
        <v>0</v>
      </c>
      <c r="M224" s="17" t="n">
        <v>101</v>
      </c>
      <c r="N224" s="16" t="n">
        <f aca="false" ca="false" dt2D="false" dtr="false" t="normal">SUM(P224:T224)</f>
        <v>4321774.35</v>
      </c>
      <c r="O224" s="18" t="n"/>
      <c r="P224" s="17" t="n">
        <v>1052139.85</v>
      </c>
      <c r="Q224" s="18" t="n"/>
      <c r="R224" s="18" t="n">
        <v>3269634.5</v>
      </c>
      <c r="S224" s="17" t="n"/>
      <c r="T224" s="18" t="n"/>
      <c r="U224" s="18" t="n">
        <v>2251.35944975759</v>
      </c>
      <c r="V224" s="17" t="n">
        <v>2251.35944975759</v>
      </c>
      <c r="W224" s="212" t="n">
        <v>2023</v>
      </c>
      <c r="X224" s="1" t="n">
        <v>1113195.26</v>
      </c>
      <c r="Y224" s="3" t="n">
        <f aca="false" ca="false" dt2D="false" dtr="false" t="normal">+(K224*10+L224*20)*12*0.85</f>
        <v>237456</v>
      </c>
      <c r="Z224" s="3" t="n">
        <f aca="false" ca="false" dt2D="false" dtr="false" t="normal">+(K224*10+L224*20)*12*30</f>
        <v>8380800</v>
      </c>
      <c r="AB224" s="23" t="n">
        <f aca="false" ca="true" dt2D="false" dtr="false" t="normal">SUBTOTAL(9, AC224:AQ224)</f>
        <v>4321774.35</v>
      </c>
      <c r="AC224" s="18" t="n">
        <v>0</v>
      </c>
      <c r="AD224" s="18" t="n">
        <v>0</v>
      </c>
      <c r="AE224" s="18" t="n"/>
      <c r="AF224" s="18" t="n">
        <v>0</v>
      </c>
      <c r="AG224" s="18" t="n">
        <v>0</v>
      </c>
      <c r="AH224" s="18" t="n"/>
      <c r="AI224" s="18" t="n"/>
      <c r="AJ224" s="18" t="n">
        <v>0</v>
      </c>
      <c r="AK224" s="18" t="n">
        <v>0</v>
      </c>
      <c r="AL224" s="18" t="n">
        <v>4285501.51</v>
      </c>
      <c r="AM224" s="18" t="n">
        <v>0</v>
      </c>
      <c r="AN224" s="18" t="n">
        <v>0</v>
      </c>
      <c r="AO224" s="18" t="n"/>
      <c r="AP224" s="18" t="n"/>
      <c r="AQ224" s="156" t="n">
        <v>36272.84</v>
      </c>
      <c r="AR224" s="3" t="n">
        <f aca="false" ca="false" dt2D="false" dtr="false" t="normal">N224-AB224</f>
        <v>0</v>
      </c>
    </row>
    <row outlineLevel="0" r="225">
      <c r="A225" s="5" t="n">
        <f aca="false" ca="false" dt2D="false" dtr="false" t="normal">+A224+1</f>
        <v>207</v>
      </c>
      <c r="B225" s="159" t="n">
        <f aca="false" ca="false" dt2D="false" dtr="false" t="normal">+B224+1</f>
        <v>19</v>
      </c>
      <c r="C225" s="18" t="s">
        <v>104</v>
      </c>
      <c r="D225" s="17" t="s">
        <v>291</v>
      </c>
      <c r="E225" s="139" t="n">
        <v>1987</v>
      </c>
      <c r="F225" s="139" t="n">
        <v>2013</v>
      </c>
      <c r="G225" s="139" t="s">
        <v>4</v>
      </c>
      <c r="H225" s="139" t="n">
        <v>5</v>
      </c>
      <c r="I225" s="139" t="n">
        <v>6</v>
      </c>
      <c r="J225" s="17" t="n">
        <v>5156.5</v>
      </c>
      <c r="K225" s="18" t="n">
        <v>4643.15</v>
      </c>
      <c r="L225" s="18" t="n">
        <v>0</v>
      </c>
      <c r="M225" s="17" t="n">
        <v>198</v>
      </c>
      <c r="N225" s="16" t="n">
        <f aca="false" ca="false" dt2D="false" dtr="false" t="normal">SUM(P225:T225)</f>
        <v>9852311.08</v>
      </c>
      <c r="O225" s="18" t="n"/>
      <c r="P225" s="17" t="n"/>
      <c r="Q225" s="18" t="n"/>
      <c r="R225" s="18" t="n"/>
      <c r="S225" s="17" t="n">
        <v>9852311.08</v>
      </c>
      <c r="T225" s="18" t="n"/>
      <c r="U225" s="18" t="n">
        <v>3983.96744218353</v>
      </c>
      <c r="V225" s="17" t="n">
        <v>3983.96744218353</v>
      </c>
      <c r="W225" s="212" t="n">
        <v>2023</v>
      </c>
      <c r="X225" s="1" t="n">
        <v>2116377.04</v>
      </c>
      <c r="Y225" s="3" t="n">
        <f aca="false" ca="false" dt2D="false" dtr="false" t="normal">+(K225*10+L225*20)*12*0.85</f>
        <v>473601.3</v>
      </c>
      <c r="Z225" s="3" t="n">
        <f aca="false" ca="false" dt2D="false" dtr="false" t="normal">+(K225*10+L225*20)*12*30</f>
        <v>16715340</v>
      </c>
      <c r="AB225" s="23" t="n">
        <f aca="false" ca="true" dt2D="false" dtr="false" t="normal">SUBTOTAL(9, AC225:AQ225)</f>
        <v>9852311.08</v>
      </c>
      <c r="AC225" s="18" t="n">
        <v>6213317.02</v>
      </c>
      <c r="AD225" s="18" t="n">
        <v>0</v>
      </c>
      <c r="AE225" s="18" t="n"/>
      <c r="AF225" s="18" t="n">
        <v>3638994.06</v>
      </c>
      <c r="AG225" s="18" t="n">
        <v>0</v>
      </c>
      <c r="AH225" s="18" t="n"/>
      <c r="AI225" s="18" t="n"/>
      <c r="AJ225" s="18" t="n">
        <v>0</v>
      </c>
      <c r="AK225" s="18" t="n">
        <v>0</v>
      </c>
      <c r="AL225" s="18" t="n">
        <v>0</v>
      </c>
      <c r="AM225" s="18" t="n">
        <v>0</v>
      </c>
      <c r="AN225" s="18" t="n">
        <v>0</v>
      </c>
      <c r="AO225" s="18" t="n"/>
      <c r="AP225" s="18" t="n"/>
      <c r="AQ225" s="24" t="n"/>
      <c r="AR225" s="3" t="n">
        <f aca="false" ca="false" dt2D="false" dtr="false" t="normal">N225-AB225</f>
        <v>0</v>
      </c>
    </row>
    <row outlineLevel="0" r="226">
      <c r="A226" s="5" t="n">
        <f aca="false" ca="false" dt2D="false" dtr="false" t="normal">+A225+1</f>
        <v>208</v>
      </c>
      <c r="B226" s="159" t="n">
        <f aca="false" ca="false" dt2D="false" dtr="false" t="normal">+B225+1</f>
        <v>20</v>
      </c>
      <c r="C226" s="138" t="s">
        <v>104</v>
      </c>
      <c r="D226" s="138" t="s">
        <v>296</v>
      </c>
      <c r="E226" s="139" t="n">
        <v>1987</v>
      </c>
      <c r="F226" s="139" t="n">
        <v>2008</v>
      </c>
      <c r="G226" s="139" t="s">
        <v>4</v>
      </c>
      <c r="H226" s="139" t="n">
        <v>5</v>
      </c>
      <c r="I226" s="139" t="n">
        <v>6</v>
      </c>
      <c r="J226" s="17" t="n">
        <v>5142.4</v>
      </c>
      <c r="K226" s="17" t="n">
        <v>4585</v>
      </c>
      <c r="L226" s="17" t="n">
        <v>0</v>
      </c>
      <c r="M226" s="140" t="n">
        <v>184</v>
      </c>
      <c r="N226" s="16" t="n">
        <f aca="false" ca="false" dt2D="false" dtr="false" t="normal">SUM(P226:T226)</f>
        <v>9748997.290000001</v>
      </c>
      <c r="O226" s="17" t="n"/>
      <c r="P226" s="18" t="n"/>
      <c r="Q226" s="18" t="n"/>
      <c r="R226" s="18" t="n">
        <v>1178120.58</v>
      </c>
      <c r="S226" s="18" t="n">
        <v>8570876.71</v>
      </c>
      <c r="T226" s="18" t="n"/>
      <c r="U226" s="17" t="n">
        <v>3099.16698244551</v>
      </c>
      <c r="V226" s="17" t="n">
        <v>3099.16698244551</v>
      </c>
      <c r="W226" s="212" t="n">
        <v>2023</v>
      </c>
      <c r="X226" s="1" t="n">
        <v>2190820.19</v>
      </c>
      <c r="Y226" s="3" t="n">
        <f aca="false" ca="false" dt2D="false" dtr="false" t="normal">+(K226*10+L226*20)*12*0.85</f>
        <v>467670</v>
      </c>
      <c r="Z226" s="3" t="n">
        <f aca="false" ca="false" dt2D="false" dtr="false" t="normal">+(K226*10+L226*20)*12*30</f>
        <v>16506000</v>
      </c>
      <c r="AB226" s="23" t="n">
        <f aca="false" ca="true" dt2D="false" dtr="false" t="normal">SUBTOTAL(9, AC226:AQ226)</f>
        <v>9748997.29</v>
      </c>
      <c r="AC226" s="18" t="n">
        <v>6214077.55</v>
      </c>
      <c r="AD226" s="18" t="n">
        <v>0</v>
      </c>
      <c r="AE226" s="18" t="n"/>
      <c r="AF226" s="18" t="n">
        <v>3534919.74</v>
      </c>
      <c r="AG226" s="18" t="n">
        <v>0</v>
      </c>
      <c r="AH226" s="18" t="n"/>
      <c r="AI226" s="18" t="n"/>
      <c r="AJ226" s="18" t="n">
        <v>0</v>
      </c>
      <c r="AK226" s="18" t="n">
        <v>0</v>
      </c>
      <c r="AL226" s="18" t="n">
        <v>0</v>
      </c>
      <c r="AM226" s="18" t="n">
        <v>0</v>
      </c>
      <c r="AN226" s="18" t="n">
        <v>0</v>
      </c>
      <c r="AO226" s="18" t="n"/>
      <c r="AP226" s="18" t="n"/>
      <c r="AQ226" s="24" t="n"/>
      <c r="AR226" s="3" t="n">
        <f aca="false" ca="false" dt2D="false" dtr="false" t="normal">N226-AB226</f>
        <v>0</v>
      </c>
    </row>
    <row outlineLevel="0" r="227">
      <c r="A227" s="5" t="n">
        <f aca="false" ca="false" dt2D="false" dtr="false" t="normal">+A226+1</f>
        <v>209</v>
      </c>
      <c r="B227" s="159" t="n">
        <f aca="false" ca="false" dt2D="false" dtr="false" t="normal">+B226+1</f>
        <v>21</v>
      </c>
      <c r="C227" s="138" t="s">
        <v>104</v>
      </c>
      <c r="D227" s="138" t="s">
        <v>298</v>
      </c>
      <c r="E227" s="139" t="n">
        <v>1988</v>
      </c>
      <c r="F227" s="139" t="n">
        <v>2008</v>
      </c>
      <c r="G227" s="139" t="s">
        <v>4</v>
      </c>
      <c r="H227" s="139" t="n">
        <v>5</v>
      </c>
      <c r="I227" s="139" t="n">
        <v>6</v>
      </c>
      <c r="J227" s="17" t="n">
        <v>5139.5</v>
      </c>
      <c r="K227" s="17" t="n">
        <v>4552.6</v>
      </c>
      <c r="L227" s="17" t="n">
        <v>68.4</v>
      </c>
      <c r="M227" s="140" t="n">
        <v>203</v>
      </c>
      <c r="N227" s="16" t="n">
        <f aca="false" ca="false" dt2D="false" dtr="false" t="normal">SUM(P227:T227)</f>
        <v>9742557.66</v>
      </c>
      <c r="O227" s="17" t="n"/>
      <c r="P227" s="18" t="n"/>
      <c r="Q227" s="18" t="n"/>
      <c r="R227" s="18" t="n">
        <v>1364569.88490378</v>
      </c>
      <c r="S227" s="18" t="n">
        <v>8377987.77509622</v>
      </c>
      <c r="T227" s="18" t="n"/>
      <c r="U227" s="17" t="n">
        <v>3233.45835577994</v>
      </c>
      <c r="V227" s="17" t="n">
        <v>3233.45835577994</v>
      </c>
      <c r="W227" s="212" t="n">
        <v>2023</v>
      </c>
      <c r="X227" s="1" t="n">
        <v>2180464.78</v>
      </c>
      <c r="Y227" s="3" t="n">
        <f aca="false" ca="false" dt2D="false" dtr="false" t="normal">+(K227*10+L227*20)*12*0.85</f>
        <v>478318.8</v>
      </c>
      <c r="Z227" s="3" t="n">
        <f aca="false" ca="false" dt2D="false" dtr="false" t="normal">+(K227*10+L227*20)*12*30</f>
        <v>16881840</v>
      </c>
      <c r="AB227" s="23" t="n">
        <f aca="false" ca="true" dt2D="false" dtr="false" t="normal">SUBTOTAL(9, AC227:AQ227)</f>
        <v>9742557.66</v>
      </c>
      <c r="AC227" s="18" t="n">
        <v>6221126</v>
      </c>
      <c r="AD227" s="18" t="n">
        <v>0</v>
      </c>
      <c r="AE227" s="18" t="n"/>
      <c r="AF227" s="18" t="n">
        <v>3521431.66</v>
      </c>
      <c r="AG227" s="18" t="n">
        <v>0</v>
      </c>
      <c r="AH227" s="18" t="n"/>
      <c r="AI227" s="18" t="n"/>
      <c r="AJ227" s="18" t="n">
        <v>0</v>
      </c>
      <c r="AK227" s="18" t="n">
        <v>0</v>
      </c>
      <c r="AL227" s="18" t="n">
        <v>0</v>
      </c>
      <c r="AM227" s="18" t="n">
        <v>0</v>
      </c>
      <c r="AN227" s="18" t="n">
        <v>0</v>
      </c>
      <c r="AO227" s="18" t="n"/>
      <c r="AP227" s="18" t="n"/>
      <c r="AQ227" s="24" t="n"/>
      <c r="AR227" s="3" t="n">
        <f aca="false" ca="false" dt2D="false" dtr="false" t="normal">N227-AB227</f>
        <v>0</v>
      </c>
    </row>
    <row outlineLevel="0" r="228">
      <c r="A228" s="5" t="n">
        <f aca="false" ca="false" dt2D="false" dtr="false" t="normal">+A227+1</f>
        <v>210</v>
      </c>
      <c r="B228" s="159" t="n">
        <f aca="false" ca="false" dt2D="false" dtr="false" t="normal">+B227+1</f>
        <v>22</v>
      </c>
      <c r="C228" s="138" t="s">
        <v>104</v>
      </c>
      <c r="D228" s="138" t="s">
        <v>489</v>
      </c>
      <c r="E228" s="139" t="n">
        <v>1991</v>
      </c>
      <c r="F228" s="139" t="n">
        <v>2017</v>
      </c>
      <c r="G228" s="139" t="s">
        <v>4</v>
      </c>
      <c r="H228" s="139" t="n">
        <v>9</v>
      </c>
      <c r="I228" s="139" t="n">
        <v>1</v>
      </c>
      <c r="J228" s="17" t="n">
        <v>3222.4</v>
      </c>
      <c r="K228" s="17" t="n">
        <v>2756.2</v>
      </c>
      <c r="L228" s="17" t="n">
        <v>0</v>
      </c>
      <c r="M228" s="140" t="n">
        <v>108</v>
      </c>
      <c r="N228" s="16" t="n">
        <f aca="false" ca="false" dt2D="false" dtr="false" t="normal">SUM(P228:T228)</f>
        <v>9994822.19</v>
      </c>
      <c r="O228" s="17" t="n"/>
      <c r="P228" s="18" t="n"/>
      <c r="Q228" s="18" t="n"/>
      <c r="R228" s="18" t="n">
        <v>2573584.508</v>
      </c>
      <c r="S228" s="18" t="n">
        <v>7421237.682</v>
      </c>
      <c r="T228" s="18" t="n"/>
      <c r="U228" s="18" t="n">
        <v>7166.95257322243</v>
      </c>
      <c r="V228" s="18" t="n">
        <v>1239.283020064</v>
      </c>
      <c r="W228" s="212" t="n">
        <v>2023</v>
      </c>
      <c r="X228" s="103" t="n">
        <v>2181404.81</v>
      </c>
      <c r="Y228" s="3" t="n">
        <f aca="false" ca="false" dt2D="false" dtr="false" t="normal">+(K228*13.95+L228*23.65)*12*0.85</f>
        <v>392179.698</v>
      </c>
      <c r="Z228" s="3" t="n">
        <f aca="false" ca="false" dt2D="false" dtr="false" t="normal">+(K228*13.95+L228*23.65)*12*30</f>
        <v>13841636.4</v>
      </c>
      <c r="AB228" s="158" t="n">
        <f aca="false" ca="true" dt2D="false" dtr="false" t="normal">SUBTOTAL(9, AC228:AQ228)</f>
        <v>9994822.190000001</v>
      </c>
      <c r="AC228" s="18" t="n">
        <v>0</v>
      </c>
      <c r="AD228" s="18" t="n">
        <v>0</v>
      </c>
      <c r="AE228" s="18" t="n">
        <v>0</v>
      </c>
      <c r="AF228" s="18" t="n">
        <v>0</v>
      </c>
      <c r="AG228" s="18" t="n">
        <v>0</v>
      </c>
      <c r="AH228" s="18" t="n"/>
      <c r="AI228" s="18" t="n"/>
      <c r="AJ228" s="18" t="n">
        <v>0</v>
      </c>
      <c r="AK228" s="18" t="n">
        <v>0</v>
      </c>
      <c r="AL228" s="18" t="n">
        <v>0</v>
      </c>
      <c r="AM228" s="18" t="n">
        <v>9867857.14</v>
      </c>
      <c r="AN228" s="18" t="n">
        <v>0</v>
      </c>
      <c r="AO228" s="18" t="n">
        <v>102965.05</v>
      </c>
      <c r="AP228" s="18" t="n">
        <v>24000</v>
      </c>
      <c r="AQ228" s="24" t="n"/>
      <c r="AR228" s="3" t="n">
        <f aca="false" ca="false" dt2D="false" dtr="false" t="normal">N228-AB228</f>
        <v>0</v>
      </c>
    </row>
    <row outlineLevel="0" r="229">
      <c r="A229" s="5" t="n">
        <f aca="false" ca="false" dt2D="false" dtr="false" t="normal">+A228+1</f>
        <v>211</v>
      </c>
      <c r="B229" s="159" t="n">
        <f aca="false" ca="false" dt2D="false" dtr="false" t="normal">+B228+1</f>
        <v>23</v>
      </c>
      <c r="C229" s="138" t="s">
        <v>104</v>
      </c>
      <c r="D229" s="138" t="s">
        <v>491</v>
      </c>
      <c r="E229" s="139" t="n">
        <v>1991</v>
      </c>
      <c r="F229" s="139" t="n">
        <v>2017</v>
      </c>
      <c r="G229" s="139" t="s">
        <v>4</v>
      </c>
      <c r="H229" s="139" t="n">
        <v>9</v>
      </c>
      <c r="I229" s="139" t="n">
        <v>1</v>
      </c>
      <c r="J229" s="17" t="n">
        <v>3271</v>
      </c>
      <c r="K229" s="17" t="n">
        <v>2814.6</v>
      </c>
      <c r="L229" s="17" t="n">
        <v>0</v>
      </c>
      <c r="M229" s="140" t="n">
        <v>93</v>
      </c>
      <c r="N229" s="16" t="n">
        <f aca="false" ca="false" dt2D="false" dtr="false" t="normal">SUM(P229:T229)</f>
        <v>4013909.7699999996</v>
      </c>
      <c r="O229" s="17" t="n"/>
      <c r="P229" s="18" t="n"/>
      <c r="Q229" s="18" t="n"/>
      <c r="R229" s="18" t="n">
        <v>1171805.394189</v>
      </c>
      <c r="S229" s="18" t="n">
        <v>2842104.375811</v>
      </c>
      <c r="T229" s="18" t="n"/>
      <c r="U229" s="18" t="n">
        <v>3490.9418391756</v>
      </c>
      <c r="V229" s="18" t="n">
        <v>1243.283020064</v>
      </c>
      <c r="W229" s="212" t="n">
        <v>2023</v>
      </c>
      <c r="X229" s="103" t="n">
        <v>2237132.42</v>
      </c>
      <c r="Y229" s="3" t="n">
        <f aca="false" ca="false" dt2D="false" dtr="false" t="normal">+(K229*13.95+L229*23.65)*12*0.85</f>
        <v>400489.43399999995</v>
      </c>
      <c r="Z229" s="3" t="n">
        <f aca="false" ca="false" dt2D="false" dtr="false" t="normal">+(K229*13.95+L229*23.65)*12*30</f>
        <v>14134921.2</v>
      </c>
      <c r="AB229" s="158" t="n">
        <f aca="false" ca="true" dt2D="false" dtr="false" t="normal">SUBTOTAL(9, AC229:AQ229)</f>
        <v>4013909.7700000005</v>
      </c>
      <c r="AC229" s="18" t="n"/>
      <c r="AD229" s="18" t="n">
        <v>2639754.41</v>
      </c>
      <c r="AE229" s="18" t="n">
        <v>0</v>
      </c>
      <c r="AF229" s="18" t="n">
        <v>1374155.36</v>
      </c>
      <c r="AG229" s="18" t="n">
        <v>0</v>
      </c>
      <c r="AH229" s="18" t="n"/>
      <c r="AI229" s="18" t="n"/>
      <c r="AJ229" s="18" t="n">
        <v>0</v>
      </c>
      <c r="AK229" s="18" t="n">
        <v>0</v>
      </c>
      <c r="AL229" s="18" t="n">
        <v>0</v>
      </c>
      <c r="AM229" s="18" t="n">
        <v>0</v>
      </c>
      <c r="AN229" s="18" t="n">
        <v>0</v>
      </c>
      <c r="AO229" s="18" t="n"/>
      <c r="AP229" s="18" t="n"/>
      <c r="AQ229" s="24" t="n"/>
      <c r="AR229" s="3" t="n">
        <f aca="false" ca="false" dt2D="false" dtr="false" t="normal">N229-AB229</f>
        <v>0</v>
      </c>
    </row>
    <row outlineLevel="0" r="230">
      <c r="A230" s="5" t="n">
        <f aca="false" ca="false" dt2D="false" dtr="false" t="normal">+A229+1</f>
        <v>212</v>
      </c>
      <c r="B230" s="159" t="n">
        <f aca="false" ca="false" dt2D="false" dtr="false" t="normal">+B229+1</f>
        <v>24</v>
      </c>
      <c r="C230" s="138" t="s">
        <v>104</v>
      </c>
      <c r="D230" s="138" t="s">
        <v>308</v>
      </c>
      <c r="E230" s="139" t="n">
        <v>1991</v>
      </c>
      <c r="F230" s="139" t="n">
        <v>2009</v>
      </c>
      <c r="G230" s="139" t="s">
        <v>4</v>
      </c>
      <c r="H230" s="139" t="n">
        <v>5</v>
      </c>
      <c r="I230" s="139" t="n">
        <v>2</v>
      </c>
      <c r="J230" s="17" t="n">
        <v>3315.2</v>
      </c>
      <c r="K230" s="17" t="n">
        <v>2614.7</v>
      </c>
      <c r="L230" s="17" t="n">
        <v>667.8</v>
      </c>
      <c r="M230" s="140" t="n">
        <v>88</v>
      </c>
      <c r="N230" s="16" t="n">
        <f aca="false" ca="false" dt2D="false" dtr="false" t="normal">SUM(P230:T230)</f>
        <v>1850706.3800000001</v>
      </c>
      <c r="O230" s="17" t="n"/>
      <c r="P230" s="18" t="n"/>
      <c r="Q230" s="18" t="n"/>
      <c r="R230" s="18" t="n">
        <v>740039.9934</v>
      </c>
      <c r="S230" s="18" t="n">
        <v>1110666.3866</v>
      </c>
      <c r="T230" s="151" t="n"/>
      <c r="U230" s="18" t="n">
        <v>1032.78654360319</v>
      </c>
      <c r="V230" s="18" t="n">
        <v>1032.78654360319</v>
      </c>
      <c r="W230" s="212" t="n">
        <v>2023</v>
      </c>
      <c r="X230" s="1" t="n">
        <v>1371575.02</v>
      </c>
      <c r="Y230" s="3" t="n">
        <f aca="false" ca="false" dt2D="false" dtr="false" t="normal">+(K230*10+L230*20)*12*0.85</f>
        <v>402930.6</v>
      </c>
      <c r="Z230" s="3" t="n">
        <f aca="false" ca="false" dt2D="false" dtr="false" t="normal">+(K230*10+L230*20)*12*30</f>
        <v>14221080</v>
      </c>
      <c r="AB230" s="23" t="n">
        <f aca="false" ca="true" dt2D="false" dtr="false" t="normal">SUBTOTAL(9, AC230:AQ230)</f>
        <v>1850706.38</v>
      </c>
      <c r="AC230" s="18" t="n">
        <v>0</v>
      </c>
      <c r="AD230" s="18" t="n">
        <v>0</v>
      </c>
      <c r="AE230" s="18" t="n"/>
      <c r="AF230" s="18" t="n">
        <v>1740087.49</v>
      </c>
      <c r="AG230" s="18" t="n">
        <v>0</v>
      </c>
      <c r="AH230" s="18" t="n"/>
      <c r="AI230" s="18" t="n"/>
      <c r="AJ230" s="18" t="n">
        <v>0</v>
      </c>
      <c r="AK230" s="18" t="n">
        <v>0</v>
      </c>
      <c r="AL230" s="18" t="n">
        <v>0</v>
      </c>
      <c r="AM230" s="18" t="n">
        <v>0</v>
      </c>
      <c r="AN230" s="18" t="n">
        <v>0</v>
      </c>
      <c r="AO230" s="18" t="n">
        <v>93622.89</v>
      </c>
      <c r="AP230" s="18" t="n">
        <v>16996</v>
      </c>
      <c r="AQ230" s="24" t="n"/>
      <c r="AR230" s="3" t="n">
        <f aca="false" ca="false" dt2D="false" dtr="false" t="normal">N230-AB230</f>
        <v>0</v>
      </c>
    </row>
    <row outlineLevel="0" r="231">
      <c r="A231" s="5" t="n">
        <f aca="false" ca="false" dt2D="false" dtr="false" t="normal">+A230+1</f>
        <v>213</v>
      </c>
      <c r="B231" s="159" t="n">
        <f aca="false" ca="false" dt2D="false" dtr="false" t="normal">+B230+1</f>
        <v>25</v>
      </c>
      <c r="C231" s="6" t="s">
        <v>177</v>
      </c>
      <c r="D231" s="6" t="s">
        <v>493</v>
      </c>
      <c r="E231" s="139" t="n">
        <v>1991</v>
      </c>
      <c r="F231" s="139" t="n">
        <v>2016</v>
      </c>
      <c r="G231" s="139" t="s">
        <v>4</v>
      </c>
      <c r="H231" s="139" t="n">
        <v>5</v>
      </c>
      <c r="I231" s="139" t="n">
        <v>4</v>
      </c>
      <c r="J231" s="17" t="n">
        <v>4887.3</v>
      </c>
      <c r="K231" s="17" t="n">
        <v>4825.5</v>
      </c>
      <c r="L231" s="17" t="n">
        <v>0</v>
      </c>
      <c r="M231" s="140" t="n">
        <v>240</v>
      </c>
      <c r="N231" s="16" t="n">
        <f aca="false" ca="false" dt2D="false" dtr="false" t="normal">SUM(P231:T231)</f>
        <v>4776548.88</v>
      </c>
      <c r="O231" s="18" t="n"/>
      <c r="P231" s="18" t="n">
        <v>2042724.8</v>
      </c>
      <c r="Q231" s="18" t="n"/>
      <c r="R231" s="18" t="n">
        <v>2337821.67</v>
      </c>
      <c r="S231" s="18" t="n">
        <v>396002.41</v>
      </c>
      <c r="T231" s="18" t="n"/>
      <c r="U231" s="17" t="n">
        <v>942.383525261216</v>
      </c>
      <c r="V231" s="17" t="n">
        <v>942.383525261216</v>
      </c>
      <c r="W231" s="212" t="n">
        <v>2023</v>
      </c>
      <c r="X231" s="1" t="n">
        <v>1845620.67</v>
      </c>
      <c r="Y231" s="3" t="n">
        <f aca="false" ca="false" dt2D="false" dtr="false" t="normal">+(K231*10+L231*20)*12*0.85</f>
        <v>492201</v>
      </c>
      <c r="Z231" s="3" t="n">
        <f aca="false" ca="false" dt2D="false" dtr="false" t="normal">+(K231*10+L231*20)*12*30</f>
        <v>17371800</v>
      </c>
      <c r="AB231" s="23" t="n">
        <f aca="false" ca="true" dt2D="false" dtr="false" t="normal">SUBTOTAL(9, AC231:AQ231)</f>
        <v>4776548.88</v>
      </c>
      <c r="AC231" s="18" t="n">
        <v>0</v>
      </c>
      <c r="AD231" s="18" t="n">
        <v>0</v>
      </c>
      <c r="AE231" s="18" t="n">
        <v>0</v>
      </c>
      <c r="AF231" s="18" t="n">
        <v>0</v>
      </c>
      <c r="AG231" s="18" t="n">
        <v>0</v>
      </c>
      <c r="AH231" s="18" t="n"/>
      <c r="AI231" s="18" t="n"/>
      <c r="AJ231" s="18" t="n">
        <v>0</v>
      </c>
      <c r="AK231" s="18" t="n">
        <v>4650900</v>
      </c>
      <c r="AL231" s="18" t="n">
        <v>0</v>
      </c>
      <c r="AM231" s="18" t="n">
        <v>0</v>
      </c>
      <c r="AN231" s="18" t="n">
        <v>0</v>
      </c>
      <c r="AO231" s="18" t="n">
        <v>101648.88</v>
      </c>
      <c r="AP231" s="18" t="n">
        <v>24000</v>
      </c>
      <c r="AQ231" s="24" t="n"/>
      <c r="AR231" s="3" t="n">
        <f aca="false" ca="false" dt2D="false" dtr="false" t="normal">N231-AB231</f>
        <v>0</v>
      </c>
    </row>
    <row outlineLevel="0" r="232">
      <c r="A232" s="5" t="n">
        <f aca="false" ca="false" dt2D="false" dtr="false" t="normal">+A231+1</f>
        <v>214</v>
      </c>
      <c r="B232" s="159" t="n">
        <f aca="false" ca="false" dt2D="false" dtr="false" t="normal">+B231+1</f>
        <v>26</v>
      </c>
      <c r="C232" s="6" t="s">
        <v>177</v>
      </c>
      <c r="D232" s="6" t="s">
        <v>182</v>
      </c>
      <c r="E232" s="139" t="n">
        <v>1999</v>
      </c>
      <c r="F232" s="139" t="n">
        <v>2011</v>
      </c>
      <c r="G232" s="139" t="s">
        <v>4</v>
      </c>
      <c r="H232" s="139" t="n">
        <v>4</v>
      </c>
      <c r="I232" s="139" t="n">
        <v>3</v>
      </c>
      <c r="J232" s="17" t="n">
        <v>1789.4</v>
      </c>
      <c r="K232" s="17" t="n">
        <v>1789.4</v>
      </c>
      <c r="L232" s="17" t="n">
        <v>0</v>
      </c>
      <c r="M232" s="140" t="n">
        <v>56</v>
      </c>
      <c r="N232" s="16" t="n">
        <f aca="false" ca="false" dt2D="false" dtr="false" t="normal">SUM(P232:T232)</f>
        <v>1346807.24</v>
      </c>
      <c r="O232" s="18" t="n"/>
      <c r="P232" s="18" t="n">
        <v>1138231.98</v>
      </c>
      <c r="Q232" s="18" t="n"/>
      <c r="R232" s="18" t="n">
        <v>208575.26</v>
      </c>
      <c r="S232" s="18" t="n"/>
      <c r="T232" s="18" t="n"/>
      <c r="U232" s="17" t="n">
        <v>885.429982116911</v>
      </c>
      <c r="V232" s="17" t="n">
        <v>885.429982116911</v>
      </c>
      <c r="W232" s="212" t="n">
        <v>2023</v>
      </c>
      <c r="X232" s="12" t="n">
        <f aca="false" ca="false" dt2D="false" dtr="false" t="normal">725047.53-R56</f>
        <v>-164367.46999999997</v>
      </c>
      <c r="Y232" s="3" t="n">
        <f aca="false" ca="false" dt2D="false" dtr="false" t="normal">+(K232*10+L232*20)*12*0.85</f>
        <v>182518.8</v>
      </c>
      <c r="Z232" s="3" t="n">
        <f aca="false" ca="false" dt2D="false" dtr="false" t="normal">+(K232*10+L232*20)*12*30-S56</f>
        <v>0</v>
      </c>
      <c r="AB232" s="23" t="n">
        <f aca="false" ca="true" dt2D="false" dtr="false" t="normal">SUBTOTAL(9, AC232:AQ232)</f>
        <v>1346807.24</v>
      </c>
      <c r="AC232" s="18" t="n"/>
      <c r="AD232" s="18" t="n">
        <v>0</v>
      </c>
      <c r="AE232" s="18" t="n"/>
      <c r="AF232" s="18" t="n">
        <v>1320750.78</v>
      </c>
      <c r="AG232" s="18" t="n">
        <v>0</v>
      </c>
      <c r="AH232" s="18" t="n"/>
      <c r="AI232" s="18" t="n"/>
      <c r="AJ232" s="18" t="n">
        <v>0</v>
      </c>
      <c r="AK232" s="18" t="n"/>
      <c r="AL232" s="18" t="n">
        <v>0</v>
      </c>
      <c r="AM232" s="18" t="n">
        <v>0</v>
      </c>
      <c r="AN232" s="18" t="n">
        <v>0</v>
      </c>
      <c r="AO232" s="18" t="n">
        <v>20056.46</v>
      </c>
      <c r="AP232" s="18" t="n">
        <v>6000</v>
      </c>
      <c r="AQ232" s="24" t="n"/>
      <c r="AR232" s="3" t="n">
        <f aca="false" ca="false" dt2D="false" dtr="false" t="normal">N232-AB232</f>
        <v>0</v>
      </c>
    </row>
    <row outlineLevel="0" r="233">
      <c r="A233" s="5" t="n">
        <f aca="false" ca="false" dt2D="false" dtr="false" t="normal">+A232+1</f>
        <v>215</v>
      </c>
      <c r="B233" s="159" t="n">
        <f aca="false" ca="false" dt2D="false" dtr="false" t="normal">+B232+1</f>
        <v>27</v>
      </c>
      <c r="C233" s="6" t="s">
        <v>177</v>
      </c>
      <c r="D233" s="6" t="s">
        <v>496</v>
      </c>
      <c r="E233" s="139" t="n">
        <v>1996</v>
      </c>
      <c r="F233" s="139" t="n">
        <v>2013</v>
      </c>
      <c r="G233" s="139" t="s">
        <v>4</v>
      </c>
      <c r="H233" s="139" t="n">
        <v>2</v>
      </c>
      <c r="I233" s="139" t="n">
        <v>2</v>
      </c>
      <c r="J233" s="17" t="n">
        <v>1125</v>
      </c>
      <c r="K233" s="17" t="n">
        <v>1125</v>
      </c>
      <c r="L233" s="17" t="n">
        <v>0</v>
      </c>
      <c r="M233" s="140" t="n">
        <v>54</v>
      </c>
      <c r="N233" s="16" t="n">
        <f aca="false" ca="false" dt2D="false" dtr="false" t="normal">SUM(P233:T233)</f>
        <v>3711829.5</v>
      </c>
      <c r="O233" s="18" t="n"/>
      <c r="P233" s="18" t="n">
        <v>404783.008446</v>
      </c>
      <c r="Q233" s="18" t="n"/>
      <c r="R233" s="18" t="n">
        <v>760259.35</v>
      </c>
      <c r="S233" s="18" t="n">
        <v>2546787.141554</v>
      </c>
      <c r="T233" s="18" t="n"/>
      <c r="U233" s="18" t="n">
        <v>3373.62656750756</v>
      </c>
      <c r="V233" s="18" t="n">
        <v>1250.283020064</v>
      </c>
      <c r="W233" s="212" t="n">
        <v>2023</v>
      </c>
      <c r="X233" s="103" t="n">
        <v>639771.85</v>
      </c>
      <c r="Y233" s="3" t="n">
        <f aca="false" ca="false" dt2D="false" dtr="false" t="normal">+(K233*10.5+L233*21)*12*0.85</f>
        <v>120487.5</v>
      </c>
      <c r="Z233" s="3" t="n">
        <f aca="false" ca="false" dt2D="false" dtr="false" t="normal">+(K233*10.5+L233*21)*12*30</f>
        <v>4252500</v>
      </c>
      <c r="AB233" s="158" t="n">
        <f aca="false" ca="true" dt2D="false" dtr="false" t="normal">SUBTOTAL(9, AC233:AQ233)</f>
        <v>3711829.5</v>
      </c>
      <c r="AC233" s="18" t="n">
        <v>0</v>
      </c>
      <c r="AD233" s="18" t="n">
        <v>0</v>
      </c>
      <c r="AE233" s="18" t="n">
        <v>0</v>
      </c>
      <c r="AF233" s="18" t="n">
        <v>0</v>
      </c>
      <c r="AG233" s="18" t="n">
        <v>0</v>
      </c>
      <c r="AH233" s="18" t="n"/>
      <c r="AI233" s="18" t="n"/>
      <c r="AJ233" s="18" t="n">
        <v>0</v>
      </c>
      <c r="AK233" s="18" t="n">
        <v>3602673.51</v>
      </c>
      <c r="AL233" s="18" t="n">
        <v>0</v>
      </c>
      <c r="AM233" s="18" t="n">
        <v>0</v>
      </c>
      <c r="AN233" s="18" t="n">
        <v>0</v>
      </c>
      <c r="AO233" s="18" t="n">
        <v>85155.99</v>
      </c>
      <c r="AP233" s="18" t="n">
        <v>24000</v>
      </c>
      <c r="AQ233" s="24" t="n"/>
      <c r="AR233" s="3" t="n">
        <f aca="false" ca="false" dt2D="false" dtr="false" t="normal">N233-AB233</f>
        <v>0</v>
      </c>
    </row>
    <row outlineLevel="0" r="234">
      <c r="A234" s="5" t="n">
        <f aca="false" ca="false" dt2D="false" dtr="false" t="normal">+A233+1</f>
        <v>216</v>
      </c>
      <c r="B234" s="159" t="n">
        <f aca="false" ca="false" dt2D="false" dtr="false" t="normal">+B233+1</f>
        <v>28</v>
      </c>
      <c r="C234" s="138" t="s">
        <v>177</v>
      </c>
      <c r="D234" s="138" t="s">
        <v>497</v>
      </c>
      <c r="E234" s="139" t="n">
        <v>1986</v>
      </c>
      <c r="F234" s="139" t="n">
        <v>2013</v>
      </c>
      <c r="G234" s="139" t="s">
        <v>4</v>
      </c>
      <c r="H234" s="139" t="n">
        <v>2</v>
      </c>
      <c r="I234" s="139" t="n">
        <v>2</v>
      </c>
      <c r="J234" s="17" t="n">
        <v>1112.5</v>
      </c>
      <c r="K234" s="17" t="n">
        <v>1000.4</v>
      </c>
      <c r="L234" s="17" t="n">
        <v>0</v>
      </c>
      <c r="M234" s="140" t="n">
        <v>40</v>
      </c>
      <c r="N234" s="16" t="n">
        <f aca="false" ca="false" dt2D="false" dtr="false" t="normal">SUM(P234:T234)</f>
        <v>522174.08</v>
      </c>
      <c r="O234" s="17" t="n"/>
      <c r="P234" s="18" t="n"/>
      <c r="Q234" s="18" t="n"/>
      <c r="R234" s="18" t="n">
        <v>522174.08</v>
      </c>
      <c r="S234" s="18" t="n"/>
      <c r="T234" s="151" t="n"/>
      <c r="U234" s="18" t="n">
        <v>589.331862255098</v>
      </c>
      <c r="V234" s="18" t="n">
        <v>1251.283020064</v>
      </c>
      <c r="W234" s="212" t="n">
        <v>2023</v>
      </c>
      <c r="X234" s="103" t="n">
        <v>431616.87</v>
      </c>
      <c r="Y234" s="3" t="n">
        <f aca="false" ca="false" dt2D="false" dtr="false" t="normal">+(K234*10.5+L234*21)*12*0.85</f>
        <v>107142.84</v>
      </c>
      <c r="Z234" s="3" t="n">
        <f aca="false" ca="false" dt2D="false" dtr="false" t="normal">+(K234*10.5+L234*21)*12*30</f>
        <v>3781512</v>
      </c>
      <c r="AB234" s="158" t="n">
        <f aca="false" ca="true" dt2D="false" dtr="false" t="normal">SUBTOTAL(9, AC234:AQ234)</f>
        <v>522174.08</v>
      </c>
      <c r="AC234" s="18" t="n"/>
      <c r="AD234" s="18" t="n">
        <v>0</v>
      </c>
      <c r="AE234" s="18" t="n">
        <v>522174.08</v>
      </c>
      <c r="AF234" s="18" t="n"/>
      <c r="AG234" s="18" t="n"/>
      <c r="AH234" s="18" t="n"/>
      <c r="AI234" s="18" t="n"/>
      <c r="AJ234" s="18" t="n">
        <v>0</v>
      </c>
      <c r="AK234" s="18" t="n">
        <v>0</v>
      </c>
      <c r="AL234" s="18" t="n">
        <v>0</v>
      </c>
      <c r="AM234" s="18" t="n">
        <v>0</v>
      </c>
      <c r="AN234" s="18" t="n">
        <v>0</v>
      </c>
      <c r="AO234" s="18" t="n"/>
      <c r="AP234" s="18" t="n"/>
      <c r="AQ234" s="24" t="n"/>
      <c r="AR234" s="3" t="n">
        <f aca="false" ca="false" dt2D="false" dtr="false" t="normal">N234-AB234</f>
        <v>0</v>
      </c>
    </row>
    <row outlineLevel="0" r="235">
      <c r="A235" s="5" t="n">
        <f aca="false" ca="false" dt2D="false" dtr="false" t="normal">+A234+1</f>
        <v>217</v>
      </c>
      <c r="B235" s="159" t="n">
        <f aca="false" ca="false" dt2D="false" dtr="false" t="normal">+B234+1</f>
        <v>29</v>
      </c>
      <c r="C235" s="138" t="s">
        <v>177</v>
      </c>
      <c r="D235" s="138" t="s">
        <v>499</v>
      </c>
      <c r="E235" s="139" t="n">
        <v>1991</v>
      </c>
      <c r="F235" s="139" t="n">
        <v>2013</v>
      </c>
      <c r="G235" s="139" t="s">
        <v>4</v>
      </c>
      <c r="H235" s="139" t="n">
        <v>2</v>
      </c>
      <c r="I235" s="139" t="n">
        <v>2</v>
      </c>
      <c r="J235" s="17" t="n">
        <v>1131.9</v>
      </c>
      <c r="K235" s="17" t="n">
        <v>1004.5</v>
      </c>
      <c r="L235" s="17" t="n">
        <v>0</v>
      </c>
      <c r="M235" s="140" t="n">
        <v>46</v>
      </c>
      <c r="N235" s="16" t="n">
        <f aca="false" ca="false" dt2D="false" dtr="false" t="normal">SUM(P235:T235)</f>
        <v>525018.3</v>
      </c>
      <c r="O235" s="17" t="n"/>
      <c r="P235" s="18" t="n"/>
      <c r="Q235" s="18" t="n"/>
      <c r="R235" s="18" t="n">
        <v>408248.95</v>
      </c>
      <c r="S235" s="18" t="n">
        <v>116769.35</v>
      </c>
      <c r="T235" s="151" t="n"/>
      <c r="U235" s="18" t="n">
        <v>507.855104828273</v>
      </c>
      <c r="V235" s="18" t="n">
        <v>1252.283020064</v>
      </c>
      <c r="W235" s="212" t="n">
        <v>2023</v>
      </c>
      <c r="X235" s="103" t="n">
        <v>300667</v>
      </c>
      <c r="Y235" s="3" t="n">
        <f aca="false" ca="false" dt2D="false" dtr="false" t="normal">+(K235*10.5+L235*21)*12*0.85</f>
        <v>107581.95</v>
      </c>
      <c r="Z235" s="3" t="n">
        <f aca="false" ca="false" dt2D="false" dtr="false" t="normal">+(K235*10.5+L235*21)*12*30-748881.44</f>
        <v>3048128.56</v>
      </c>
      <c r="AB235" s="158" t="n">
        <f aca="false" ca="true" dt2D="false" dtr="false" t="normal">SUBTOTAL(9, AC235:AQ235)</f>
        <v>525018.3</v>
      </c>
      <c r="AC235" s="18" t="n"/>
      <c r="AD235" s="18" t="n">
        <v>0</v>
      </c>
      <c r="AE235" s="18" t="n">
        <v>525018.3</v>
      </c>
      <c r="AF235" s="18" t="n"/>
      <c r="AG235" s="18" t="n"/>
      <c r="AH235" s="18" t="n"/>
      <c r="AI235" s="18" t="n"/>
      <c r="AJ235" s="18" t="n">
        <v>0</v>
      </c>
      <c r="AK235" s="18" t="n">
        <v>0</v>
      </c>
      <c r="AL235" s="18" t="n">
        <v>0</v>
      </c>
      <c r="AM235" s="18" t="n">
        <v>0</v>
      </c>
      <c r="AN235" s="18" t="n">
        <v>0</v>
      </c>
      <c r="AO235" s="18" t="n"/>
      <c r="AP235" s="18" t="n"/>
      <c r="AQ235" s="24" t="n"/>
      <c r="AR235" s="3" t="n">
        <f aca="false" ca="false" dt2D="false" dtr="false" t="normal">N235-AB235</f>
        <v>0</v>
      </c>
    </row>
    <row outlineLevel="0" r="236">
      <c r="A236" s="5" t="n">
        <f aca="false" ca="false" dt2D="false" dtr="false" t="normal">+A235+1</f>
        <v>218</v>
      </c>
      <c r="B236" s="159" t="n">
        <f aca="false" ca="false" dt2D="false" dtr="false" t="normal">+B235+1</f>
        <v>30</v>
      </c>
      <c r="C236" s="138" t="s">
        <v>177</v>
      </c>
      <c r="D236" s="138" t="s">
        <v>501</v>
      </c>
      <c r="E236" s="139" t="n">
        <v>1982</v>
      </c>
      <c r="F236" s="139" t="n">
        <v>2013</v>
      </c>
      <c r="G236" s="139" t="s">
        <v>4</v>
      </c>
      <c r="H236" s="139" t="n">
        <v>2</v>
      </c>
      <c r="I236" s="139" t="n">
        <v>2</v>
      </c>
      <c r="J236" s="17" t="n">
        <v>711.8</v>
      </c>
      <c r="K236" s="17" t="n">
        <v>585</v>
      </c>
      <c r="L236" s="17" t="n">
        <v>0</v>
      </c>
      <c r="M236" s="140" t="n">
        <v>35</v>
      </c>
      <c r="N236" s="16" t="n">
        <f aca="false" ca="false" dt2D="false" dtr="false" t="normal">SUM(P236:T236)</f>
        <v>530931.97</v>
      </c>
      <c r="O236" s="17" t="n"/>
      <c r="P236" s="18" t="n"/>
      <c r="Q236" s="18" t="n"/>
      <c r="R236" s="18" t="n">
        <v>352995.99</v>
      </c>
      <c r="S236" s="18" t="n">
        <v>177935.98</v>
      </c>
      <c r="T236" s="151" t="n"/>
      <c r="U236" s="18" t="n">
        <v>801.209358340889</v>
      </c>
      <c r="V236" s="18" t="n">
        <v>1253.283020064</v>
      </c>
      <c r="W236" s="212" t="n">
        <v>2023</v>
      </c>
      <c r="X236" s="103" t="n">
        <v>290342.49</v>
      </c>
      <c r="Y236" s="3" t="n">
        <f aca="false" ca="false" dt2D="false" dtr="false" t="normal">+(K236*10.5+L236*21)*12*0.85</f>
        <v>62653.5</v>
      </c>
      <c r="Z236" s="3" t="n">
        <f aca="false" ca="false" dt2D="false" dtr="false" t="normal">+(K236*10.5+L236*21)*12*30</f>
        <v>2211300</v>
      </c>
      <c r="AB236" s="158" t="n">
        <f aca="false" ca="true" dt2D="false" dtr="false" t="normal">SUBTOTAL(9, AC236:AQ236)</f>
        <v>530931.97</v>
      </c>
      <c r="AC236" s="18" t="n"/>
      <c r="AD236" s="18" t="n"/>
      <c r="AE236" s="18" t="n">
        <v>530931.97</v>
      </c>
      <c r="AF236" s="18" t="n">
        <v>0</v>
      </c>
      <c r="AG236" s="18" t="n">
        <v>0</v>
      </c>
      <c r="AH236" s="18" t="n"/>
      <c r="AI236" s="18" t="n"/>
      <c r="AJ236" s="18" t="n"/>
      <c r="AK236" s="18" t="n"/>
      <c r="AL236" s="18" t="n"/>
      <c r="AM236" s="18" t="n"/>
      <c r="AN236" s="18" t="n"/>
      <c r="AO236" s="18" t="n"/>
      <c r="AP236" s="18" t="n"/>
      <c r="AQ236" s="24" t="n"/>
      <c r="AR236" s="3" t="n">
        <f aca="false" ca="false" dt2D="false" dtr="false" t="normal">N236-AB236</f>
        <v>0</v>
      </c>
    </row>
    <row outlineLevel="0" r="237">
      <c r="A237" s="5" t="n">
        <f aca="false" ca="false" dt2D="false" dtr="false" t="normal">+A236+1</f>
        <v>219</v>
      </c>
      <c r="B237" s="159" t="n">
        <f aca="false" ca="false" dt2D="false" dtr="false" t="normal">+B236+1</f>
        <v>31</v>
      </c>
      <c r="C237" s="138" t="s">
        <v>177</v>
      </c>
      <c r="D237" s="138" t="s">
        <v>503</v>
      </c>
      <c r="E237" s="139" t="n">
        <v>1988</v>
      </c>
      <c r="F237" s="139" t="n">
        <v>2013</v>
      </c>
      <c r="G237" s="139" t="s">
        <v>4</v>
      </c>
      <c r="H237" s="139" t="n">
        <v>2</v>
      </c>
      <c r="I237" s="139" t="n">
        <v>2</v>
      </c>
      <c r="J237" s="17" t="n">
        <v>661.79</v>
      </c>
      <c r="K237" s="17" t="n">
        <v>596.7</v>
      </c>
      <c r="L237" s="17" t="n">
        <v>0</v>
      </c>
      <c r="M237" s="140" t="n">
        <v>38</v>
      </c>
      <c r="N237" s="16" t="n">
        <f aca="false" ca="false" dt2D="false" dtr="false" t="normal">SUM(P237:T237)</f>
        <v>620897.1</v>
      </c>
      <c r="O237" s="17" t="n"/>
      <c r="P237" s="18" t="n">
        <v>0</v>
      </c>
      <c r="Q237" s="18" t="n"/>
      <c r="R237" s="18" t="n"/>
      <c r="S237" s="18" t="n">
        <v>620897.1</v>
      </c>
      <c r="T237" s="17" t="n"/>
      <c r="U237" s="18" t="n">
        <v>4496.17482688768</v>
      </c>
      <c r="V237" s="18" t="n">
        <v>1254.283020064</v>
      </c>
      <c r="W237" s="212" t="n">
        <v>2023</v>
      </c>
      <c r="X237" s="1" t="n">
        <f aca="false" ca="false" dt2D="false" dtr="false" t="normal">232648.79-31492.39</f>
        <v>201156.40000000002</v>
      </c>
      <c r="Y237" s="3" t="n">
        <f aca="false" ca="false" dt2D="false" dtr="false" t="normal">+(K237*10.5+L237*21)*12*0.85</f>
        <v>63906.57000000001</v>
      </c>
      <c r="Z237" s="3" t="n">
        <f aca="false" ca="false" dt2D="false" dtr="false" t="normal">+(K237*10.5+L237*21)*12*30</f>
        <v>2255526.0000000005</v>
      </c>
      <c r="AB237" s="158" t="n">
        <f aca="false" ca="true" dt2D="false" dtr="false" t="normal">SUBTOTAL(9, AC237:AQ237)</f>
        <v>620897.1</v>
      </c>
      <c r="AC237" s="18" t="n"/>
      <c r="AD237" s="18" t="n">
        <v>0</v>
      </c>
      <c r="AE237" s="18" t="n">
        <v>620897.1</v>
      </c>
      <c r="AF237" s="18" t="n"/>
      <c r="AG237" s="18" t="n">
        <v>0</v>
      </c>
      <c r="AH237" s="18" t="n"/>
      <c r="AI237" s="18" t="n"/>
      <c r="AJ237" s="18" t="n">
        <v>0</v>
      </c>
      <c r="AK237" s="18" t="n">
        <v>0</v>
      </c>
      <c r="AL237" s="18" t="n">
        <v>0</v>
      </c>
      <c r="AM237" s="18" t="n">
        <v>0</v>
      </c>
      <c r="AN237" s="18" t="n">
        <v>0</v>
      </c>
      <c r="AO237" s="18" t="n"/>
      <c r="AP237" s="18" t="n"/>
      <c r="AQ237" s="24" t="n"/>
      <c r="AR237" s="3" t="n">
        <f aca="false" ca="false" dt2D="false" dtr="false" t="normal">N237-AB237</f>
        <v>0</v>
      </c>
    </row>
    <row customFormat="true" ht="15" outlineLevel="0" r="238" s="184">
      <c r="A238" s="5" t="n">
        <f aca="false" ca="false" dt2D="false" dtr="false" t="normal">+A237+1</f>
        <v>220</v>
      </c>
      <c r="B238" s="159" t="n">
        <f aca="false" ca="false" dt2D="false" dtr="false" t="normal">+B237+1</f>
        <v>32</v>
      </c>
      <c r="C238" s="138" t="s">
        <v>309</v>
      </c>
      <c r="D238" s="138" t="s">
        <v>505</v>
      </c>
      <c r="E238" s="139" t="s">
        <v>506</v>
      </c>
      <c r="F238" s="139" t="n"/>
      <c r="G238" s="139" t="s">
        <v>4</v>
      </c>
      <c r="H238" s="139" t="s">
        <v>150</v>
      </c>
      <c r="I238" s="139" t="s">
        <v>312</v>
      </c>
      <c r="J238" s="17" t="n">
        <v>17927.33</v>
      </c>
      <c r="K238" s="17" t="n">
        <v>15026.75</v>
      </c>
      <c r="L238" s="17" t="n">
        <v>72.8</v>
      </c>
      <c r="M238" s="140" t="n">
        <v>571</v>
      </c>
      <c r="N238" s="16" t="n">
        <f aca="false" ca="false" dt2D="false" dtr="false" t="normal">SUM(P238:T238)</f>
        <v>21087152.25</v>
      </c>
      <c r="O238" s="17" t="n">
        <v>0</v>
      </c>
      <c r="P238" s="18" t="n"/>
      <c r="Q238" s="18" t="n">
        <v>0</v>
      </c>
      <c r="R238" s="18" t="n">
        <v>13810339.6815</v>
      </c>
      <c r="S238" s="18" t="n">
        <v>7276812.5685</v>
      </c>
      <c r="T238" s="18" t="n"/>
      <c r="U238" s="18" t="n">
        <v>1433.23660909504</v>
      </c>
      <c r="V238" s="18" t="n">
        <v>1255.283020064</v>
      </c>
      <c r="W238" s="212" t="n">
        <v>2023</v>
      </c>
      <c r="X238" s="184" t="n">
        <v>11654621.88</v>
      </c>
      <c r="Y238" s="3" t="n">
        <f aca="false" ca="false" dt2D="false" dtr="false" t="normal">+(K238*13.95+L238*23.65)*12*0.85</f>
        <v>2155717.8014999996</v>
      </c>
      <c r="Z238" s="3" t="n">
        <f aca="false" ca="false" dt2D="false" dtr="false" t="normal">+(K238*13.95+L238*23.65)*12*30</f>
        <v>76084157.69999999</v>
      </c>
      <c r="AA238" s="3" t="n"/>
      <c r="AB238" s="158" t="n">
        <f aca="false" ca="true" dt2D="false" dtr="false" t="normal">SUBTOTAL(9, AC238:AQ238)</f>
        <v>21087152.25</v>
      </c>
      <c r="AC238" s="18" t="n"/>
      <c r="AD238" s="18" t="n"/>
      <c r="AE238" s="18" t="n"/>
      <c r="AF238" s="18" t="n"/>
      <c r="AG238" s="18" t="n"/>
      <c r="AH238" s="18" t="n"/>
      <c r="AI238" s="18" t="n"/>
      <c r="AJ238" s="18" t="n">
        <v>20793974.4</v>
      </c>
      <c r="AK238" s="18" t="n"/>
      <c r="AL238" s="18" t="n"/>
      <c r="AM238" s="18" t="n"/>
      <c r="AN238" s="18" t="n"/>
      <c r="AO238" s="18" t="n">
        <v>270017.85</v>
      </c>
      <c r="AP238" s="18" t="n">
        <v>23160</v>
      </c>
      <c r="AQ238" s="24" t="n"/>
      <c r="AR238" s="3" t="n">
        <f aca="false" ca="false" dt2D="false" dtr="false" t="normal">N238-AB238</f>
        <v>0</v>
      </c>
      <c r="AT238" s="187" t="n"/>
    </row>
    <row customFormat="true" ht="15" outlineLevel="0" r="239" s="184">
      <c r="A239" s="5" t="n">
        <f aca="false" ca="false" dt2D="false" dtr="false" t="normal">+A238+1</f>
        <v>221</v>
      </c>
      <c r="B239" s="159" t="n">
        <f aca="false" ca="false" dt2D="false" dtr="false" t="normal">+B238+1</f>
        <v>33</v>
      </c>
      <c r="C239" s="138" t="s">
        <v>309</v>
      </c>
      <c r="D239" s="138" t="s">
        <v>508</v>
      </c>
      <c r="E239" s="139" t="s">
        <v>506</v>
      </c>
      <c r="F239" s="139" t="n"/>
      <c r="G239" s="139" t="s">
        <v>4</v>
      </c>
      <c r="H239" s="139" t="s">
        <v>150</v>
      </c>
      <c r="I239" s="139" t="s">
        <v>159</v>
      </c>
      <c r="J239" s="17" t="n">
        <v>11180.28</v>
      </c>
      <c r="K239" s="17" t="n">
        <v>9305.33</v>
      </c>
      <c r="L239" s="17" t="n">
        <v>0</v>
      </c>
      <c r="M239" s="140" t="n">
        <v>347</v>
      </c>
      <c r="N239" s="16" t="n">
        <f aca="false" ca="false" dt2D="false" dtr="false" t="normal">SUM(P239:T239)</f>
        <v>14097787.42</v>
      </c>
      <c r="O239" s="17" t="n">
        <v>0</v>
      </c>
      <c r="P239" s="18" t="n"/>
      <c r="Q239" s="18" t="n">
        <v>0</v>
      </c>
      <c r="R239" s="18" t="n">
        <v>8237634.1857</v>
      </c>
      <c r="S239" s="18" t="n">
        <v>5860153.2343</v>
      </c>
      <c r="T239" s="18" t="n"/>
      <c r="U239" s="18" t="n">
        <v>1546.58601633916</v>
      </c>
      <c r="V239" s="18" t="n">
        <v>1257.283020064</v>
      </c>
      <c r="W239" s="212" t="n">
        <v>2023</v>
      </c>
      <c r="X239" s="184" t="n">
        <v>6913578.78</v>
      </c>
      <c r="Y239" s="3" t="n">
        <f aca="false" ca="false" dt2D="false" dtr="false" t="normal">+(K239*13.95+L239*23.65)*12*0.85</f>
        <v>1324055.4057</v>
      </c>
      <c r="Z239" s="3" t="n">
        <f aca="false" ca="false" dt2D="false" dtr="false" t="normal">+(K239*13.95+L239*23.65)*12*30</f>
        <v>46731367.260000005</v>
      </c>
      <c r="AA239" s="3" t="n"/>
      <c r="AB239" s="158" t="n">
        <f aca="false" ca="true" dt2D="false" dtr="false" t="normal">SUBTOTAL(9, AC239:AQ239)</f>
        <v>14097787.42</v>
      </c>
      <c r="AC239" s="18" t="n"/>
      <c r="AD239" s="18" t="n"/>
      <c r="AE239" s="18" t="n"/>
      <c r="AF239" s="18" t="n"/>
      <c r="AG239" s="18" t="n"/>
      <c r="AH239" s="18" t="n"/>
      <c r="AI239" s="18" t="n"/>
      <c r="AJ239" s="18" t="n">
        <v>13862649.6</v>
      </c>
      <c r="AK239" s="18" t="n"/>
      <c r="AL239" s="18" t="n"/>
      <c r="AM239" s="18" t="n"/>
      <c r="AN239" s="18" t="n"/>
      <c r="AO239" s="18" t="n">
        <v>211977.82</v>
      </c>
      <c r="AP239" s="18" t="n">
        <v>23160</v>
      </c>
      <c r="AQ239" s="24" t="n"/>
      <c r="AR239" s="3" t="n">
        <f aca="false" ca="false" dt2D="false" dtr="false" t="normal">N239-AB239</f>
        <v>0</v>
      </c>
      <c r="AT239" s="187" t="n"/>
    </row>
    <row outlineLevel="0" r="240">
      <c r="A240" s="5" t="n">
        <f aca="false" ca="false" dt2D="false" dtr="false" t="normal">+A239+1</f>
        <v>222</v>
      </c>
      <c r="B240" s="159" t="n">
        <f aca="false" ca="false" dt2D="false" dtr="false" t="normal">+B239+1</f>
        <v>34</v>
      </c>
      <c r="C240" s="138" t="s">
        <v>177</v>
      </c>
      <c r="D240" s="138" t="s">
        <v>326</v>
      </c>
      <c r="E240" s="139" t="n">
        <v>1964</v>
      </c>
      <c r="F240" s="139" t="n">
        <v>2013</v>
      </c>
      <c r="G240" s="139" t="s">
        <v>4</v>
      </c>
      <c r="H240" s="139" t="n">
        <v>5</v>
      </c>
      <c r="I240" s="139" t="n">
        <v>7</v>
      </c>
      <c r="J240" s="17" t="n">
        <v>6384.4</v>
      </c>
      <c r="K240" s="17" t="n">
        <v>5253.8</v>
      </c>
      <c r="L240" s="17" t="n">
        <v>1130.6</v>
      </c>
      <c r="M240" s="140" t="n">
        <v>210</v>
      </c>
      <c r="N240" s="16" t="n">
        <f aca="false" ca="false" dt2D="false" dtr="false" t="normal">SUM(P240:T240)</f>
        <v>16895315.3</v>
      </c>
      <c r="O240" s="17" t="n"/>
      <c r="P240" s="18" t="n"/>
      <c r="Q240" s="18" t="n"/>
      <c r="R240" s="18" t="n">
        <v>1868422.94</v>
      </c>
      <c r="S240" s="18" t="n">
        <v>15026892.36</v>
      </c>
      <c r="T240" s="18" t="n"/>
      <c r="U240" s="18" t="n">
        <v>4853.31840936987</v>
      </c>
      <c r="V240" s="18" t="n">
        <v>1258.283020064</v>
      </c>
      <c r="W240" s="212" t="n">
        <v>2023</v>
      </c>
      <c r="X240" s="103" t="n">
        <v>4163182.7</v>
      </c>
      <c r="Y240" s="3" t="n">
        <f aca="false" ca="false" dt2D="false" dtr="false" t="normal">+(K240*10.5+L240*21)*12*0.85</f>
        <v>804856.5</v>
      </c>
      <c r="Z240" s="3" t="n">
        <f aca="false" ca="false" dt2D="false" dtr="false" t="normal">+(K240*10.5+L240*21)*12*30</f>
        <v>28406700</v>
      </c>
      <c r="AB240" s="158" t="n">
        <f aca="false" ca="true" dt2D="false" dtr="false" t="normal">SUBTOTAL(9, AC240:AQ240)</f>
        <v>16895315.3</v>
      </c>
      <c r="AC240" s="17" t="n"/>
      <c r="AD240" s="18" t="n"/>
      <c r="AE240" s="18" t="n">
        <v>2398261.2</v>
      </c>
      <c r="AF240" s="18" t="n"/>
      <c r="AG240" s="18" t="n"/>
      <c r="AH240" s="18" t="n"/>
      <c r="AI240" s="18" t="n"/>
      <c r="AJ240" s="18" t="n">
        <v>0</v>
      </c>
      <c r="AK240" s="18" t="n">
        <v>14009088.38</v>
      </c>
      <c r="AL240" s="18" t="n">
        <v>0</v>
      </c>
      <c r="AM240" s="18" t="n">
        <v>0</v>
      </c>
      <c r="AN240" s="18" t="n">
        <v>0</v>
      </c>
      <c r="AO240" s="18" t="n">
        <v>339099.7</v>
      </c>
      <c r="AP240" s="18" t="n">
        <v>9600</v>
      </c>
      <c r="AQ240" s="156" t="n">
        <f aca="false" ca="false" dt2D="false" dtr="false" t="normal">32899.63+106366.39</f>
        <v>139266.02</v>
      </c>
      <c r="AR240" s="3" t="n">
        <f aca="false" ca="false" dt2D="false" dtr="false" t="normal">N240-AB240</f>
        <v>0</v>
      </c>
    </row>
    <row outlineLevel="0" r="241">
      <c r="A241" s="5" t="n">
        <f aca="false" ca="false" dt2D="false" dtr="false" t="normal">+A240+1</f>
        <v>223</v>
      </c>
      <c r="B241" s="159" t="n">
        <f aca="false" ca="false" dt2D="false" dtr="false" t="normal">+B240+1</f>
        <v>35</v>
      </c>
      <c r="C241" s="6" t="s">
        <v>177</v>
      </c>
      <c r="D241" s="6" t="s">
        <v>511</v>
      </c>
      <c r="E241" s="139" t="n">
        <v>1954</v>
      </c>
      <c r="F241" s="139" t="n">
        <v>2005</v>
      </c>
      <c r="G241" s="139" t="s">
        <v>4</v>
      </c>
      <c r="H241" s="139" t="n">
        <v>3</v>
      </c>
      <c r="I241" s="139" t="n">
        <v>3</v>
      </c>
      <c r="J241" s="17" t="n">
        <v>1802.3</v>
      </c>
      <c r="K241" s="17" t="n">
        <v>1033</v>
      </c>
      <c r="L241" s="17" t="n">
        <v>769.3</v>
      </c>
      <c r="M241" s="140" t="n">
        <v>35</v>
      </c>
      <c r="N241" s="16" t="n">
        <f aca="false" ca="false" dt2D="false" dtr="false" t="normal">SUM(P241:T241)</f>
        <v>9050356.68530749</v>
      </c>
      <c r="O241" s="18" t="n"/>
      <c r="P241" s="18" t="n">
        <v>3152058.31276591</v>
      </c>
      <c r="Q241" s="18" t="n"/>
      <c r="R241" s="18" t="n">
        <v>3113580.08</v>
      </c>
      <c r="S241" s="18" t="n">
        <v>2784718.29254158</v>
      </c>
      <c r="T241" s="18" t="n"/>
      <c r="U241" s="17" t="n">
        <v>3766.73877421401</v>
      </c>
      <c r="V241" s="17" t="n">
        <v>3766.73877421401</v>
      </c>
      <c r="W241" s="212" t="n">
        <v>2023</v>
      </c>
      <c r="X241" s="1" t="n">
        <v>895754.39</v>
      </c>
      <c r="Y241" s="3" t="n">
        <f aca="false" ca="false" dt2D="false" dtr="false" t="normal">+(K241*10+L241*20)*12*0.85</f>
        <v>262303.2</v>
      </c>
      <c r="Z241" s="3" t="n">
        <f aca="false" ca="false" dt2D="false" dtr="false" t="normal">+(K241*10+L241*20)*12*30</f>
        <v>9257760</v>
      </c>
      <c r="AB241" s="23" t="n">
        <f aca="false" ca="true" dt2D="false" dtr="false" t="normal">SUBTOTAL(9, AC241:AQ241)</f>
        <v>9050356.685307486</v>
      </c>
      <c r="AC241" s="18" t="n">
        <v>0</v>
      </c>
      <c r="AD241" s="18" t="n">
        <v>0</v>
      </c>
      <c r="AE241" s="18" t="n">
        <v>0</v>
      </c>
      <c r="AF241" s="18" t="n">
        <v>0</v>
      </c>
      <c r="AG241" s="18" t="n">
        <v>0</v>
      </c>
      <c r="AH241" s="18" t="n"/>
      <c r="AI241" s="18" t="n"/>
      <c r="AJ241" s="18" t="n">
        <v>0</v>
      </c>
      <c r="AK241" s="18" t="n">
        <v>8882109.84</v>
      </c>
      <c r="AL241" s="18" t="n">
        <v>0</v>
      </c>
      <c r="AM241" s="18" t="n">
        <v>0</v>
      </c>
      <c r="AN241" s="18" t="n">
        <v>0</v>
      </c>
      <c r="AO241" s="18" t="n">
        <v>144246.845307486</v>
      </c>
      <c r="AP241" s="18" t="n">
        <v>24000</v>
      </c>
      <c r="AQ241" s="24" t="n"/>
      <c r="AR241" s="3" t="n">
        <f aca="false" ca="false" dt2D="false" dtr="false" t="normal">N241-AB241</f>
        <v>0</v>
      </c>
    </row>
    <row customFormat="true" ht="15" outlineLevel="0" r="242" s="184">
      <c r="A242" s="5" t="n">
        <f aca="false" ca="false" dt2D="false" dtr="false" t="normal">+A241+1</f>
        <v>224</v>
      </c>
      <c r="B242" s="159" t="n">
        <f aca="false" ca="false" dt2D="false" dtr="false" t="normal">+B241+1</f>
        <v>36</v>
      </c>
      <c r="C242" s="138" t="s">
        <v>177</v>
      </c>
      <c r="D242" s="138" t="s">
        <v>512</v>
      </c>
      <c r="E242" s="139" t="n">
        <v>1959</v>
      </c>
      <c r="F242" s="139" t="n"/>
      <c r="G242" s="139" t="s">
        <v>4</v>
      </c>
      <c r="H242" s="139" t="n">
        <v>4</v>
      </c>
      <c r="I242" s="139" t="n">
        <v>3</v>
      </c>
      <c r="J242" s="17" t="n">
        <v>2378.2</v>
      </c>
      <c r="K242" s="17" t="n">
        <v>1790.7</v>
      </c>
      <c r="L242" s="17" t="n">
        <v>587.5</v>
      </c>
      <c r="M242" s="140" t="n">
        <v>74</v>
      </c>
      <c r="N242" s="16" t="n">
        <f aca="false" ca="false" dt2D="false" dtr="false" t="normal">SUM(P242:T242)</f>
        <v>3508963.12</v>
      </c>
      <c r="O242" s="17" t="n"/>
      <c r="P242" s="18" t="n">
        <v>0</v>
      </c>
      <c r="Q242" s="18" t="n"/>
      <c r="R242" s="18" t="n">
        <v>909473.4</v>
      </c>
      <c r="S242" s="18" t="n">
        <v>2599489.72</v>
      </c>
      <c r="T242" s="17" t="n"/>
      <c r="U242" s="18" t="n">
        <v>1959.54828837885</v>
      </c>
      <c r="V242" s="18" t="n">
        <v>1173.283020064</v>
      </c>
      <c r="W242" s="212" t="n">
        <v>2023</v>
      </c>
      <c r="X242" s="202" t="n">
        <v>863803.68</v>
      </c>
      <c r="Y242" s="3" t="n">
        <f aca="false" ca="false" dt2D="false" dtr="false" t="normal">+(K242*13.29+L242*22.52)*12*0.85</f>
        <v>377694.8106</v>
      </c>
      <c r="Z242" s="3" t="n">
        <f aca="false" ca="false" dt2D="false" dtr="false" t="normal">+(K242*10+L242*20)*12*30</f>
        <v>10676520</v>
      </c>
      <c r="AA242" s="3" t="n"/>
      <c r="AB242" s="23" t="n">
        <f aca="false" ca="true" dt2D="false" dtr="false" t="normal">SUBTOTAL(9, AC242:AQ242)</f>
        <v>3508963.12</v>
      </c>
      <c r="AC242" s="18" t="n">
        <v>3508963.12</v>
      </c>
      <c r="AD242" s="18" t="n"/>
      <c r="AE242" s="18" t="n"/>
      <c r="AF242" s="18" t="n"/>
      <c r="AG242" s="18" t="n"/>
      <c r="AH242" s="18" t="n"/>
      <c r="AI242" s="18" t="n"/>
      <c r="AJ242" s="18" t="n"/>
      <c r="AK242" s="18" t="n"/>
      <c r="AL242" s="18" t="n"/>
      <c r="AM242" s="18" t="n"/>
      <c r="AN242" s="18" t="n"/>
      <c r="AO242" s="18" t="n"/>
      <c r="AP242" s="18" t="n"/>
      <c r="AQ242" s="191" t="n"/>
      <c r="AR242" s="3" t="n">
        <f aca="false" ca="false" dt2D="false" dtr="false" t="normal">N242-AB242</f>
        <v>0</v>
      </c>
      <c r="AT242" s="187" t="n"/>
    </row>
    <row outlineLevel="0" r="243">
      <c r="A243" s="5" t="n">
        <f aca="false" ca="false" dt2D="false" dtr="false" t="normal">+A242+1</f>
        <v>225</v>
      </c>
      <c r="B243" s="159" t="n">
        <f aca="false" ca="false" dt2D="false" dtr="false" t="normal">+B242+1</f>
        <v>37</v>
      </c>
      <c r="C243" s="6" t="s">
        <v>177</v>
      </c>
      <c r="D243" s="6" t="s">
        <v>213</v>
      </c>
      <c r="E243" s="139" t="n">
        <v>1968</v>
      </c>
      <c r="F243" s="139" t="n">
        <v>2013</v>
      </c>
      <c r="G243" s="139" t="s">
        <v>4</v>
      </c>
      <c r="H243" s="139" t="n">
        <v>5</v>
      </c>
      <c r="I243" s="139" t="n">
        <v>4</v>
      </c>
      <c r="J243" s="17" t="n">
        <v>3228.9</v>
      </c>
      <c r="K243" s="17" t="n">
        <v>2518.9</v>
      </c>
      <c r="L243" s="17" t="n">
        <v>710</v>
      </c>
      <c r="M243" s="140" t="n">
        <v>136</v>
      </c>
      <c r="N243" s="16" t="n">
        <f aca="false" ca="false" dt2D="false" dtr="false" t="normal">SUM(P243:T243)</f>
        <v>13790763.79</v>
      </c>
      <c r="O243" s="18" t="n"/>
      <c r="P243" s="18" t="n">
        <f aca="false" ca="false" dt2D="false" dtr="false" t="normal">1321795.74+6508327.07</f>
        <v>7830122.8100000005</v>
      </c>
      <c r="Q243" s="18" t="n"/>
      <c r="R243" s="18" t="n">
        <v>628700.87</v>
      </c>
      <c r="S243" s="18" t="n">
        <v>5331940.11</v>
      </c>
      <c r="T243" s="151" t="n"/>
      <c r="U243" s="18" t="n">
        <v>9513.91060894277</v>
      </c>
      <c r="V243" s="18" t="n">
        <v>1259.283020064</v>
      </c>
      <c r="W243" s="212" t="n">
        <v>2023</v>
      </c>
      <c r="X243" s="12" t="n">
        <f aca="false" ca="false" dt2D="false" dtr="false" t="normal">2448991.46-R69</f>
        <v>1330587.417738</v>
      </c>
      <c r="Y243" s="3" t="n">
        <f aca="false" ca="false" dt2D="false" dtr="false" t="normal">+(K243*10.5+L243*21)*12*0.85</f>
        <v>421856.18999999994</v>
      </c>
      <c r="Z243" s="3" t="n">
        <f aca="false" ca="false" dt2D="false" dtr="false" t="normal">+(K243*10.5+L243*21)*12*30</f>
        <v>14889041.999999998</v>
      </c>
      <c r="AB243" s="158" t="n">
        <f aca="false" ca="true" dt2D="false" dtr="false" t="normal">SUBTOTAL(9, AC243:AQ243)</f>
        <v>13790763.79</v>
      </c>
      <c r="AC243" s="18" t="n">
        <v>4434982.51</v>
      </c>
      <c r="AD243" s="18" t="n"/>
      <c r="AE243" s="18" t="n"/>
      <c r="AF243" s="18" t="n"/>
      <c r="AG243" s="18" t="n"/>
      <c r="AH243" s="18" t="n"/>
      <c r="AI243" s="18" t="n"/>
      <c r="AJ243" s="18" t="n">
        <v>0</v>
      </c>
      <c r="AK243" s="18" t="n">
        <v>9355781.28</v>
      </c>
      <c r="AL243" s="18" t="n">
        <v>0</v>
      </c>
      <c r="AM243" s="18" t="n">
        <v>0</v>
      </c>
      <c r="AN243" s="18" t="n">
        <v>0</v>
      </c>
      <c r="AO243" s="18" t="n"/>
      <c r="AP243" s="18" t="n"/>
      <c r="AQ243" s="24" t="n"/>
      <c r="AR243" s="3" t="n">
        <f aca="false" ca="false" dt2D="false" dtr="false" t="normal">N243-AB243</f>
        <v>0</v>
      </c>
    </row>
    <row outlineLevel="0" r="244">
      <c r="A244" s="5" t="n">
        <f aca="false" ca="false" dt2D="false" dtr="false" t="normal">+A243+1</f>
        <v>226</v>
      </c>
      <c r="B244" s="159" t="n">
        <f aca="false" ca="false" dt2D="false" dtr="false" t="normal">+B243+1</f>
        <v>38</v>
      </c>
      <c r="C244" s="138" t="s">
        <v>177</v>
      </c>
      <c r="D244" s="138" t="s">
        <v>217</v>
      </c>
      <c r="E244" s="139" t="n">
        <v>1963</v>
      </c>
      <c r="F244" s="139" t="n">
        <v>2013</v>
      </c>
      <c r="G244" s="139" t="s">
        <v>4</v>
      </c>
      <c r="H244" s="139" t="n">
        <v>4</v>
      </c>
      <c r="I244" s="139" t="n">
        <v>3</v>
      </c>
      <c r="J244" s="17" t="n">
        <v>2328.4</v>
      </c>
      <c r="K244" s="17" t="n">
        <v>1950.9</v>
      </c>
      <c r="L244" s="17" t="n">
        <v>377.5</v>
      </c>
      <c r="M244" s="140" t="n">
        <v>49</v>
      </c>
      <c r="N244" s="16" t="n">
        <f aca="false" ca="false" dt2D="false" dtr="false" t="normal">SUM(P244:T244)</f>
        <v>869774.96</v>
      </c>
      <c r="O244" s="17" t="n"/>
      <c r="P244" s="18" t="n"/>
      <c r="Q244" s="18" t="n"/>
      <c r="R244" s="18" t="n">
        <v>123299.36</v>
      </c>
      <c r="S244" s="18" t="n">
        <v>746475.6</v>
      </c>
      <c r="T244" s="17" t="n"/>
      <c r="U244" s="18" t="n">
        <v>463.458573104896</v>
      </c>
      <c r="V244" s="18" t="n">
        <v>463.458573104896</v>
      </c>
      <c r="W244" s="212" t="n">
        <v>2023</v>
      </c>
      <c r="X244" s="12" t="n">
        <f aca="false" ca="false" dt2D="false" dtr="false" t="normal">1234380.76-R71</f>
        <v>473105.86838256</v>
      </c>
      <c r="Y244" s="3" t="n">
        <f aca="false" ca="false" dt2D="false" dtr="false" t="normal">+(K244*10+L244*20)*12*0.85</f>
        <v>276001.8</v>
      </c>
      <c r="Z244" s="3" t="n">
        <f aca="false" ca="false" dt2D="false" dtr="false" t="normal">+(K244*10+L244*20)*12*30-S71</f>
        <v>6112579.241617439</v>
      </c>
      <c r="AB244" s="23" t="n">
        <f aca="false" ca="true" dt2D="false" dtr="false" t="normal">SUBTOTAL(9, AC244:AQ244)</f>
        <v>869774.96</v>
      </c>
      <c r="AC244" s="18" t="n"/>
      <c r="AD244" s="18" t="n"/>
      <c r="AE244" s="18" t="n"/>
      <c r="AF244" s="18" t="n"/>
      <c r="AG244" s="18" t="n">
        <v>869774.96</v>
      </c>
      <c r="AH244" s="18" t="n"/>
      <c r="AI244" s="18" t="n"/>
      <c r="AJ244" s="18" t="n">
        <v>0</v>
      </c>
      <c r="AK244" s="18" t="n">
        <v>0</v>
      </c>
      <c r="AL244" s="18" t="n">
        <v>0</v>
      </c>
      <c r="AM244" s="18" t="n">
        <v>0</v>
      </c>
      <c r="AN244" s="18" t="n">
        <v>0</v>
      </c>
      <c r="AO244" s="18" t="n"/>
      <c r="AP244" s="18" t="n"/>
      <c r="AQ244" s="24" t="n"/>
      <c r="AR244" s="3" t="n">
        <f aca="false" ca="false" dt2D="false" dtr="false" t="normal">N244-AB244</f>
        <v>0</v>
      </c>
    </row>
    <row outlineLevel="0" r="245">
      <c r="A245" s="5" t="n">
        <f aca="false" ca="false" dt2D="false" dtr="false" t="normal">+A244+1</f>
        <v>227</v>
      </c>
      <c r="B245" s="159" t="n">
        <f aca="false" ca="false" dt2D="false" dtr="false" t="normal">+B244+1</f>
        <v>39</v>
      </c>
      <c r="C245" s="6" t="s">
        <v>177</v>
      </c>
      <c r="D245" s="6" t="s">
        <v>204</v>
      </c>
      <c r="E245" s="164" t="n">
        <v>1963</v>
      </c>
      <c r="F245" s="164" t="n">
        <v>2013</v>
      </c>
      <c r="G245" s="164" t="s">
        <v>4</v>
      </c>
      <c r="H245" s="164" t="n">
        <v>4</v>
      </c>
      <c r="I245" s="164" t="n">
        <v>4</v>
      </c>
      <c r="J245" s="18" t="n">
        <v>5268.75</v>
      </c>
      <c r="K245" s="18" t="n">
        <v>3170.15</v>
      </c>
      <c r="L245" s="18" t="n">
        <v>2098.6</v>
      </c>
      <c r="M245" s="165" t="n">
        <v>92</v>
      </c>
      <c r="N245" s="16" t="n">
        <f aca="false" ca="false" dt2D="false" dtr="false" t="normal">SUM(P245:T245)</f>
        <v>1634481.86</v>
      </c>
      <c r="O245" s="18" t="n"/>
      <c r="P245" s="18" t="n"/>
      <c r="Q245" s="18" t="n"/>
      <c r="R245" s="18" t="n">
        <v>0</v>
      </c>
      <c r="S245" s="18" t="n">
        <v>1634481.86</v>
      </c>
      <c r="T245" s="18" t="n"/>
      <c r="U245" s="18" t="n">
        <v>1029.16693988251</v>
      </c>
      <c r="V245" s="18" t="n">
        <v>1029.16693988251</v>
      </c>
      <c r="W245" s="212" t="n">
        <v>2023</v>
      </c>
      <c r="X245" s="12" t="n">
        <f aca="false" ca="false" dt2D="false" dtr="false" t="normal">3051973.41-R65</f>
        <v>-751469.6999999997</v>
      </c>
      <c r="Y245" s="3" t="n">
        <f aca="false" ca="false" dt2D="false" dtr="false" t="normal">+(K245*10+L245*20)*12*0.85</f>
        <v>751469.7</v>
      </c>
      <c r="Z245" s="3" t="n">
        <f aca="false" ca="false" dt2D="false" dtr="false" t="normal">+(K245*10+L245*20)*12*30-S65</f>
        <v>14009140.329692</v>
      </c>
      <c r="AB245" s="23" t="n">
        <f aca="false" ca="true" dt2D="false" dtr="false" t="normal">SUBTOTAL(9, AC245:AQ245)</f>
        <v>1634481.86</v>
      </c>
      <c r="AC245" s="18" t="n"/>
      <c r="AD245" s="18" t="n"/>
      <c r="AE245" s="18" t="n">
        <v>1620199.79</v>
      </c>
      <c r="AF245" s="18" t="n"/>
      <c r="AG245" s="18" t="n"/>
      <c r="AH245" s="18" t="n"/>
      <c r="AI245" s="18" t="n"/>
      <c r="AJ245" s="18" t="n">
        <v>0</v>
      </c>
      <c r="AK245" s="18" t="n"/>
      <c r="AL245" s="18" t="n"/>
      <c r="AM245" s="18" t="n"/>
      <c r="AN245" s="18" t="n"/>
      <c r="AO245" s="18" t="n"/>
      <c r="AP245" s="18" t="n"/>
      <c r="AQ245" s="156" t="n">
        <v>14282.07</v>
      </c>
      <c r="AR245" s="3" t="n">
        <f aca="false" ca="false" dt2D="false" dtr="false" t="normal">N245-AB245</f>
        <v>0</v>
      </c>
    </row>
    <row outlineLevel="0" r="246">
      <c r="A246" s="5" t="n">
        <f aca="false" ca="false" dt2D="false" dtr="false" t="normal">+A245+1</f>
        <v>228</v>
      </c>
      <c r="B246" s="159" t="n">
        <f aca="false" ca="false" dt2D="false" dtr="false" t="normal">+B245+1</f>
        <v>40</v>
      </c>
      <c r="C246" s="6" t="s">
        <v>177</v>
      </c>
      <c r="D246" s="6" t="s">
        <v>515</v>
      </c>
      <c r="E246" s="164" t="n">
        <v>1971</v>
      </c>
      <c r="F246" s="164" t="n">
        <v>1971</v>
      </c>
      <c r="G246" s="164" t="s">
        <v>4</v>
      </c>
      <c r="H246" s="164" t="n">
        <v>1</v>
      </c>
      <c r="I246" s="164" t="n">
        <v>5</v>
      </c>
      <c r="J246" s="18" t="n">
        <v>672.9</v>
      </c>
      <c r="K246" s="18" t="n">
        <v>672.9</v>
      </c>
      <c r="L246" s="18" t="n">
        <v>0</v>
      </c>
      <c r="M246" s="165" t="n">
        <v>33</v>
      </c>
      <c r="N246" s="16" t="n">
        <f aca="false" ca="false" dt2D="false" dtr="false" t="normal">SUM(P246:T246)</f>
        <v>4289744.53</v>
      </c>
      <c r="O246" s="18" t="n"/>
      <c r="P246" s="18" t="n">
        <v>1327718.85</v>
      </c>
      <c r="Q246" s="18" t="n"/>
      <c r="R246" s="18" t="n">
        <v>389981.19</v>
      </c>
      <c r="S246" s="18" t="n">
        <v>2572044.49</v>
      </c>
      <c r="T246" s="18" t="n"/>
      <c r="U246" s="18" t="n">
        <v>6508.08184848994</v>
      </c>
      <c r="V246" s="18" t="n">
        <v>1260.283020064</v>
      </c>
      <c r="W246" s="212" t="n">
        <v>2023</v>
      </c>
      <c r="X246" s="103" t="n">
        <v>317913.6</v>
      </c>
      <c r="Y246" s="3" t="n">
        <f aca="false" ca="false" dt2D="false" dtr="false" t="normal">+(K246*10.5+L246*21)*12*0.85</f>
        <v>72067.59</v>
      </c>
      <c r="Z246" s="3" t="n">
        <f aca="false" ca="false" dt2D="false" dtr="false" t="normal">+(K246*10.5+L246*21)*12*30</f>
        <v>2543562</v>
      </c>
      <c r="AB246" s="158" t="n">
        <f aca="false" ca="true" dt2D="false" dtr="false" t="normal">SUBTOTAL(9, AC246:AQ246)</f>
        <v>4289744.53</v>
      </c>
      <c r="AC246" s="18" t="n"/>
      <c r="AD246" s="18" t="n"/>
      <c r="AE246" s="18" t="n">
        <v>1021002.86</v>
      </c>
      <c r="AF246" s="18" t="n"/>
      <c r="AG246" s="18" t="n">
        <v>0</v>
      </c>
      <c r="AH246" s="18" t="n"/>
      <c r="AI246" s="18" t="n"/>
      <c r="AJ246" s="18" t="n">
        <v>0</v>
      </c>
      <c r="AK246" s="18" t="n"/>
      <c r="AL246" s="18" t="n">
        <v>0</v>
      </c>
      <c r="AM246" s="18" t="n">
        <v>3268741.67</v>
      </c>
      <c r="AN246" s="18" t="n"/>
      <c r="AO246" s="18" t="n"/>
      <c r="AP246" s="18" t="n"/>
      <c r="AQ246" s="24" t="n"/>
      <c r="AR246" s="3" t="n">
        <f aca="false" ca="false" dt2D="false" dtr="false" t="normal">N246-AB246</f>
        <v>0</v>
      </c>
    </row>
    <row outlineLevel="0" r="247">
      <c r="A247" s="5" t="n">
        <f aca="false" ca="false" dt2D="false" dtr="false" t="normal">+A246+1</f>
        <v>229</v>
      </c>
      <c r="B247" s="159" t="n">
        <f aca="false" ca="false" dt2D="false" dtr="false" t="normal">+B246+1</f>
        <v>41</v>
      </c>
      <c r="C247" s="6" t="s">
        <v>177</v>
      </c>
      <c r="D247" s="6" t="s">
        <v>220</v>
      </c>
      <c r="E247" s="164" t="n">
        <v>1989</v>
      </c>
      <c r="F247" s="164" t="n">
        <v>2017</v>
      </c>
      <c r="G247" s="164" t="s">
        <v>4</v>
      </c>
      <c r="H247" s="164" t="n">
        <v>9</v>
      </c>
      <c r="I247" s="164" t="n">
        <v>3</v>
      </c>
      <c r="J247" s="18" t="n">
        <v>7106.9</v>
      </c>
      <c r="K247" s="18" t="n">
        <v>6247.4</v>
      </c>
      <c r="L247" s="18" t="n">
        <v>0</v>
      </c>
      <c r="M247" s="165" t="n">
        <v>249</v>
      </c>
      <c r="N247" s="16" t="n">
        <f aca="false" ca="false" dt2D="false" dtr="false" t="normal">SUM(P247:T247)</f>
        <v>21394398.21</v>
      </c>
      <c r="O247" s="18" t="n"/>
      <c r="P247" s="18" t="n"/>
      <c r="Q247" s="18" t="n"/>
      <c r="R247" s="18" t="n">
        <v>3566852.3592</v>
      </c>
      <c r="S247" s="18" t="n">
        <v>17827545.8508</v>
      </c>
      <c r="T247" s="18" t="n"/>
      <c r="U247" s="18" t="n">
        <v>7522.68767618924</v>
      </c>
      <c r="V247" s="18" t="n">
        <v>7522.68767618924</v>
      </c>
      <c r="W247" s="212" t="n">
        <v>2023</v>
      </c>
      <c r="X247" s="1" t="n">
        <v>2787898.61</v>
      </c>
      <c r="Y247" s="3" t="n">
        <f aca="false" ca="false" dt2D="false" dtr="false" t="normal">+(K247*13.29+L247*22.52)*12*0.85</f>
        <v>846885.0491999999</v>
      </c>
      <c r="Z247" s="3" t="n">
        <f aca="false" ca="false" dt2D="false" dtr="false" t="normal">+(K247*13.29+L247*22.52)*12*30-131853.4</f>
        <v>29758207.16</v>
      </c>
      <c r="AB247" s="23" t="n">
        <f aca="false" ca="true" dt2D="false" dtr="false" t="normal">SUBTOTAL(9, AC247:AQ247)</f>
        <v>21394398.21</v>
      </c>
      <c r="AC247" s="18" t="n"/>
      <c r="AD247" s="18" t="n">
        <v>0</v>
      </c>
      <c r="AE247" s="18" t="n"/>
      <c r="AF247" s="18" t="n"/>
      <c r="AG247" s="18" t="n">
        <v>0</v>
      </c>
      <c r="AH247" s="18" t="n"/>
      <c r="AI247" s="18" t="n"/>
      <c r="AJ247" s="18" t="n">
        <v>0</v>
      </c>
      <c r="AK247" s="18" t="n"/>
      <c r="AL247" s="18" t="n">
        <v>0</v>
      </c>
      <c r="AM247" s="18" t="n">
        <v>21288932.28</v>
      </c>
      <c r="AN247" s="18" t="n">
        <v>0</v>
      </c>
      <c r="AO247" s="18" t="n"/>
      <c r="AP247" s="18" t="n"/>
      <c r="AQ247" s="156" t="n">
        <v>105465.93</v>
      </c>
      <c r="AR247" s="3" t="n">
        <f aca="false" ca="false" dt2D="false" dtr="false" t="normal">N247-AB247</f>
        <v>0</v>
      </c>
    </row>
    <row outlineLevel="0" r="248">
      <c r="A248" s="5" t="n">
        <f aca="false" ca="false" dt2D="false" dtr="false" t="normal">+A247+1</f>
        <v>230</v>
      </c>
      <c r="B248" s="159" t="n">
        <f aca="false" ca="false" dt2D="false" dtr="false" t="normal">+B247+1</f>
        <v>42</v>
      </c>
      <c r="C248" s="6" t="s">
        <v>177</v>
      </c>
      <c r="D248" s="6" t="s">
        <v>222</v>
      </c>
      <c r="E248" s="164" t="n">
        <v>1989</v>
      </c>
      <c r="F248" s="164" t="n">
        <v>2017</v>
      </c>
      <c r="G248" s="164" t="s">
        <v>4</v>
      </c>
      <c r="H248" s="164" t="n">
        <v>9</v>
      </c>
      <c r="I248" s="164" t="n">
        <v>3</v>
      </c>
      <c r="J248" s="18" t="n">
        <v>8049.4</v>
      </c>
      <c r="K248" s="18" t="n">
        <v>6639.6</v>
      </c>
      <c r="L248" s="18" t="n">
        <v>0</v>
      </c>
      <c r="M248" s="165" t="n">
        <v>258</v>
      </c>
      <c r="N248" s="16" t="n">
        <f aca="false" ca="false" dt2D="false" dtr="false" t="normal">SUM(P248:T248)</f>
        <v>6217970.3</v>
      </c>
      <c r="O248" s="18" t="n"/>
      <c r="P248" s="18" t="n">
        <v>394840.28</v>
      </c>
      <c r="Q248" s="18" t="n"/>
      <c r="R248" s="18" t="n">
        <v>1975930.73</v>
      </c>
      <c r="S248" s="18" t="n">
        <v>3847199.29</v>
      </c>
      <c r="T248" s="17" t="n"/>
      <c r="U248" s="17" t="n">
        <v>1291.17205516794</v>
      </c>
      <c r="V248" s="18" t="n">
        <v>1291.17205516794</v>
      </c>
      <c r="W248" s="212" t="n">
        <v>2023</v>
      </c>
      <c r="X248" s="12" t="n">
        <f aca="false" ca="false" dt2D="false" dtr="false" t="normal">4261157.78-R73</f>
        <v>4261157.78</v>
      </c>
      <c r="Y248" s="3" t="n">
        <f aca="false" ca="false" dt2D="false" dtr="false" t="normal">+(K248*13.29+L248*22.52)*12*0.85</f>
        <v>900050.8968</v>
      </c>
      <c r="Z248" s="3" t="n">
        <f aca="false" ca="false" dt2D="false" dtr="false" t="normal">+(K248*13.29+L248*22.52)*12*30-14694406.85-S73</f>
        <v>14226189.110000001</v>
      </c>
      <c r="AB248" s="23" t="n">
        <f aca="false" ca="true" dt2D="false" dtr="false" t="normal">SUBTOTAL(9, AC248:AQ248)</f>
        <v>6217970.3</v>
      </c>
      <c r="AC248" s="18" t="n">
        <v>3795804.42</v>
      </c>
      <c r="AD248" s="18" t="n">
        <v>0</v>
      </c>
      <c r="AE248" s="18" t="n"/>
      <c r="AF248" s="18" t="n">
        <v>2422165.88</v>
      </c>
      <c r="AG248" s="18" t="n">
        <v>0</v>
      </c>
      <c r="AH248" s="18" t="n"/>
      <c r="AI248" s="18" t="n"/>
      <c r="AJ248" s="18" t="n">
        <v>0</v>
      </c>
      <c r="AK248" s="18" t="n"/>
      <c r="AL248" s="18" t="n">
        <v>0</v>
      </c>
      <c r="AM248" s="18" t="n"/>
      <c r="AN248" s="18" t="n">
        <v>0</v>
      </c>
      <c r="AO248" s="18" t="n"/>
      <c r="AP248" s="18" t="n"/>
      <c r="AQ248" s="24" t="n"/>
      <c r="AR248" s="3" t="n">
        <f aca="false" ca="false" dt2D="false" dtr="false" t="normal">N248-AB248</f>
        <v>0</v>
      </c>
    </row>
    <row outlineLevel="0" r="249">
      <c r="A249" s="5" t="n">
        <f aca="false" ca="false" dt2D="false" dtr="false" t="normal">+A248+1</f>
        <v>231</v>
      </c>
      <c r="B249" s="159" t="n">
        <f aca="false" ca="false" dt2D="false" dtr="false" t="normal">+B248+1</f>
        <v>43</v>
      </c>
      <c r="C249" s="6" t="s">
        <v>177</v>
      </c>
      <c r="D249" s="6" t="s">
        <v>224</v>
      </c>
      <c r="E249" s="164" t="n">
        <v>1994</v>
      </c>
      <c r="F249" s="164" t="n">
        <v>2013</v>
      </c>
      <c r="G249" s="164" t="s">
        <v>4</v>
      </c>
      <c r="H249" s="164" t="n">
        <v>9</v>
      </c>
      <c r="I249" s="164" t="n">
        <v>3</v>
      </c>
      <c r="J249" s="18" t="n">
        <v>7891.7</v>
      </c>
      <c r="K249" s="18" t="n">
        <v>6600.8</v>
      </c>
      <c r="L249" s="18" t="n">
        <v>0</v>
      </c>
      <c r="M249" s="165" t="n">
        <v>291</v>
      </c>
      <c r="N249" s="16" t="n">
        <f aca="false" ca="false" dt2D="false" dtr="false" t="normal">SUM(P249:T249)</f>
        <v>2553789.86</v>
      </c>
      <c r="O249" s="18" t="n"/>
      <c r="P249" s="18" t="n"/>
      <c r="Q249" s="18" t="n"/>
      <c r="R249" s="18" t="n"/>
      <c r="S249" s="12" t="n">
        <v>2553789.86</v>
      </c>
      <c r="T249" s="17" t="n"/>
      <c r="U249" s="17" t="n">
        <v>1911.37085745352</v>
      </c>
      <c r="V249" s="18" t="n">
        <v>1911.37085745352</v>
      </c>
      <c r="W249" s="212" t="n">
        <v>2023</v>
      </c>
      <c r="X249" s="12" t="e">
        <f aca="false" ca="false" dt2D="false" dtr="false" t="normal">4161512.94-301266.52-3086934.55-#REF!</f>
        <v>#REF!</v>
      </c>
      <c r="Y249" s="3" t="n">
        <f aca="false" ca="false" dt2D="false" dtr="false" t="normal">+(K249*13.29+L249*22.52)*12*0.85</f>
        <v>894791.2464</v>
      </c>
      <c r="Z249" s="3" t="e">
        <f aca="false" ca="false" dt2D="false" dtr="false" t="normal">+(K249*13.29+L249*22.52)*12*30-1198680.53-8354818.57-#REF!</f>
        <v>#REF!</v>
      </c>
      <c r="AB249" s="23" t="n">
        <f aca="false" ca="true" dt2D="false" dtr="false" t="normal">SUBTOTAL(9, AC249:AQ249)</f>
        <v>2553789.8600000003</v>
      </c>
      <c r="AC249" s="18" t="n"/>
      <c r="AD249" s="18" t="n">
        <v>0</v>
      </c>
      <c r="AE249" s="18" t="n"/>
      <c r="AF249" s="18" t="n">
        <v>2451411.64</v>
      </c>
      <c r="AG249" s="18" t="n"/>
      <c r="AH249" s="18" t="n"/>
      <c r="AI249" s="18" t="n"/>
      <c r="AJ249" s="18" t="n">
        <v>0</v>
      </c>
      <c r="AK249" s="18" t="n"/>
      <c r="AL249" s="18" t="n">
        <v>0</v>
      </c>
      <c r="AM249" s="18" t="n"/>
      <c r="AN249" s="18" t="n">
        <v>0</v>
      </c>
      <c r="AO249" s="18" t="n">
        <v>96378.22</v>
      </c>
      <c r="AP249" s="18" t="n">
        <v>6000</v>
      </c>
      <c r="AQ249" s="24" t="n"/>
      <c r="AR249" s="3" t="n">
        <f aca="false" ca="false" dt2D="false" dtr="false" t="normal">N249-AB249</f>
        <v>0</v>
      </c>
    </row>
    <row outlineLevel="0" r="250">
      <c r="A250" s="5" t="n">
        <f aca="false" ca="false" dt2D="false" dtr="false" t="normal">+A249+1</f>
        <v>232</v>
      </c>
      <c r="B250" s="159" t="n">
        <f aca="false" ca="false" dt2D="false" dtr="false" t="normal">+B249+1</f>
        <v>44</v>
      </c>
      <c r="C250" s="6" t="s">
        <v>177</v>
      </c>
      <c r="D250" s="6" t="s">
        <v>226</v>
      </c>
      <c r="E250" s="164" t="n">
        <v>1987</v>
      </c>
      <c r="F250" s="164" t="n">
        <v>2013</v>
      </c>
      <c r="G250" s="164" t="s">
        <v>4</v>
      </c>
      <c r="H250" s="164" t="n">
        <v>3</v>
      </c>
      <c r="I250" s="164" t="n">
        <v>3</v>
      </c>
      <c r="J250" s="18" t="n">
        <v>1395.8</v>
      </c>
      <c r="K250" s="18" t="n">
        <v>1268</v>
      </c>
      <c r="L250" s="18" t="n">
        <v>0</v>
      </c>
      <c r="M250" s="165" t="n">
        <v>63</v>
      </c>
      <c r="N250" s="16" t="n">
        <f aca="false" ca="false" dt2D="false" dtr="false" t="normal">SUM(P250:T250)</f>
        <v>7129845.5600000005</v>
      </c>
      <c r="O250" s="18" t="n"/>
      <c r="P250" s="18" t="n">
        <v>6889278.41</v>
      </c>
      <c r="Q250" s="18" t="n"/>
      <c r="R250" s="18" t="n">
        <v>227914.34</v>
      </c>
      <c r="S250" s="18" t="n">
        <v>12652.8100000001</v>
      </c>
      <c r="T250" s="17" t="n"/>
      <c r="U250" s="17" t="n">
        <v>5956.42108192644</v>
      </c>
      <c r="V250" s="18" t="n">
        <v>5956.42108192644</v>
      </c>
      <c r="W250" s="212" t="n">
        <v>2023</v>
      </c>
      <c r="X250" s="12" t="n">
        <f aca="false" ca="false" dt2D="false" dtr="false" t="normal">502354.09-R75</f>
        <v>89967.44</v>
      </c>
      <c r="Y250" s="3" t="n">
        <f aca="false" ca="false" dt2D="false" dtr="false" t="normal">+(K250*10+L250*20)*12*0.85</f>
        <v>129336</v>
      </c>
      <c r="Z250" s="3" t="n">
        <f aca="false" ca="false" dt2D="false" dtr="false" t="normal">+(K250*10+L250*20)*12*30-S75</f>
        <v>-1097293.78188272</v>
      </c>
      <c r="AB250" s="23" t="n">
        <f aca="false" ca="true" dt2D="false" dtr="false" t="normal">SUBTOTAL(9, AC250:AQ250)</f>
        <v>7129845.5600000005</v>
      </c>
      <c r="AC250" s="18" t="n">
        <v>3308322.58</v>
      </c>
      <c r="AD250" s="18" t="n">
        <v>2035764.2</v>
      </c>
      <c r="AE250" s="18" t="n">
        <v>882116.62</v>
      </c>
      <c r="AF250" s="18" t="n">
        <v>903642.16</v>
      </c>
      <c r="AG250" s="18" t="n">
        <v>0</v>
      </c>
      <c r="AH250" s="18" t="n"/>
      <c r="AI250" s="18" t="n"/>
      <c r="AJ250" s="18" t="n">
        <v>0</v>
      </c>
      <c r="AK250" s="18" t="n">
        <v>0</v>
      </c>
      <c r="AL250" s="18" t="n">
        <v>0</v>
      </c>
      <c r="AM250" s="18" t="n"/>
      <c r="AN250" s="18" t="n">
        <v>0</v>
      </c>
      <c r="AO250" s="18" t="n"/>
      <c r="AP250" s="18" t="n"/>
      <c r="AQ250" s="24" t="n"/>
      <c r="AR250" s="3" t="n">
        <f aca="false" ca="false" dt2D="false" dtr="false" t="normal">N250-AB250</f>
        <v>0</v>
      </c>
    </row>
    <row outlineLevel="0" r="251">
      <c r="A251" s="5" t="n">
        <f aca="false" ca="false" dt2D="false" dtr="false" t="normal">+A250+1</f>
        <v>233</v>
      </c>
      <c r="B251" s="159" t="n">
        <f aca="false" ca="false" dt2D="false" dtr="false" t="normal">+B250+1</f>
        <v>45</v>
      </c>
      <c r="C251" s="6" t="s">
        <v>177</v>
      </c>
      <c r="D251" s="6" t="s">
        <v>334</v>
      </c>
      <c r="E251" s="164" t="n">
        <v>1985</v>
      </c>
      <c r="F251" s="164" t="n">
        <v>2013</v>
      </c>
      <c r="G251" s="164" t="s">
        <v>4</v>
      </c>
      <c r="H251" s="164" t="n">
        <v>3</v>
      </c>
      <c r="I251" s="164" t="n">
        <v>3</v>
      </c>
      <c r="J251" s="18" t="n">
        <v>1439.1</v>
      </c>
      <c r="K251" s="18" t="n">
        <v>1284.3</v>
      </c>
      <c r="L251" s="18" t="n">
        <v>0</v>
      </c>
      <c r="M251" s="165" t="n">
        <v>55</v>
      </c>
      <c r="N251" s="16" t="n">
        <f aca="false" ca="false" dt2D="false" dtr="false" t="normal">SUM(P251:T251)</f>
        <v>14942570.329999998</v>
      </c>
      <c r="O251" s="18" t="n"/>
      <c r="P251" s="17" t="n">
        <f aca="false" ca="false" dt2D="false" dtr="false" t="normal">2833527.66+196116.1</f>
        <v>3029643.7600000002</v>
      </c>
      <c r="Q251" s="18" t="n"/>
      <c r="R251" s="18" t="n">
        <v>771312.78</v>
      </c>
      <c r="S251" s="18" t="n">
        <v>11141613.79</v>
      </c>
      <c r="T251" s="17" t="n"/>
      <c r="U251" s="17" t="n">
        <v>32142.3815804425</v>
      </c>
      <c r="V251" s="18" t="n">
        <v>1262.283020064</v>
      </c>
      <c r="W251" s="212" t="n">
        <v>2023</v>
      </c>
      <c r="X251" s="103" t="n">
        <v>633764.25</v>
      </c>
      <c r="Y251" s="3" t="n">
        <f aca="false" ca="false" dt2D="false" dtr="false" t="normal">+(K251*10.5+L251*21)*12*0.85</f>
        <v>137548.53</v>
      </c>
      <c r="Z251" s="3" t="n">
        <f aca="false" ca="false" dt2D="false" dtr="false" t="normal">+(K251*10.5+L251*21)*12*30</f>
        <v>4854654</v>
      </c>
      <c r="AB251" s="158" t="n">
        <f aca="false" ca="true" dt2D="false" dtr="false" t="normal">SUBTOTAL(9, AC251:AQ251)</f>
        <v>14942570.33</v>
      </c>
      <c r="AC251" s="18" t="n">
        <v>0</v>
      </c>
      <c r="AD251" s="18" t="n">
        <v>0</v>
      </c>
      <c r="AE251" s="18" t="n">
        <v>0</v>
      </c>
      <c r="AF251" s="18" t="n"/>
      <c r="AG251" s="18" t="n">
        <v>0</v>
      </c>
      <c r="AH251" s="18" t="n"/>
      <c r="AI251" s="18" t="n"/>
      <c r="AJ251" s="18" t="n"/>
      <c r="AK251" s="18" t="n">
        <v>2182360.9</v>
      </c>
      <c r="AL251" s="18" t="n">
        <v>0</v>
      </c>
      <c r="AM251" s="18" t="n">
        <v>10009863.22</v>
      </c>
      <c r="AN251" s="18" t="n">
        <v>2520155.45</v>
      </c>
      <c r="AO251" s="18" t="n">
        <v>212190.76</v>
      </c>
      <c r="AP251" s="18" t="n">
        <v>18000</v>
      </c>
      <c r="AQ251" s="24" t="n"/>
      <c r="AR251" s="3" t="n">
        <f aca="false" ca="false" dt2D="false" dtr="false" t="normal">N251-AB251</f>
        <v>0</v>
      </c>
    </row>
    <row outlineLevel="0" r="252">
      <c r="A252" s="5" t="n">
        <f aca="false" ca="false" dt2D="false" dtr="false" t="normal">+A251+1</f>
        <v>234</v>
      </c>
      <c r="B252" s="159" t="n">
        <f aca="false" ca="false" dt2D="false" dtr="false" t="normal">+B251+1</f>
        <v>46</v>
      </c>
      <c r="C252" s="138" t="s">
        <v>177</v>
      </c>
      <c r="D252" s="138" t="s">
        <v>345</v>
      </c>
      <c r="E252" s="139" t="n">
        <v>1974</v>
      </c>
      <c r="F252" s="139" t="n">
        <v>2013</v>
      </c>
      <c r="G252" s="139" t="s">
        <v>4</v>
      </c>
      <c r="H252" s="139" t="n">
        <v>4</v>
      </c>
      <c r="I252" s="139" t="n">
        <v>4</v>
      </c>
      <c r="J252" s="17" t="n">
        <v>4783.36</v>
      </c>
      <c r="K252" s="17" t="n">
        <v>3510.2</v>
      </c>
      <c r="L252" s="17" t="n">
        <v>0</v>
      </c>
      <c r="M252" s="140" t="n">
        <v>164</v>
      </c>
      <c r="N252" s="16" t="n">
        <f aca="false" ca="false" dt2D="false" dtr="false" t="normal">SUM(P252:T252)</f>
        <v>950120</v>
      </c>
      <c r="O252" s="17" t="n"/>
      <c r="P252" s="18" t="n"/>
      <c r="Q252" s="18" t="n"/>
      <c r="R252" s="18" t="n">
        <v>621595.65</v>
      </c>
      <c r="S252" s="18" t="n">
        <v>328524.35</v>
      </c>
      <c r="T252" s="17" t="n"/>
      <c r="U252" s="17" t="n">
        <v>375.765852777619</v>
      </c>
      <c r="V252" s="17" t="n">
        <v>375.765852777619</v>
      </c>
      <c r="W252" s="212" t="n">
        <v>2023</v>
      </c>
      <c r="X252" s="1" t="n">
        <f aca="false" ca="false" dt2D="false" dtr="false" t="normal">1511669.96-960081.54</f>
        <v>551588.4199999999</v>
      </c>
      <c r="Y252" s="3" t="n">
        <f aca="false" ca="false" dt2D="false" dtr="false" t="normal">+(K252*10+L252*20)*12*0.85</f>
        <v>358040.39999999997</v>
      </c>
      <c r="Z252" s="3" t="n">
        <f aca="false" ca="false" dt2D="false" dtr="false" t="normal">+(K252*10+L252*20)*12*30-10097.67</f>
        <v>12626622.33</v>
      </c>
      <c r="AB252" s="23" t="n">
        <f aca="false" ca="true" dt2D="false" dtr="false" t="normal">SUBTOTAL(9, AC252:AQ252)</f>
        <v>950120</v>
      </c>
      <c r="AC252" s="18" t="n">
        <v>0</v>
      </c>
      <c r="AD252" s="18" t="n">
        <v>0</v>
      </c>
      <c r="AE252" s="18" t="n">
        <v>0</v>
      </c>
      <c r="AF252" s="18" t="n">
        <v>0</v>
      </c>
      <c r="AG252" s="18" t="n">
        <v>950120</v>
      </c>
      <c r="AH252" s="18" t="n"/>
      <c r="AI252" s="18" t="n"/>
      <c r="AJ252" s="18" t="n">
        <v>0</v>
      </c>
      <c r="AK252" s="18" t="n">
        <v>0</v>
      </c>
      <c r="AL252" s="18" t="n">
        <v>0</v>
      </c>
      <c r="AM252" s="18" t="n">
        <v>0</v>
      </c>
      <c r="AN252" s="18" t="n"/>
      <c r="AO252" s="18" t="n"/>
      <c r="AP252" s="18" t="n"/>
      <c r="AQ252" s="24" t="n"/>
      <c r="AR252" s="3" t="n">
        <f aca="false" ca="false" dt2D="false" dtr="false" t="normal">N252-AB252</f>
        <v>0</v>
      </c>
    </row>
    <row customFormat="true" ht="15" outlineLevel="0" r="253" s="184">
      <c r="A253" s="5" t="n">
        <f aca="false" ca="false" dt2D="false" dtr="false" t="normal">+A252+1</f>
        <v>235</v>
      </c>
      <c r="B253" s="159" t="n">
        <f aca="false" ca="false" dt2D="false" dtr="false" t="normal">+B252+1</f>
        <v>47</v>
      </c>
      <c r="C253" s="6" t="s">
        <v>177</v>
      </c>
      <c r="D253" s="6" t="s">
        <v>346</v>
      </c>
      <c r="E253" s="139" t="s">
        <v>347</v>
      </c>
      <c r="F253" s="139" t="n"/>
      <c r="G253" s="139" t="s">
        <v>4</v>
      </c>
      <c r="H253" s="139" t="s">
        <v>159</v>
      </c>
      <c r="I253" s="139" t="s">
        <v>5</v>
      </c>
      <c r="J253" s="17" t="n">
        <v>1276.4</v>
      </c>
      <c r="K253" s="17" t="n">
        <v>1181.5</v>
      </c>
      <c r="L253" s="17" t="n">
        <v>48.4</v>
      </c>
      <c r="M253" s="140" t="n">
        <v>69</v>
      </c>
      <c r="N253" s="16" t="n">
        <f aca="false" ca="false" dt2D="false" dtr="false" t="normal">SUM(P253:T253)</f>
        <v>5220768.839999999</v>
      </c>
      <c r="O253" s="18" t="n">
        <v>0</v>
      </c>
      <c r="P253" s="18" t="n">
        <v>1659806.65183522</v>
      </c>
      <c r="Q253" s="18" t="n">
        <v>0</v>
      </c>
      <c r="R253" s="18" t="n">
        <v>601879.408936629</v>
      </c>
      <c r="S253" s="18" t="n">
        <v>2959082.77922815</v>
      </c>
      <c r="T253" s="18" t="n"/>
      <c r="U253" s="18" t="n">
        <v>6192.66311623802</v>
      </c>
      <c r="V253" s="18" t="n">
        <v>1267.283020064</v>
      </c>
      <c r="W253" s="212" t="n">
        <v>2023</v>
      </c>
      <c r="X253" s="103" t="n">
        <v>687944.89</v>
      </c>
      <c r="Y253" s="3" t="n">
        <f aca="false" ca="false" dt2D="false" dtr="false" t="normal">+(K253*10.5+L253*21)*12*0.85</f>
        <v>136905.93</v>
      </c>
      <c r="Z253" s="3" t="n">
        <f aca="false" ca="false" dt2D="false" dtr="false" t="normal">+(K253*10.5+L253*21)*12*30</f>
        <v>4831974</v>
      </c>
      <c r="AA253" s="3" t="n"/>
      <c r="AB253" s="158" t="n">
        <f aca="false" ca="true" dt2D="false" dtr="false" t="normal">SUBTOTAL(9, AC253:AQ253)</f>
        <v>5220768.84</v>
      </c>
      <c r="AC253" s="18" t="n"/>
      <c r="AD253" s="18" t="n"/>
      <c r="AE253" s="18" t="n">
        <v>1355646.84</v>
      </c>
      <c r="AF253" s="18" t="n"/>
      <c r="AG253" s="18" t="n"/>
      <c r="AH253" s="18" t="n"/>
      <c r="AI253" s="18" t="n"/>
      <c r="AJ253" s="18" t="n">
        <v>0</v>
      </c>
      <c r="AK253" s="18" t="n">
        <v>3865122</v>
      </c>
      <c r="AL253" s="18" t="n">
        <v>0</v>
      </c>
      <c r="AM253" s="18" t="n"/>
      <c r="AN253" s="18" t="n"/>
      <c r="AO253" s="18" t="n"/>
      <c r="AP253" s="18" t="n"/>
      <c r="AQ253" s="24" t="n"/>
      <c r="AR253" s="3" t="n">
        <f aca="false" ca="false" dt2D="false" dtr="false" t="normal">N253-AB253</f>
        <v>0</v>
      </c>
      <c r="AT253" s="187" t="n"/>
    </row>
    <row outlineLevel="0" r="254">
      <c r="A254" s="5" t="n">
        <f aca="false" ca="false" dt2D="false" dtr="false" t="normal">+A253+1</f>
        <v>236</v>
      </c>
      <c r="B254" s="159" t="n">
        <f aca="false" ca="false" dt2D="false" dtr="false" t="normal">+B253+1</f>
        <v>48</v>
      </c>
      <c r="C254" s="6" t="s">
        <v>177</v>
      </c>
      <c r="D254" s="6" t="s">
        <v>522</v>
      </c>
      <c r="E254" s="139" t="n">
        <v>1973</v>
      </c>
      <c r="F254" s="139" t="n">
        <v>2013</v>
      </c>
      <c r="G254" s="139" t="s">
        <v>4</v>
      </c>
      <c r="H254" s="139" t="n">
        <v>5</v>
      </c>
      <c r="I254" s="139" t="n">
        <v>6</v>
      </c>
      <c r="J254" s="17" t="n">
        <v>5136.85</v>
      </c>
      <c r="K254" s="17" t="n">
        <v>4692.05</v>
      </c>
      <c r="L254" s="17" t="n">
        <v>0</v>
      </c>
      <c r="M254" s="140" t="n">
        <v>215</v>
      </c>
      <c r="N254" s="16" t="n">
        <f aca="false" ca="false" dt2D="false" dtr="false" t="normal">SUM(P254:T254)</f>
        <v>16398542.430000002</v>
      </c>
      <c r="O254" s="18" t="n"/>
      <c r="P254" s="18" t="n">
        <v>3282328.97</v>
      </c>
      <c r="Q254" s="18" t="n"/>
      <c r="R254" s="18" t="n">
        <v>2763756.33</v>
      </c>
      <c r="S254" s="18" t="n">
        <v>10352457.13</v>
      </c>
      <c r="T254" s="18" t="n"/>
      <c r="U254" s="17" t="n">
        <v>3589.61578093925</v>
      </c>
      <c r="V254" s="17" t="n">
        <v>3589.61578093925</v>
      </c>
      <c r="W254" s="212" t="n">
        <v>2023</v>
      </c>
      <c r="X254" s="1" t="n">
        <v>2285167.23</v>
      </c>
      <c r="Y254" s="3" t="n">
        <f aca="false" ca="false" dt2D="false" dtr="false" t="normal">+(K254*10+L254*20)*12*0.85</f>
        <v>478589.1</v>
      </c>
      <c r="Z254" s="3" t="n">
        <f aca="false" ca="false" dt2D="false" dtr="false" t="normal">+(K254*10+L254*20)*12*30</f>
        <v>16891380</v>
      </c>
      <c r="AB254" s="23" t="n">
        <f aca="false" ca="true" dt2D="false" dtr="false" t="normal">SUBTOTAL(9, AC254:AQ254)</f>
        <v>16398542.43</v>
      </c>
      <c r="AC254" s="18" t="n">
        <v>0</v>
      </c>
      <c r="AD254" s="18" t="n">
        <v>0</v>
      </c>
      <c r="AE254" s="18" t="n">
        <v>0</v>
      </c>
      <c r="AF254" s="18" t="n">
        <v>0</v>
      </c>
      <c r="AG254" s="18" t="n">
        <v>1554723.07</v>
      </c>
      <c r="AH254" s="18" t="n"/>
      <c r="AI254" s="18" t="n"/>
      <c r="AJ254" s="18" t="n">
        <v>0</v>
      </c>
      <c r="AK254" s="18" t="n">
        <v>0</v>
      </c>
      <c r="AL254" s="18" t="n">
        <v>0</v>
      </c>
      <c r="AM254" s="18" t="n"/>
      <c r="AN254" s="18" t="n">
        <v>14843819.36</v>
      </c>
      <c r="AO254" s="18" t="n"/>
      <c r="AP254" s="18" t="n"/>
      <c r="AQ254" s="24" t="n"/>
      <c r="AR254" s="3" t="n">
        <f aca="false" ca="false" dt2D="false" dtr="false" t="normal">N254-AB254</f>
        <v>0</v>
      </c>
    </row>
    <row outlineLevel="0" r="255">
      <c r="A255" s="5" t="n">
        <f aca="false" ca="false" dt2D="false" dtr="false" t="normal">+A254+1</f>
        <v>237</v>
      </c>
      <c r="B255" s="159" t="n">
        <f aca="false" ca="false" dt2D="false" dtr="false" t="normal">+B254+1</f>
        <v>49</v>
      </c>
      <c r="C255" s="6" t="s">
        <v>177</v>
      </c>
      <c r="D255" s="6" t="s">
        <v>523</v>
      </c>
      <c r="E255" s="139" t="n">
        <v>1986</v>
      </c>
      <c r="F255" s="139" t="n">
        <v>2005</v>
      </c>
      <c r="G255" s="139" t="s">
        <v>4</v>
      </c>
      <c r="H255" s="139" t="n">
        <v>5</v>
      </c>
      <c r="I255" s="139" t="n">
        <v>3</v>
      </c>
      <c r="J255" s="17" t="n">
        <v>5898.64</v>
      </c>
      <c r="K255" s="17" t="n">
        <v>4269.5</v>
      </c>
      <c r="L255" s="17" t="n">
        <v>369.2</v>
      </c>
      <c r="M255" s="140" t="n">
        <v>316</v>
      </c>
      <c r="N255" s="16" t="n">
        <f aca="false" ca="false" dt2D="false" dtr="false" t="normal">SUM(P255:T255)</f>
        <v>25543712.86</v>
      </c>
      <c r="O255" s="18" t="n"/>
      <c r="P255" s="216" t="n">
        <f aca="false" ca="false" dt2D="false" dtr="false" t="normal">1594920.28+1393581.33</f>
        <v>2988501.6100000003</v>
      </c>
      <c r="Q255" s="18" t="n"/>
      <c r="R255" s="18" t="n">
        <v>3391889.52</v>
      </c>
      <c r="S255" s="18" t="n">
        <v>19163321.73</v>
      </c>
      <c r="T255" s="18" t="n"/>
      <c r="U255" s="18" t="n">
        <v>11289.5269511784</v>
      </c>
      <c r="V255" s="18" t="n">
        <v>1270.283020064</v>
      </c>
      <c r="W255" s="212" t="n">
        <v>2023</v>
      </c>
      <c r="X255" s="103" t="n">
        <v>2851840.42</v>
      </c>
      <c r="Y255" s="3" t="n">
        <f aca="false" ca="false" dt2D="false" dtr="false" t="normal">+(K255*10.5+L255*21)*12*0.85</f>
        <v>536346.0899999999</v>
      </c>
      <c r="Z255" s="3" t="n">
        <f aca="false" ca="false" dt2D="false" dtr="false" t="normal">+(K255*10.5+L255*21)*12*30</f>
        <v>18929861.999999996</v>
      </c>
      <c r="AB255" s="158" t="n">
        <f aca="false" ca="true" dt2D="false" dtr="false" t="normal">SUBTOTAL(9, AC255:AQ255)</f>
        <v>25543712.86</v>
      </c>
      <c r="AC255" s="18" t="n">
        <v>6875735.22</v>
      </c>
      <c r="AD255" s="18" t="n">
        <v>3918496.3</v>
      </c>
      <c r="AE255" s="18" t="n">
        <v>3290123.15</v>
      </c>
      <c r="AF255" s="18" t="n">
        <v>2154394.91</v>
      </c>
      <c r="AG255" s="18" t="n">
        <v>0</v>
      </c>
      <c r="AH255" s="18" t="n"/>
      <c r="AI255" s="18" t="n"/>
      <c r="AJ255" s="18" t="n"/>
      <c r="AK255" s="18" t="n">
        <v>9062303.33</v>
      </c>
      <c r="AL255" s="18" t="n">
        <v>0</v>
      </c>
      <c r="AM255" s="18" t="n">
        <v>0</v>
      </c>
      <c r="AN255" s="18" t="n">
        <v>0</v>
      </c>
      <c r="AO255" s="18" t="n">
        <v>218659.95</v>
      </c>
      <c r="AP255" s="18" t="n">
        <v>24000</v>
      </c>
      <c r="AQ255" s="24" t="n"/>
      <c r="AR255" s="3" t="n">
        <f aca="false" ca="false" dt2D="false" dtr="false" t="normal">N255-AB255</f>
        <v>0</v>
      </c>
    </row>
    <row customFormat="true" ht="15" outlineLevel="0" r="256" s="184">
      <c r="A256" s="5" t="n">
        <f aca="false" ca="false" dt2D="false" dtr="false" t="normal">+A255+1</f>
        <v>238</v>
      </c>
      <c r="B256" s="159" t="n">
        <f aca="false" ca="false" dt2D="false" dtr="false" t="normal">+B255+1</f>
        <v>50</v>
      </c>
      <c r="C256" s="6" t="s">
        <v>177</v>
      </c>
      <c r="D256" s="6" t="s">
        <v>352</v>
      </c>
      <c r="E256" s="139" t="s">
        <v>353</v>
      </c>
      <c r="F256" s="139" t="n"/>
      <c r="G256" s="139" t="s">
        <v>4</v>
      </c>
      <c r="H256" s="139" t="s">
        <v>159</v>
      </c>
      <c r="I256" s="139" t="s">
        <v>159</v>
      </c>
      <c r="J256" s="17" t="n">
        <v>3893.1</v>
      </c>
      <c r="K256" s="17" t="n">
        <v>3553.5</v>
      </c>
      <c r="L256" s="17" t="n">
        <v>0</v>
      </c>
      <c r="M256" s="140" t="n">
        <v>150</v>
      </c>
      <c r="N256" s="16" t="n">
        <f aca="false" ca="false" dt2D="false" dtr="false" t="normal">SUM(P256:T256)</f>
        <v>7988406.0600000005</v>
      </c>
      <c r="O256" s="18" t="n">
        <v>0</v>
      </c>
      <c r="P256" s="18" t="n">
        <v>5126386.37</v>
      </c>
      <c r="Q256" s="18" t="n">
        <v>0</v>
      </c>
      <c r="R256" s="18" t="n">
        <v>222417.47</v>
      </c>
      <c r="S256" s="18" t="n">
        <v>2639602.22</v>
      </c>
      <c r="T256" s="18" t="n"/>
      <c r="U256" s="18" t="n">
        <v>17913.0210460528</v>
      </c>
      <c r="V256" s="18" t="n">
        <v>1273.283020064</v>
      </c>
      <c r="W256" s="212" t="n">
        <v>2023</v>
      </c>
      <c r="X256" s="103" t="n">
        <v>1198086.63</v>
      </c>
      <c r="Y256" s="3" t="n">
        <f aca="false" ca="false" dt2D="false" dtr="false" t="normal">+(K256*10.5+L256*21)*12*0.85</f>
        <v>380579.85</v>
      </c>
      <c r="Z256" s="3" t="n">
        <f aca="false" ca="false" dt2D="false" dtr="false" t="normal">+(K256*10.5+L256*21)*12*30</f>
        <v>13432230</v>
      </c>
      <c r="AA256" s="3" t="n"/>
      <c r="AB256" s="158" t="n">
        <f aca="false" ca="true" dt2D="false" dtr="false" t="normal">SUBTOTAL(9, AC256:AQ256)</f>
        <v>7988406.0600000005</v>
      </c>
      <c r="AC256" s="18" t="n"/>
      <c r="AD256" s="18" t="n"/>
      <c r="AE256" s="18" t="n"/>
      <c r="AF256" s="18" t="n"/>
      <c r="AG256" s="18" t="n"/>
      <c r="AH256" s="18" t="n"/>
      <c r="AI256" s="18" t="n"/>
      <c r="AJ256" s="18" t="n"/>
      <c r="AK256" s="18" t="n">
        <v>7724626.69</v>
      </c>
      <c r="AL256" s="18" t="n"/>
      <c r="AM256" s="18" t="n"/>
      <c r="AN256" s="18" t="n"/>
      <c r="AO256" s="18" t="n">
        <v>239779.37</v>
      </c>
      <c r="AP256" s="18" t="n">
        <v>24000</v>
      </c>
      <c r="AQ256" s="24" t="n"/>
      <c r="AR256" s="3" t="n">
        <f aca="false" ca="false" dt2D="false" dtr="false" t="normal">N256-AB256</f>
        <v>0</v>
      </c>
      <c r="AT256" s="187" t="n"/>
    </row>
    <row customFormat="true" ht="15" outlineLevel="0" r="257" s="184">
      <c r="A257" s="5" t="n">
        <f aca="false" ca="false" dt2D="false" dtr="false" t="normal">+A256+1</f>
        <v>239</v>
      </c>
      <c r="B257" s="159" t="n">
        <f aca="false" ca="false" dt2D="false" dtr="false" t="normal">+B256+1</f>
        <v>51</v>
      </c>
      <c r="C257" s="6" t="s">
        <v>177</v>
      </c>
      <c r="D257" s="6" t="s">
        <v>339</v>
      </c>
      <c r="E257" s="139" t="s">
        <v>340</v>
      </c>
      <c r="F257" s="139" t="n"/>
      <c r="G257" s="139" t="s">
        <v>4</v>
      </c>
      <c r="H257" s="139" t="s">
        <v>165</v>
      </c>
      <c r="I257" s="139" t="s">
        <v>159</v>
      </c>
      <c r="J257" s="17" t="n">
        <v>4021.68</v>
      </c>
      <c r="K257" s="17" t="n">
        <v>3212.2</v>
      </c>
      <c r="L257" s="17" t="n">
        <v>201.5</v>
      </c>
      <c r="M257" s="140" t="n">
        <v>152</v>
      </c>
      <c r="N257" s="16" t="n">
        <f aca="false" ca="false" dt2D="false" dtr="false" t="normal">SUM(P257:T257)</f>
        <v>10694243.400000006</v>
      </c>
      <c r="O257" s="217" t="n">
        <v>0</v>
      </c>
      <c r="P257" s="22" t="n">
        <v>149071.000536125</v>
      </c>
      <c r="Q257" s="218" t="n">
        <v>0</v>
      </c>
      <c r="R257" s="18" t="n">
        <v>2328970.2974678</v>
      </c>
      <c r="S257" s="18" t="n">
        <v>8216202.10199608</v>
      </c>
      <c r="T257" s="18" t="n"/>
      <c r="U257" s="18" t="n">
        <v>10424.7416228185</v>
      </c>
      <c r="V257" s="18" t="n">
        <v>1274.283020064</v>
      </c>
      <c r="W257" s="212" t="n">
        <v>2023</v>
      </c>
      <c r="X257" s="103" t="n">
        <v>2065064.66</v>
      </c>
      <c r="Y257" s="3" t="n">
        <f aca="false" ca="false" dt2D="false" dtr="false" t="normal">+(K257*10.5+L257*21)*12*0.85</f>
        <v>387187.9199999999</v>
      </c>
      <c r="Z257" s="3" t="n">
        <f aca="false" ca="false" dt2D="false" dtr="false" t="normal">+(K257*10.5+L257*21)*12*30</f>
        <v>13665455.999999998</v>
      </c>
      <c r="AA257" s="3" t="n"/>
      <c r="AB257" s="158" t="n">
        <f aca="false" ca="true" dt2D="false" dtr="false" t="normal">SUBTOTAL(9, AC257:AQ257)</f>
        <v>10694243.400000002</v>
      </c>
      <c r="AC257" s="18" t="n"/>
      <c r="AD257" s="18" t="n"/>
      <c r="AE257" s="18" t="n">
        <v>1713863.8</v>
      </c>
      <c r="AF257" s="18" t="n"/>
      <c r="AG257" s="18" t="n"/>
      <c r="AH257" s="18" t="n"/>
      <c r="AI257" s="18" t="n"/>
      <c r="AJ257" s="18" t="n">
        <v>0</v>
      </c>
      <c r="AK257" s="18" t="n">
        <v>8587544.47</v>
      </c>
      <c r="AL257" s="18" t="n">
        <v>0</v>
      </c>
      <c r="AM257" s="18" t="n">
        <v>0</v>
      </c>
      <c r="AN257" s="18" t="n">
        <v>0</v>
      </c>
      <c r="AO257" s="18" t="n">
        <v>384835.13</v>
      </c>
      <c r="AP257" s="18" t="n">
        <v>8000</v>
      </c>
      <c r="AQ257" s="24" t="n"/>
      <c r="AR257" s="3" t="n">
        <f aca="false" ca="false" dt2D="false" dtr="false" t="normal">N257-AB257</f>
        <v>0</v>
      </c>
      <c r="AT257" s="187" t="n"/>
    </row>
    <row outlineLevel="0" r="258">
      <c r="A258" s="5" t="n">
        <f aca="false" ca="false" dt2D="false" dtr="false" t="normal">+A257+1</f>
        <v>240</v>
      </c>
      <c r="B258" s="159" t="n">
        <f aca="false" ca="false" dt2D="false" dtr="false" t="normal">+B257+1</f>
        <v>52</v>
      </c>
      <c r="C258" s="6" t="s">
        <v>177</v>
      </c>
      <c r="D258" s="6" t="s">
        <v>528</v>
      </c>
      <c r="E258" s="139" t="n">
        <v>1974</v>
      </c>
      <c r="F258" s="139" t="n">
        <v>2012</v>
      </c>
      <c r="G258" s="139" t="s">
        <v>4</v>
      </c>
      <c r="H258" s="139" t="n">
        <v>4</v>
      </c>
      <c r="I258" s="139" t="n">
        <v>4</v>
      </c>
      <c r="J258" s="17" t="n">
        <v>3917</v>
      </c>
      <c r="K258" s="17" t="n">
        <v>3431.9</v>
      </c>
      <c r="L258" s="17" t="n">
        <v>0</v>
      </c>
      <c r="M258" s="140" t="n">
        <v>163</v>
      </c>
      <c r="N258" s="16" t="n">
        <f aca="false" ca="false" dt2D="false" dtr="false" t="normal">SUM(P258:T258)</f>
        <v>20897027.44</v>
      </c>
      <c r="O258" s="18" t="n"/>
      <c r="P258" s="200" t="n">
        <f aca="false" ca="false" dt2D="false" dtr="false" t="normal">12823381.3-1578018.06</f>
        <v>11245363.24</v>
      </c>
      <c r="Q258" s="18" t="n"/>
      <c r="R258" s="18" t="n">
        <v>2888397.14</v>
      </c>
      <c r="S258" s="18" t="n">
        <v>6763267.06</v>
      </c>
      <c r="T258" s="18" t="n"/>
      <c r="U258" s="17" t="n">
        <v>8137.32749745005</v>
      </c>
      <c r="V258" s="17" t="n">
        <v>8137.32749745005</v>
      </c>
      <c r="W258" s="212" t="n">
        <v>2023</v>
      </c>
      <c r="X258" s="184" t="n">
        <v>1639882.92</v>
      </c>
      <c r="Y258" s="3" t="n">
        <f aca="false" ca="false" dt2D="false" dtr="false" t="normal">+(K258*10+L258*20)*12*0.85</f>
        <v>350053.8</v>
      </c>
      <c r="Z258" s="3" t="n">
        <f aca="false" ca="false" dt2D="false" dtr="false" t="normal">+(K258*10+L258*20)*12*30</f>
        <v>12354840</v>
      </c>
      <c r="AB258" s="23" t="n">
        <f aca="false" ca="true" dt2D="false" dtr="false" t="normal">SUBTOTAL(9, AC258:AQ258)</f>
        <v>20897027.44</v>
      </c>
      <c r="AC258" s="18" t="n">
        <v>4390563.84</v>
      </c>
      <c r="AD258" s="18" t="n">
        <v>3052029.01</v>
      </c>
      <c r="AE258" s="18" t="n">
        <v>1727150.4</v>
      </c>
      <c r="AF258" s="18" t="n">
        <v>1510543.31</v>
      </c>
      <c r="AG258" s="18" t="n"/>
      <c r="AH258" s="18" t="n"/>
      <c r="AI258" s="18" t="n"/>
      <c r="AJ258" s="18" t="n">
        <v>0</v>
      </c>
      <c r="AK258" s="18" t="n">
        <v>0</v>
      </c>
      <c r="AL258" s="18" t="n">
        <v>0</v>
      </c>
      <c r="AM258" s="18" t="n">
        <v>0</v>
      </c>
      <c r="AN258" s="18" t="n">
        <v>9155754.39</v>
      </c>
      <c r="AO258" s="18" t="n">
        <v>1031786.49</v>
      </c>
      <c r="AP258" s="18" t="n">
        <v>29200</v>
      </c>
      <c r="AQ258" s="24" t="n"/>
      <c r="AR258" s="3" t="n">
        <f aca="false" ca="false" dt2D="false" dtr="false" t="normal">N258-AB258</f>
        <v>0</v>
      </c>
    </row>
    <row outlineLevel="0" r="259">
      <c r="A259" s="5" t="n">
        <f aca="false" ca="false" dt2D="false" dtr="false" t="normal">+A258+1</f>
        <v>241</v>
      </c>
      <c r="B259" s="159" t="n">
        <f aca="false" ca="false" dt2D="false" dtr="false" t="normal">+B258+1</f>
        <v>53</v>
      </c>
      <c r="C259" s="6" t="s">
        <v>177</v>
      </c>
      <c r="D259" s="6" t="s">
        <v>231</v>
      </c>
      <c r="E259" s="139" t="n">
        <v>1977</v>
      </c>
      <c r="F259" s="139" t="n">
        <v>1977</v>
      </c>
      <c r="G259" s="139" t="s">
        <v>4</v>
      </c>
      <c r="H259" s="139" t="n">
        <v>4</v>
      </c>
      <c r="I259" s="139" t="n">
        <v>6</v>
      </c>
      <c r="J259" s="17" t="n">
        <v>5672.9</v>
      </c>
      <c r="K259" s="17" t="n">
        <v>4964.7</v>
      </c>
      <c r="L259" s="17" t="n">
        <v>0</v>
      </c>
      <c r="M259" s="140" t="n">
        <v>207</v>
      </c>
      <c r="N259" s="16" t="n">
        <f aca="false" ca="false" dt2D="false" dtr="false" t="normal">SUM(P259:T259)</f>
        <v>15205863.19</v>
      </c>
      <c r="O259" s="18" t="n"/>
      <c r="P259" s="18" t="n">
        <v>4124901.9</v>
      </c>
      <c r="Q259" s="18" t="n"/>
      <c r="R259" s="18" t="n">
        <v>956163.06</v>
      </c>
      <c r="S259" s="18" t="n">
        <v>7066347.9404288</v>
      </c>
      <c r="T259" s="18" t="n">
        <v>3058450.2895712</v>
      </c>
      <c r="U259" s="18" t="n">
        <v>2446.75668226253</v>
      </c>
      <c r="V259" s="18" t="n">
        <v>2446.75668226253</v>
      </c>
      <c r="W259" s="212" t="n">
        <v>2023</v>
      </c>
      <c r="X259" s="12" t="n">
        <f aca="false" ca="false" dt2D="false" dtr="false" t="normal">2390424.58-114155.72-R78</f>
        <v>638041.8599999999</v>
      </c>
      <c r="Y259" s="3" t="n">
        <f aca="false" ca="false" dt2D="false" dtr="false" t="normal">+(K259*10+L259*20)*12*0.85</f>
        <v>506399.39999999997</v>
      </c>
      <c r="Z259" s="3" t="n">
        <f aca="false" ca="false" dt2D="false" dtr="false" t="normal">+(K259*10+L259*20)*12*30-S78</f>
        <v>6254675.2815712</v>
      </c>
      <c r="AB259" s="23" t="n">
        <f aca="false" ca="true" dt2D="false" dtr="false" t="normal">SUBTOTAL(9, AC259:AQ259)</f>
        <v>15205863.189999998</v>
      </c>
      <c r="AC259" s="18" t="n"/>
      <c r="AD259" s="18" t="n">
        <v>5603246.21</v>
      </c>
      <c r="AE259" s="18" t="n">
        <v>2551720.82</v>
      </c>
      <c r="AF259" s="18" t="n">
        <v>3180773.21</v>
      </c>
      <c r="AG259" s="18" t="n"/>
      <c r="AH259" s="18" t="n"/>
      <c r="AI259" s="18" t="n"/>
      <c r="AJ259" s="18" t="n">
        <v>0</v>
      </c>
      <c r="AK259" s="18" t="n">
        <v>0</v>
      </c>
      <c r="AL259" s="18" t="n">
        <v>0</v>
      </c>
      <c r="AM259" s="18" t="n">
        <v>0</v>
      </c>
      <c r="AN259" s="18" t="n">
        <v>3870122.95</v>
      </c>
      <c r="AO259" s="18" t="n"/>
      <c r="AP259" s="18" t="n"/>
      <c r="AQ259" s="24" t="n"/>
      <c r="AR259" s="3" t="n">
        <f aca="false" ca="false" dt2D="false" dtr="false" t="normal">N259-AB259</f>
        <v>0</v>
      </c>
    </row>
    <row outlineLevel="0" r="260">
      <c r="A260" s="5" t="n">
        <f aca="false" ca="false" dt2D="false" dtr="false" t="normal">+A259+1</f>
        <v>242</v>
      </c>
      <c r="B260" s="159" t="n">
        <f aca="false" ca="false" dt2D="false" dtr="false" t="normal">+B259+1</f>
        <v>54</v>
      </c>
      <c r="C260" s="138" t="s">
        <v>177</v>
      </c>
      <c r="D260" s="138" t="s">
        <v>530</v>
      </c>
      <c r="E260" s="139" t="n">
        <v>1977</v>
      </c>
      <c r="F260" s="139" t="n">
        <v>2013</v>
      </c>
      <c r="G260" s="139" t="s">
        <v>4</v>
      </c>
      <c r="H260" s="139" t="n">
        <v>4</v>
      </c>
      <c r="I260" s="139" t="n">
        <v>6</v>
      </c>
      <c r="J260" s="17" t="n">
        <v>5713.5</v>
      </c>
      <c r="K260" s="17" t="n">
        <v>5033.6</v>
      </c>
      <c r="L260" s="17" t="n">
        <v>0</v>
      </c>
      <c r="M260" s="140" t="n">
        <v>226</v>
      </c>
      <c r="N260" s="16" t="n">
        <f aca="false" ca="false" dt2D="false" dtr="false" t="normal">SUM(P260:T260)</f>
        <v>1990601.96</v>
      </c>
      <c r="O260" s="17" t="n"/>
      <c r="P260" s="18" t="n"/>
      <c r="Q260" s="18" t="n"/>
      <c r="R260" s="18" t="n">
        <v>1990601.96</v>
      </c>
      <c r="S260" s="18" t="n"/>
      <c r="T260" s="18" t="n"/>
      <c r="U260" s="17" t="n">
        <v>398.323521932613</v>
      </c>
      <c r="V260" s="17" t="n">
        <v>398.323521932613</v>
      </c>
      <c r="W260" s="212" t="n">
        <v>2023</v>
      </c>
      <c r="X260" s="1" t="n">
        <v>2355088.06</v>
      </c>
      <c r="Y260" s="3" t="n">
        <f aca="false" ca="false" dt2D="false" dtr="false" t="normal">+(K260*10+L260*20)*12*0.85</f>
        <v>513427.2</v>
      </c>
      <c r="Z260" s="3" t="n">
        <f aca="false" ca="false" dt2D="false" dtr="false" t="normal">+(K260*10+L260*20)*12*30</f>
        <v>18120960</v>
      </c>
      <c r="AB260" s="23" t="n">
        <f aca="false" ca="true" dt2D="false" dtr="false" t="normal">SUBTOTAL(9, AC260:AQ260)</f>
        <v>1990601.96</v>
      </c>
      <c r="AC260" s="18" t="n">
        <v>0</v>
      </c>
      <c r="AD260" s="18" t="n">
        <v>0</v>
      </c>
      <c r="AE260" s="18" t="n">
        <v>0</v>
      </c>
      <c r="AF260" s="18" t="n">
        <v>0</v>
      </c>
      <c r="AG260" s="18" t="n">
        <v>1990601.96</v>
      </c>
      <c r="AH260" s="18" t="n"/>
      <c r="AI260" s="18" t="n"/>
      <c r="AJ260" s="18" t="n">
        <v>0</v>
      </c>
      <c r="AK260" s="18" t="n">
        <v>0</v>
      </c>
      <c r="AL260" s="18" t="n">
        <v>0</v>
      </c>
      <c r="AM260" s="18" t="n">
        <v>0</v>
      </c>
      <c r="AN260" s="18" t="n">
        <v>0</v>
      </c>
      <c r="AO260" s="18" t="n"/>
      <c r="AP260" s="18" t="n"/>
      <c r="AQ260" s="24" t="n"/>
      <c r="AR260" s="3" t="n">
        <f aca="false" ca="false" dt2D="false" dtr="false" t="normal">N260-AB260</f>
        <v>0</v>
      </c>
    </row>
    <row outlineLevel="0" r="261">
      <c r="A261" s="5" t="n">
        <f aca="false" ca="false" dt2D="false" dtr="false" t="normal">+A260+1</f>
        <v>243</v>
      </c>
      <c r="B261" s="159" t="n">
        <f aca="false" ca="false" dt2D="false" dtr="false" t="normal">+B260+1</f>
        <v>55</v>
      </c>
      <c r="C261" s="6" t="s">
        <v>177</v>
      </c>
      <c r="D261" s="6" t="s">
        <v>532</v>
      </c>
      <c r="E261" s="139" t="n">
        <v>1979</v>
      </c>
      <c r="F261" s="139" t="n">
        <v>2013</v>
      </c>
      <c r="G261" s="139" t="s">
        <v>4</v>
      </c>
      <c r="H261" s="139" t="n">
        <v>5</v>
      </c>
      <c r="I261" s="139" t="n">
        <v>4</v>
      </c>
      <c r="J261" s="17" t="n">
        <v>3602.3</v>
      </c>
      <c r="K261" s="17" t="n">
        <v>3466.4</v>
      </c>
      <c r="L261" s="17" t="n">
        <v>0</v>
      </c>
      <c r="M261" s="140" t="n">
        <v>87</v>
      </c>
      <c r="N261" s="16" t="n">
        <f aca="false" ca="false" dt2D="false" dtr="false" t="normal">SUM(P261:T261)</f>
        <v>1808139.499999997</v>
      </c>
      <c r="O261" s="18" t="n"/>
      <c r="P261" s="18" t="n"/>
      <c r="Q261" s="18" t="n"/>
      <c r="R261" s="18" t="n">
        <v>382001.593335547</v>
      </c>
      <c r="S261" s="18" t="n">
        <v>1426137.90666445</v>
      </c>
      <c r="T261" s="18" t="n"/>
      <c r="U261" s="18" t="n">
        <v>5381.50136006837</v>
      </c>
      <c r="V261" s="18" t="n">
        <v>1278.283020064</v>
      </c>
      <c r="W261" s="212" t="n">
        <v>2023</v>
      </c>
      <c r="X261" s="103" t="n">
        <v>2119168.21</v>
      </c>
      <c r="Y261" s="3" t="n">
        <f aca="false" ca="false" dt2D="false" dtr="false" t="normal">+(K261*10.5+L261*21)*12*0.85</f>
        <v>371251.44</v>
      </c>
      <c r="Z261" s="3" t="n">
        <f aca="false" ca="false" dt2D="false" dtr="false" t="normal">+(K261*10.5+L261*21)*12*30</f>
        <v>13102992</v>
      </c>
      <c r="AB261" s="158" t="n">
        <f aca="false" ca="true" dt2D="false" dtr="false" t="normal">SUBTOTAL(9, AC261:AQ261)</f>
        <v>1808139.5</v>
      </c>
      <c r="AC261" s="18" t="n"/>
      <c r="AD261" s="18" t="n"/>
      <c r="AE261" s="18" t="n">
        <v>1749772.5</v>
      </c>
      <c r="AF261" s="18" t="n"/>
      <c r="AG261" s="18" t="n"/>
      <c r="AH261" s="18" t="n"/>
      <c r="AI261" s="18" t="n"/>
      <c r="AJ261" s="18" t="n">
        <v>0</v>
      </c>
      <c r="AK261" s="18" t="n">
        <v>0</v>
      </c>
      <c r="AL261" s="18" t="n">
        <v>0</v>
      </c>
      <c r="AM261" s="18" t="n">
        <v>0</v>
      </c>
      <c r="AN261" s="18" t="n">
        <v>0</v>
      </c>
      <c r="AO261" s="18" t="n">
        <v>40450.54</v>
      </c>
      <c r="AP261" s="18" t="n">
        <v>6000</v>
      </c>
      <c r="AQ261" s="156" t="n">
        <v>11916.46</v>
      </c>
      <c r="AR261" s="3" t="n">
        <f aca="false" ca="false" dt2D="false" dtr="false" t="normal">N261-AB261</f>
        <v>0</v>
      </c>
    </row>
    <row outlineLevel="0" r="262">
      <c r="A262" s="5" t="n">
        <f aca="false" ca="false" dt2D="false" dtr="false" t="normal">+A261+1</f>
        <v>244</v>
      </c>
      <c r="B262" s="159" t="n">
        <f aca="false" ca="false" dt2D="false" dtr="false" t="normal">+B261+1</f>
        <v>56</v>
      </c>
      <c r="C262" s="138" t="s">
        <v>177</v>
      </c>
      <c r="D262" s="138" t="s">
        <v>240</v>
      </c>
      <c r="E262" s="139" t="n">
        <v>1977</v>
      </c>
      <c r="F262" s="139" t="n">
        <v>2013</v>
      </c>
      <c r="G262" s="139" t="s">
        <v>4</v>
      </c>
      <c r="H262" s="139" t="n">
        <v>5</v>
      </c>
      <c r="I262" s="139" t="n">
        <v>4</v>
      </c>
      <c r="J262" s="17" t="n">
        <v>3776.9</v>
      </c>
      <c r="K262" s="17" t="n">
        <v>3428.1</v>
      </c>
      <c r="L262" s="17" t="n">
        <v>0</v>
      </c>
      <c r="M262" s="140" t="n">
        <v>165</v>
      </c>
      <c r="N262" s="16" t="n">
        <f aca="false" ca="false" dt2D="false" dtr="false" t="normal">SUM(P262:T262)</f>
        <v>15271354.73</v>
      </c>
      <c r="O262" s="17" t="n"/>
      <c r="P262" s="18" t="n"/>
      <c r="Q262" s="18" t="n"/>
      <c r="R262" s="18" t="n">
        <v>2501614.39</v>
      </c>
      <c r="S262" s="18" t="n">
        <v>12769740.34</v>
      </c>
      <c r="T262" s="18" t="n"/>
      <c r="U262" s="18" t="n">
        <v>5902.55154321636</v>
      </c>
      <c r="V262" s="18" t="n">
        <v>1279.283020064</v>
      </c>
      <c r="W262" s="212" t="n">
        <v>2023</v>
      </c>
      <c r="X262" s="103" t="n">
        <v>2134464.88</v>
      </c>
      <c r="Y262" s="3" t="n">
        <f aca="false" ca="false" dt2D="false" dtr="false" t="normal">+(K262*10.5+L262*21)*12*0.85</f>
        <v>367149.50999999995</v>
      </c>
      <c r="Z262" s="3" t="n">
        <f aca="false" ca="false" dt2D="false" dtr="false" t="normal">+(K262*10.5+L262*21)*12*30</f>
        <v>12958218</v>
      </c>
      <c r="AB262" s="158" t="n">
        <f aca="false" ca="true" dt2D="false" dtr="false" t="normal">SUBTOTAL(9, AC262:AQ262)</f>
        <v>15271354.73</v>
      </c>
      <c r="AC262" s="18" t="n"/>
      <c r="AD262" s="18" t="n"/>
      <c r="AE262" s="18" t="n"/>
      <c r="AF262" s="18" t="n"/>
      <c r="AG262" s="18" t="n"/>
      <c r="AH262" s="18" t="n"/>
      <c r="AI262" s="18" t="n"/>
      <c r="AJ262" s="18" t="n"/>
      <c r="AK262" s="18" t="n"/>
      <c r="AL262" s="18" t="n"/>
      <c r="AM262" s="18" t="n">
        <v>15271354.73</v>
      </c>
      <c r="AN262" s="18" t="n">
        <v>0</v>
      </c>
      <c r="AO262" s="18" t="n"/>
      <c r="AP262" s="18" t="n"/>
      <c r="AQ262" s="24" t="n"/>
      <c r="AR262" s="3" t="n">
        <f aca="false" ca="false" dt2D="false" dtr="false" t="normal">N262-AB262</f>
        <v>0</v>
      </c>
    </row>
    <row outlineLevel="0" r="263">
      <c r="A263" s="5" t="n">
        <f aca="false" ca="false" dt2D="false" dtr="false" t="normal">+A262+1</f>
        <v>245</v>
      </c>
      <c r="B263" s="159" t="n">
        <f aca="false" ca="false" dt2D="false" dtr="false" t="normal">+B262+1</f>
        <v>57</v>
      </c>
      <c r="C263" s="138" t="s">
        <v>177</v>
      </c>
      <c r="D263" s="138" t="s">
        <v>536</v>
      </c>
      <c r="E263" s="139" t="n">
        <v>1978</v>
      </c>
      <c r="F263" s="139" t="n">
        <v>2013</v>
      </c>
      <c r="G263" s="139" t="s">
        <v>4</v>
      </c>
      <c r="H263" s="139" t="n">
        <v>5</v>
      </c>
      <c r="I263" s="139" t="n">
        <v>4</v>
      </c>
      <c r="J263" s="17" t="n">
        <v>4846.8</v>
      </c>
      <c r="K263" s="17" t="n">
        <v>4276.4</v>
      </c>
      <c r="L263" s="17" t="n">
        <v>0</v>
      </c>
      <c r="M263" s="140" t="n">
        <v>174</v>
      </c>
      <c r="N263" s="16" t="n">
        <f aca="false" ca="false" dt2D="false" dtr="false" t="normal">SUM(P263:T263)</f>
        <v>4629807.880000001</v>
      </c>
      <c r="O263" s="17" t="n"/>
      <c r="P263" s="18" t="n"/>
      <c r="Q263" s="18" t="n"/>
      <c r="R263" s="18" t="n">
        <v>2340702.74</v>
      </c>
      <c r="S263" s="18" t="n">
        <v>2289105.14</v>
      </c>
      <c r="T263" s="17" t="n"/>
      <c r="U263" s="18" t="n">
        <v>1705.70125970693</v>
      </c>
      <c r="V263" s="18" t="n">
        <v>1705.70125970693</v>
      </c>
      <c r="W263" s="212" t="n">
        <v>2023</v>
      </c>
      <c r="X263" s="1" t="n">
        <f aca="false" ca="false" dt2D="false" dtr="false" t="normal">2003447.04-122937.1</f>
        <v>1880509.94</v>
      </c>
      <c r="Y263" s="3" t="n">
        <f aca="false" ca="false" dt2D="false" dtr="false" t="normal">+(K263*10+L263*20)*12*0.85</f>
        <v>436192.8</v>
      </c>
      <c r="Z263" s="3" t="n">
        <f aca="false" ca="false" dt2D="false" dtr="false" t="normal">+(K263*10+L263*20)*12*30</f>
        <v>15395040</v>
      </c>
      <c r="AB263" s="23" t="n">
        <f aca="false" ca="true" dt2D="false" dtr="false" t="normal">SUBTOTAL(9, AC263:AQ263)</f>
        <v>4629807.88</v>
      </c>
      <c r="AC263" s="18" t="n">
        <v>4565506.96</v>
      </c>
      <c r="AD263" s="18" t="n">
        <v>0</v>
      </c>
      <c r="AE263" s="18" t="n">
        <v>0</v>
      </c>
      <c r="AF263" s="18" t="n">
        <v>0</v>
      </c>
      <c r="AG263" s="18" t="n"/>
      <c r="AH263" s="18" t="n"/>
      <c r="AI263" s="18" t="n"/>
      <c r="AJ263" s="18" t="n">
        <v>0</v>
      </c>
      <c r="AK263" s="18" t="n">
        <v>0</v>
      </c>
      <c r="AL263" s="18" t="n">
        <v>0</v>
      </c>
      <c r="AM263" s="18" t="n">
        <v>0</v>
      </c>
      <c r="AN263" s="18" t="n">
        <v>0</v>
      </c>
      <c r="AO263" s="18" t="n">
        <v>40300.92</v>
      </c>
      <c r="AP263" s="18" t="n">
        <v>24000</v>
      </c>
      <c r="AQ263" s="24" t="n"/>
      <c r="AR263" s="3" t="n">
        <f aca="false" ca="false" dt2D="false" dtr="false" t="normal">N263-AB263</f>
        <v>0</v>
      </c>
    </row>
    <row outlineLevel="0" r="264">
      <c r="A264" s="5" t="n">
        <f aca="false" ca="false" dt2D="false" dtr="false" t="normal">+A263+1</f>
        <v>246</v>
      </c>
      <c r="B264" s="159" t="n">
        <f aca="false" ca="false" dt2D="false" dtr="false" t="normal">+B263+1</f>
        <v>58</v>
      </c>
      <c r="C264" s="6" t="s">
        <v>177</v>
      </c>
      <c r="D264" s="6" t="s">
        <v>358</v>
      </c>
      <c r="E264" s="139" t="n">
        <v>1978</v>
      </c>
      <c r="F264" s="139" t="n">
        <v>2008</v>
      </c>
      <c r="G264" s="139" t="s">
        <v>4</v>
      </c>
      <c r="H264" s="139" t="n">
        <v>5</v>
      </c>
      <c r="I264" s="139" t="n">
        <v>4</v>
      </c>
      <c r="J264" s="17" t="n">
        <v>4929.7</v>
      </c>
      <c r="K264" s="17" t="n">
        <v>4335.1</v>
      </c>
      <c r="L264" s="17" t="n">
        <v>0</v>
      </c>
      <c r="M264" s="140" t="n">
        <v>213</v>
      </c>
      <c r="N264" s="16" t="n">
        <f aca="false" ca="false" dt2D="false" dtr="false" t="normal">SUM(P264:T264)</f>
        <v>1142099.19</v>
      </c>
      <c r="O264" s="18" t="n"/>
      <c r="P264" s="18" t="n"/>
      <c r="Q264" s="18" t="n"/>
      <c r="R264" s="18" t="n">
        <v>450000</v>
      </c>
      <c r="S264" s="18" t="n">
        <v>692099.19</v>
      </c>
      <c r="T264" s="151" t="n"/>
      <c r="U264" s="17" t="n">
        <v>2164.31923369703</v>
      </c>
      <c r="V264" s="17" t="n">
        <v>2164.31923369703</v>
      </c>
      <c r="W264" s="212" t="n">
        <v>2023</v>
      </c>
      <c r="X264" s="12" t="n">
        <f aca="false" ca="false" dt2D="false" dtr="false" t="normal">2077071.68</f>
        <v>2077071.68</v>
      </c>
      <c r="Y264" s="3" t="n">
        <f aca="false" ca="false" dt2D="false" dtr="false" t="normal">+(K264*10+L264*20)*12*0.85</f>
        <v>442180.2</v>
      </c>
      <c r="Z264" s="3" t="n">
        <f aca="false" ca="false" dt2D="false" dtr="false" t="normal">+(K264*10+L264*20)*12*30</f>
        <v>15606360</v>
      </c>
      <c r="AB264" s="23" t="n">
        <f aca="false" ca="true" dt2D="false" dtr="false" t="normal">SUBTOTAL(9, AC264:AQ264)</f>
        <v>1142099.19</v>
      </c>
      <c r="AC264" s="18" t="n">
        <v>0</v>
      </c>
      <c r="AD264" s="18" t="n">
        <v>1100224.76</v>
      </c>
      <c r="AE264" s="18" t="n"/>
      <c r="AF264" s="18" t="n"/>
      <c r="AG264" s="18" t="n"/>
      <c r="AH264" s="18" t="n"/>
      <c r="AI264" s="18" t="n"/>
      <c r="AJ264" s="18" t="n">
        <v>0</v>
      </c>
      <c r="AK264" s="18" t="n">
        <v>0</v>
      </c>
      <c r="AL264" s="18" t="n">
        <v>0</v>
      </c>
      <c r="AM264" s="18" t="n"/>
      <c r="AN264" s="18" t="n">
        <v>0</v>
      </c>
      <c r="AO264" s="18" t="n"/>
      <c r="AP264" s="18" t="n"/>
      <c r="AQ264" s="156" t="n">
        <v>41874.43</v>
      </c>
      <c r="AR264" s="3" t="n">
        <f aca="false" ca="false" dt2D="false" dtr="false" t="normal">N264-AB264</f>
        <v>0</v>
      </c>
    </row>
    <row outlineLevel="0" r="265">
      <c r="A265" s="5" t="n">
        <f aca="false" ca="false" dt2D="false" dtr="false" t="normal">+A264+1</f>
        <v>247</v>
      </c>
      <c r="B265" s="159" t="n">
        <f aca="false" ca="false" dt2D="false" dtr="false" t="normal">+B264+1</f>
        <v>59</v>
      </c>
      <c r="C265" s="6" t="s">
        <v>177</v>
      </c>
      <c r="D265" s="6" t="s">
        <v>243</v>
      </c>
      <c r="E265" s="139" t="n">
        <v>1978</v>
      </c>
      <c r="F265" s="139" t="n">
        <v>2013</v>
      </c>
      <c r="G265" s="139" t="s">
        <v>4</v>
      </c>
      <c r="H265" s="139" t="n">
        <v>5</v>
      </c>
      <c r="I265" s="139" t="n">
        <v>4</v>
      </c>
      <c r="J265" s="17" t="n">
        <v>4866.6</v>
      </c>
      <c r="K265" s="17" t="n">
        <v>4226.8</v>
      </c>
      <c r="L265" s="17" t="n">
        <v>67</v>
      </c>
      <c r="M265" s="140" t="n">
        <v>317</v>
      </c>
      <c r="N265" s="16" t="n">
        <f aca="false" ca="false" dt2D="false" dtr="false" t="normal">SUM(P265:T265)</f>
        <v>22799005.560000002</v>
      </c>
      <c r="O265" s="18" t="n"/>
      <c r="P265" s="18" t="n">
        <v>13957122.72</v>
      </c>
      <c r="Q265" s="18" t="n"/>
      <c r="R265" s="18" t="n">
        <v>2041212.9535001</v>
      </c>
      <c r="S265" s="18" t="n">
        <v>6800669.8864999</v>
      </c>
      <c r="T265" s="18" t="n"/>
      <c r="U265" s="18" t="n">
        <v>5995.92684579351</v>
      </c>
      <c r="V265" s="18" t="n">
        <v>1281.283020064</v>
      </c>
      <c r="W265" s="212" t="n">
        <v>2023</v>
      </c>
      <c r="X265" s="12" t="n">
        <f aca="false" ca="false" dt2D="false" dtr="false" t="normal">2617689.67-682951.44-R85</f>
        <v>1574171.2735001</v>
      </c>
      <c r="Y265" s="3" t="n">
        <f aca="false" ca="false" dt2D="false" dtr="false" t="normal">+(K265*10.5+L265*21)*12*0.85</f>
        <v>467041.68000000005</v>
      </c>
      <c r="Z265" s="3" t="n">
        <f aca="false" ca="false" dt2D="false" dtr="false" t="normal">+(K265*10.5+L265*21)*12*30-4953727.17-S85</f>
        <v>7880945.237099912</v>
      </c>
      <c r="AB265" s="158" t="n">
        <f aca="false" ca="true" dt2D="false" dtr="false" t="normal">SUBTOTAL(9, AC265:AQ265)</f>
        <v>22799005.56</v>
      </c>
      <c r="AC265" s="18" t="n"/>
      <c r="AD265" s="18" t="n"/>
      <c r="AE265" s="18" t="n"/>
      <c r="AF265" s="18" t="n"/>
      <c r="AG265" s="18" t="n"/>
      <c r="AH265" s="18" t="n"/>
      <c r="AI265" s="18" t="n"/>
      <c r="AJ265" s="18" t="n">
        <v>0</v>
      </c>
      <c r="AK265" s="18" t="n"/>
      <c r="AL265" s="18" t="n">
        <v>0</v>
      </c>
      <c r="AM265" s="18" t="n">
        <v>22799005.56</v>
      </c>
      <c r="AN265" s="18" t="n"/>
      <c r="AO265" s="18" t="n"/>
      <c r="AP265" s="18" t="n"/>
      <c r="AQ265" s="24" t="n"/>
      <c r="AR265" s="3" t="n">
        <f aca="false" ca="false" dt2D="false" dtr="false" t="normal">N265-AB265</f>
        <v>0</v>
      </c>
    </row>
    <row outlineLevel="0" r="266">
      <c r="A266" s="5" t="n">
        <f aca="false" ca="false" dt2D="false" dtr="false" t="normal">+A265+1</f>
        <v>248</v>
      </c>
      <c r="B266" s="159" t="n">
        <f aca="false" ca="false" dt2D="false" dtr="false" t="normal">+B265+1</f>
        <v>60</v>
      </c>
      <c r="C266" s="6" t="s">
        <v>177</v>
      </c>
      <c r="D266" s="6" t="s">
        <v>540</v>
      </c>
      <c r="E266" s="139" t="n">
        <v>1981</v>
      </c>
      <c r="F266" s="139" t="n">
        <v>2009</v>
      </c>
      <c r="G266" s="139" t="s">
        <v>4</v>
      </c>
      <c r="H266" s="139" t="n">
        <v>5</v>
      </c>
      <c r="I266" s="139" t="n">
        <v>4</v>
      </c>
      <c r="J266" s="17" t="n">
        <v>6938.7</v>
      </c>
      <c r="K266" s="17" t="n">
        <v>6182.6</v>
      </c>
      <c r="L266" s="17" t="n">
        <v>0</v>
      </c>
      <c r="M266" s="140" t="n">
        <v>194</v>
      </c>
      <c r="N266" s="16" t="n">
        <f aca="false" ca="false" dt2D="false" dtr="false" t="normal">SUM(P266:T266)</f>
        <v>17774350.73</v>
      </c>
      <c r="O266" s="18" t="n"/>
      <c r="P266" s="18" t="n">
        <v>2076617.87</v>
      </c>
      <c r="Q266" s="18" t="n"/>
      <c r="R266" s="18" t="n">
        <v>3054172.49</v>
      </c>
      <c r="S266" s="18" t="n">
        <v>6919671.1767738</v>
      </c>
      <c r="T266" s="18" t="n">
        <v>5723889.1932262</v>
      </c>
      <c r="U266" s="17" t="n">
        <v>8696.48241719611</v>
      </c>
      <c r="V266" s="17" t="n">
        <v>8696.48241719611</v>
      </c>
      <c r="W266" s="212" t="n">
        <v>2023</v>
      </c>
      <c r="X266" s="12" t="n">
        <f aca="false" ca="false" dt2D="false" dtr="false" t="normal">2933225.6-137130.98-R86</f>
        <v>616710.8400000003</v>
      </c>
      <c r="Y266" s="3" t="n">
        <f aca="false" ca="false" dt2D="false" dtr="false" t="normal">+(K266*10+L266*20)*12*0.85</f>
        <v>630625.2</v>
      </c>
      <c r="Z266" s="3" t="n">
        <f aca="false" ca="false" dt2D="false" dtr="false" t="normal">+(K266*10+L266*20)*12*30-S86</f>
        <v>5807839.783226199</v>
      </c>
      <c r="AB266" s="23" t="n">
        <f aca="false" ca="true" dt2D="false" dtr="false" t="normal">SUBTOTAL(9, AC266:AQ266)</f>
        <v>17774350.73</v>
      </c>
      <c r="AC266" s="18" t="n"/>
      <c r="AD266" s="18" t="n"/>
      <c r="AE266" s="18" t="n">
        <v>4113294.16</v>
      </c>
      <c r="AF266" s="18" t="n"/>
      <c r="AG266" s="18" t="n"/>
      <c r="AH266" s="18" t="n"/>
      <c r="AI266" s="18" t="n"/>
      <c r="AJ266" s="18" t="n">
        <v>0</v>
      </c>
      <c r="AK266" s="18" t="n"/>
      <c r="AL266" s="18" t="n">
        <v>0</v>
      </c>
      <c r="AM266" s="18" t="n"/>
      <c r="AN266" s="18" t="n">
        <v>13661056.57</v>
      </c>
      <c r="AO266" s="18" t="n"/>
      <c r="AP266" s="18" t="n"/>
      <c r="AQ266" s="24" t="n"/>
      <c r="AR266" s="3" t="n">
        <f aca="false" ca="false" dt2D="false" dtr="false" t="normal">N266-AB266</f>
        <v>0</v>
      </c>
    </row>
    <row outlineLevel="0" r="267">
      <c r="A267" s="5" t="n">
        <f aca="false" ca="false" dt2D="false" dtr="false" t="normal">+A266+1</f>
        <v>249</v>
      </c>
      <c r="B267" s="159" t="n">
        <f aca="false" ca="false" dt2D="false" dtr="false" t="normal">+B266+1</f>
        <v>61</v>
      </c>
      <c r="C267" s="138" t="s">
        <v>177</v>
      </c>
      <c r="D267" s="138" t="s">
        <v>543</v>
      </c>
      <c r="E267" s="139" t="n">
        <v>1990</v>
      </c>
      <c r="F267" s="139" t="n">
        <v>2009</v>
      </c>
      <c r="G267" s="139" t="s">
        <v>4</v>
      </c>
      <c r="H267" s="139" t="n">
        <v>5</v>
      </c>
      <c r="I267" s="139" t="n">
        <v>6</v>
      </c>
      <c r="J267" s="17" t="n">
        <v>5593.2</v>
      </c>
      <c r="K267" s="17" t="n">
        <v>4942</v>
      </c>
      <c r="L267" s="17" t="n">
        <v>0</v>
      </c>
      <c r="M267" s="140" t="n">
        <v>206</v>
      </c>
      <c r="N267" s="16" t="n">
        <f aca="false" ca="false" dt2D="false" dtr="false" t="normal">SUM(P267:T267)</f>
        <v>5195032.82</v>
      </c>
      <c r="O267" s="17" t="n"/>
      <c r="P267" s="18" t="n"/>
      <c r="Q267" s="18" t="n"/>
      <c r="R267" s="18" t="n">
        <v>2725708.02</v>
      </c>
      <c r="S267" s="18" t="n">
        <v>2469324.8</v>
      </c>
      <c r="T267" s="18" t="n"/>
      <c r="U267" s="17" t="n">
        <v>1102.99421196115</v>
      </c>
      <c r="V267" s="17" t="n">
        <v>1102.99421196115</v>
      </c>
      <c r="W267" s="212" t="n">
        <v>2023</v>
      </c>
      <c r="X267" s="1" t="n">
        <v>2223888.42</v>
      </c>
      <c r="Y267" s="3" t="n">
        <f aca="false" ca="false" dt2D="false" dtr="false" t="normal">+(K267*10+L267*20)*12*0.85</f>
        <v>504084</v>
      </c>
      <c r="Z267" s="3" t="n">
        <f aca="false" ca="false" dt2D="false" dtr="false" t="normal">+(K267*10+L267*20)*12*30</f>
        <v>17791200</v>
      </c>
      <c r="AB267" s="23" t="n">
        <f aca="false" ca="true" dt2D="false" dtr="false" t="normal">SUBTOTAL(9, AC267:AQ267)</f>
        <v>5195032.82</v>
      </c>
      <c r="AC267" s="18" t="n">
        <v>0</v>
      </c>
      <c r="AD267" s="18" t="n">
        <v>0</v>
      </c>
      <c r="AE267" s="18" t="n">
        <v>0</v>
      </c>
      <c r="AF267" s="18" t="n">
        <v>0</v>
      </c>
      <c r="AG267" s="18" t="n">
        <v>0</v>
      </c>
      <c r="AH267" s="18" t="n"/>
      <c r="AI267" s="18" t="n"/>
      <c r="AJ267" s="18" t="n">
        <v>0</v>
      </c>
      <c r="AK267" s="18" t="n">
        <v>0</v>
      </c>
      <c r="AL267" s="18" t="n">
        <v>0</v>
      </c>
      <c r="AM267" s="18" t="n">
        <v>0</v>
      </c>
      <c r="AN267" s="18" t="n">
        <v>4977661</v>
      </c>
      <c r="AO267" s="18" t="n">
        <v>193371.82</v>
      </c>
      <c r="AP267" s="18" t="n">
        <v>24000</v>
      </c>
      <c r="AQ267" s="24" t="n"/>
      <c r="AR267" s="3" t="n">
        <f aca="false" ca="false" dt2D="false" dtr="false" t="normal">N267-AB267</f>
        <v>0</v>
      </c>
    </row>
    <row outlineLevel="0" r="268">
      <c r="A268" s="5" t="n">
        <f aca="false" ca="false" dt2D="false" dtr="false" t="normal">+A267+1</f>
        <v>250</v>
      </c>
      <c r="B268" s="159" t="n">
        <f aca="false" ca="false" dt2D="false" dtr="false" t="normal">+B267+1</f>
        <v>62</v>
      </c>
      <c r="C268" s="6" t="s">
        <v>177</v>
      </c>
      <c r="D268" s="6" t="s">
        <v>546</v>
      </c>
      <c r="E268" s="139" t="n">
        <v>1969</v>
      </c>
      <c r="F268" s="139" t="n">
        <v>2013</v>
      </c>
      <c r="G268" s="139" t="s">
        <v>4</v>
      </c>
      <c r="H268" s="139" t="n">
        <v>5</v>
      </c>
      <c r="I268" s="139" t="n">
        <v>1</v>
      </c>
      <c r="J268" s="17" t="n">
        <v>4537.3</v>
      </c>
      <c r="K268" s="17" t="n">
        <v>1650.2</v>
      </c>
      <c r="L268" s="17" t="n">
        <v>2887.1</v>
      </c>
      <c r="M268" s="140" t="n">
        <v>209</v>
      </c>
      <c r="N268" s="16" t="n">
        <f aca="false" ca="false" dt2D="false" dtr="false" t="normal">SUM(P268:T268)</f>
        <v>32945367.95502542</v>
      </c>
      <c r="O268" s="18" t="n"/>
      <c r="P268" s="18" t="n">
        <v>3487044.1172583</v>
      </c>
      <c r="Q268" s="18" t="n"/>
      <c r="R268" s="18" t="n">
        <v>5122527.85335582</v>
      </c>
      <c r="S268" s="18" t="n">
        <v>24335795.9844113</v>
      </c>
      <c r="T268" s="18" t="n"/>
      <c r="U268" s="18" t="n">
        <v>31220.8095647646</v>
      </c>
      <c r="V268" s="18" t="n">
        <v>1283.283020064</v>
      </c>
      <c r="W268" s="212" t="n">
        <v>2023</v>
      </c>
      <c r="X268" s="103" t="n">
        <v>4743042.6</v>
      </c>
      <c r="Y268" s="3" t="n">
        <f aca="false" ca="false" dt2D="false" dtr="false" t="normal">+(K268*10.5+L268*21)*12*0.85</f>
        <v>795153.2399999999</v>
      </c>
      <c r="Z268" s="3" t="n">
        <f aca="false" ca="false" dt2D="false" dtr="false" t="normal">+(K268*10.5+L268*21)*12*30</f>
        <v>28064231.999999996</v>
      </c>
      <c r="AB268" s="158" t="n">
        <f aca="false" ca="true" dt2D="false" dtr="false" t="normal">SUBTOTAL(9, AC268:AQ268)</f>
        <v>32945367.9550254</v>
      </c>
      <c r="AC268" s="18" t="n">
        <v>3333540.05</v>
      </c>
      <c r="AD268" s="18" t="n">
        <v>0</v>
      </c>
      <c r="AE268" s="18" t="n">
        <v>1549799.6</v>
      </c>
      <c r="AF268" s="18" t="n">
        <v>0</v>
      </c>
      <c r="AG268" s="18" t="n">
        <v>0</v>
      </c>
      <c r="AH268" s="18" t="n"/>
      <c r="AI268" s="18" t="n"/>
      <c r="AJ268" s="18" t="n">
        <v>0</v>
      </c>
      <c r="AK268" s="18" t="n">
        <v>13493182.9250254</v>
      </c>
      <c r="AL268" s="18" t="n">
        <v>0</v>
      </c>
      <c r="AM268" s="18" t="n">
        <v>14103016.03</v>
      </c>
      <c r="AN268" s="18" t="n">
        <v>0</v>
      </c>
      <c r="AO268" s="18" t="n">
        <v>456271.36</v>
      </c>
      <c r="AP268" s="18" t="n">
        <v>9557.99</v>
      </c>
      <c r="AQ268" s="24" t="n"/>
      <c r="AR268" s="3" t="n">
        <f aca="false" ca="false" dt2D="false" dtr="false" t="normal">N268-AB268</f>
        <v>0</v>
      </c>
    </row>
    <row outlineLevel="0" r="269">
      <c r="A269" s="5" t="n">
        <f aca="false" ca="false" dt2D="false" dtr="false" t="normal">+A268+1</f>
        <v>251</v>
      </c>
      <c r="B269" s="159" t="n">
        <f aca="false" ca="false" dt2D="false" dtr="false" t="normal">+B268+1</f>
        <v>63</v>
      </c>
      <c r="C269" s="6" t="s">
        <v>177</v>
      </c>
      <c r="D269" s="6" t="s">
        <v>249</v>
      </c>
      <c r="E269" s="139" t="n">
        <v>1970</v>
      </c>
      <c r="F269" s="139" t="n">
        <v>2013</v>
      </c>
      <c r="G269" s="139" t="s">
        <v>4</v>
      </c>
      <c r="H269" s="139" t="n">
        <v>5</v>
      </c>
      <c r="I269" s="139" t="n">
        <v>4</v>
      </c>
      <c r="J269" s="17" t="n">
        <v>3068</v>
      </c>
      <c r="K269" s="17" t="n">
        <v>2483.8</v>
      </c>
      <c r="L269" s="17" t="n">
        <v>584.2</v>
      </c>
      <c r="M269" s="140" t="n">
        <v>142</v>
      </c>
      <c r="N269" s="16" t="n">
        <f aca="false" ca="false" dt2D="false" dtr="false" t="normal">SUM(P269:T269)</f>
        <v>5621995.85</v>
      </c>
      <c r="O269" s="18" t="n"/>
      <c r="P269" s="18" t="n">
        <v>3218407.59</v>
      </c>
      <c r="Q269" s="18" t="n"/>
      <c r="R269" s="18" t="n">
        <v>318641.85</v>
      </c>
      <c r="S269" s="18" t="n">
        <v>2084946.41</v>
      </c>
      <c r="T269" s="18" t="n"/>
      <c r="U269" s="18" t="n">
        <v>4744.83322534724</v>
      </c>
      <c r="V269" s="18" t="n">
        <v>4744.83322534724</v>
      </c>
      <c r="W269" s="212" t="n">
        <v>2023</v>
      </c>
      <c r="X269" s="12" t="n">
        <f aca="false" ca="false" dt2D="false" dtr="false" t="normal">504168.77-R89</f>
        <v>365922.02463468</v>
      </c>
      <c r="Y269" s="3" t="n">
        <f aca="false" ca="false" dt2D="false" dtr="false" t="normal">+(K269*10+L269*20)*12*0.85</f>
        <v>372524.39999999997</v>
      </c>
      <c r="Z269" s="3" t="n">
        <f aca="false" ca="false" dt2D="false" dtr="false" t="normal">+(K269*10+L269*20)*12*30-S89</f>
        <v>12219507.67536532</v>
      </c>
      <c r="AB269" s="23" t="n">
        <f aca="false" ca="true" dt2D="false" dtr="false" t="normal">SUBTOTAL(9, AC269:AQ269)</f>
        <v>5621995.850000001</v>
      </c>
      <c r="AC269" s="18" t="n"/>
      <c r="AD269" s="18" t="n"/>
      <c r="AE269" s="18" t="n"/>
      <c r="AF269" s="18" t="n"/>
      <c r="AG269" s="18" t="n"/>
      <c r="AH269" s="18" t="n"/>
      <c r="AI269" s="18" t="n"/>
      <c r="AJ269" s="18" t="n"/>
      <c r="AK269" s="18" t="n">
        <v>5556548.12</v>
      </c>
      <c r="AL269" s="18" t="n">
        <v>0</v>
      </c>
      <c r="AM269" s="18" t="n">
        <v>0</v>
      </c>
      <c r="AN269" s="18" t="n">
        <v>0</v>
      </c>
      <c r="AO269" s="18" t="n"/>
      <c r="AP269" s="18" t="n"/>
      <c r="AQ269" s="156" t="n">
        <v>65447.73</v>
      </c>
      <c r="AR269" s="3" t="n">
        <f aca="false" ca="false" dt2D="false" dtr="false" t="normal">N269-AB269</f>
        <v>0</v>
      </c>
    </row>
    <row outlineLevel="0" r="270">
      <c r="A270" s="5" t="n">
        <f aca="false" ca="false" dt2D="false" dtr="false" t="normal">+A269+1</f>
        <v>252</v>
      </c>
      <c r="B270" s="159" t="n">
        <f aca="false" ca="false" dt2D="false" dtr="false" t="normal">+B269+1</f>
        <v>64</v>
      </c>
      <c r="C270" s="138" t="s">
        <v>177</v>
      </c>
      <c r="D270" s="138" t="s">
        <v>548</v>
      </c>
      <c r="E270" s="139" t="n">
        <v>1987</v>
      </c>
      <c r="F270" s="139" t="n">
        <v>2013</v>
      </c>
      <c r="G270" s="139" t="s">
        <v>4</v>
      </c>
      <c r="H270" s="139" t="n">
        <v>5</v>
      </c>
      <c r="I270" s="139" t="n">
        <v>6</v>
      </c>
      <c r="J270" s="17" t="n">
        <v>6859.9</v>
      </c>
      <c r="K270" s="17" t="n">
        <v>6097.04</v>
      </c>
      <c r="L270" s="17" t="n">
        <v>117.7</v>
      </c>
      <c r="M270" s="140" t="n">
        <v>283</v>
      </c>
      <c r="N270" s="16" t="n">
        <f aca="false" ca="false" dt2D="false" dtr="false" t="normal">SUM(P270:T270)</f>
        <v>17091814.77</v>
      </c>
      <c r="O270" s="17" t="n"/>
      <c r="P270" s="18" t="n"/>
      <c r="Q270" s="18" t="n"/>
      <c r="R270" s="18" t="n">
        <v>7102572.94</v>
      </c>
      <c r="S270" s="18" t="n">
        <v>9989241.83</v>
      </c>
      <c r="T270" s="18" t="n"/>
      <c r="U270" s="17" t="n">
        <v>2792.65445730634</v>
      </c>
      <c r="V270" s="17" t="n">
        <v>2792.65445730634</v>
      </c>
      <c r="W270" s="212" t="n">
        <v>2023</v>
      </c>
      <c r="X270" s="202" t="n">
        <v>3444629.27</v>
      </c>
      <c r="Y270" s="3" t="n">
        <f aca="false" ca="false" dt2D="false" dtr="false" t="normal">+(K270*10+L270*20)*12*0.85</f>
        <v>645908.88</v>
      </c>
      <c r="Z270" s="3" t="n">
        <f aca="false" ca="false" dt2D="false" dtr="false" t="normal">+(K270*10+L270*20)*12*30</f>
        <v>22796784</v>
      </c>
      <c r="AB270" s="23" t="n">
        <f aca="false" ca="true" dt2D="false" dtr="false" t="normal">SUBTOTAL(9, AC270:AQ270)</f>
        <v>17091814.77</v>
      </c>
      <c r="AC270" s="18" t="n">
        <v>8885029.46</v>
      </c>
      <c r="AD270" s="18" t="n"/>
      <c r="AE270" s="18" t="n">
        <v>3892363.59</v>
      </c>
      <c r="AF270" s="18" t="n">
        <v>4001179.24</v>
      </c>
      <c r="AG270" s="18" t="n"/>
      <c r="AH270" s="18" t="n"/>
      <c r="AI270" s="18" t="n"/>
      <c r="AJ270" s="18" t="n"/>
      <c r="AK270" s="18" t="n"/>
      <c r="AL270" s="18" t="n"/>
      <c r="AM270" s="18" t="n"/>
      <c r="AN270" s="18" t="n"/>
      <c r="AO270" s="18" t="n">
        <v>123177.46</v>
      </c>
      <c r="AP270" s="18" t="n">
        <v>18000</v>
      </c>
      <c r="AQ270" s="156" t="n">
        <f aca="false" ca="false" dt2D="false" dtr="false" t="normal">88883.94+41863.41+41317.67</f>
        <v>172065.02000000002</v>
      </c>
      <c r="AR270" s="3" t="n">
        <f aca="false" ca="false" dt2D="false" dtr="false" t="normal">N270-AB270</f>
        <v>0</v>
      </c>
    </row>
    <row outlineLevel="0" r="271">
      <c r="A271" s="5" t="n">
        <f aca="false" ca="false" dt2D="false" dtr="false" t="normal">+A270+1</f>
        <v>253</v>
      </c>
      <c r="B271" s="159" t="n">
        <f aca="false" ca="false" dt2D="false" dtr="false" t="normal">+B270+1</f>
        <v>65</v>
      </c>
      <c r="C271" s="6" t="s">
        <v>177</v>
      </c>
      <c r="D271" s="6" t="s">
        <v>551</v>
      </c>
      <c r="E271" s="139" t="n">
        <v>1972</v>
      </c>
      <c r="F271" s="139" t="n">
        <v>2013</v>
      </c>
      <c r="G271" s="139" t="s">
        <v>4</v>
      </c>
      <c r="H271" s="139" t="n">
        <v>4</v>
      </c>
      <c r="I271" s="139" t="n">
        <v>4</v>
      </c>
      <c r="J271" s="17" t="n">
        <v>3047.8</v>
      </c>
      <c r="K271" s="17" t="n">
        <v>2789.4</v>
      </c>
      <c r="L271" s="17" t="n">
        <v>0</v>
      </c>
      <c r="M271" s="140" t="n">
        <v>107</v>
      </c>
      <c r="N271" s="16" t="n">
        <f aca="false" ca="false" dt2D="false" dtr="false" t="normal">SUM(P271:T271)</f>
        <v>17417470.407950558</v>
      </c>
      <c r="O271" s="18" t="n"/>
      <c r="P271" s="18" t="n">
        <v>1630754.51546667</v>
      </c>
      <c r="Q271" s="18" t="n"/>
      <c r="R271" s="18" t="n">
        <v>823386.0636</v>
      </c>
      <c r="S271" s="18" t="n">
        <v>1213116.06888389</v>
      </c>
      <c r="T271" s="18" t="n">
        <v>13750213.76</v>
      </c>
      <c r="U271" s="17" t="n">
        <v>7373.27830083381</v>
      </c>
      <c r="V271" s="17" t="n">
        <v>7373.27830083381</v>
      </c>
      <c r="W271" s="212" t="n">
        <v>2023</v>
      </c>
      <c r="X271" s="1" t="n">
        <f aca="false" ca="false" dt2D="false" dtr="false" t="normal">1184908.35-361522.2864</f>
        <v>823386.0636000001</v>
      </c>
      <c r="AB271" s="23" t="n">
        <f aca="false" ca="true" dt2D="false" dtr="false" t="normal">SUBTOTAL(9, AC271:AQ271)</f>
        <v>17417470.40795056</v>
      </c>
      <c r="AC271" s="18" t="n"/>
      <c r="AD271" s="18" t="n"/>
      <c r="AE271" s="18" t="n"/>
      <c r="AF271" s="18" t="n"/>
      <c r="AG271" s="18" t="n"/>
      <c r="AH271" s="18" t="n"/>
      <c r="AI271" s="18" t="n"/>
      <c r="AJ271" s="18" t="n">
        <v>0</v>
      </c>
      <c r="AK271" s="18" t="n">
        <v>9298128.97</v>
      </c>
      <c r="AL271" s="18" t="n">
        <v>0</v>
      </c>
      <c r="AM271" s="18" t="n"/>
      <c r="AN271" s="18" t="n">
        <v>6906225.37</v>
      </c>
      <c r="AO271" s="18" t="n">
        <v>332847.41</v>
      </c>
      <c r="AP271" s="18" t="n">
        <v>24835</v>
      </c>
      <c r="AQ271" s="24" t="n">
        <v>855433.657950562</v>
      </c>
      <c r="AR271" s="3" t="n">
        <f aca="false" ca="false" dt2D="false" dtr="false" t="normal">N271-AB271</f>
        <v>0</v>
      </c>
    </row>
    <row outlineLevel="0" r="272">
      <c r="A272" s="5" t="n">
        <f aca="false" ca="false" dt2D="false" dtr="false" t="normal">+A271+1</f>
        <v>254</v>
      </c>
      <c r="B272" s="159" t="n">
        <f aca="false" ca="false" dt2D="false" dtr="false" t="normal">+B271+1</f>
        <v>66</v>
      </c>
      <c r="C272" s="6" t="s">
        <v>177</v>
      </c>
      <c r="D272" s="6" t="s">
        <v>554</v>
      </c>
      <c r="E272" s="139" t="n">
        <v>1974</v>
      </c>
      <c r="F272" s="139" t="n">
        <v>2013</v>
      </c>
      <c r="G272" s="139" t="s">
        <v>4</v>
      </c>
      <c r="H272" s="139" t="n">
        <v>4</v>
      </c>
      <c r="I272" s="139" t="n">
        <v>4</v>
      </c>
      <c r="J272" s="17" t="n">
        <v>2989.2</v>
      </c>
      <c r="K272" s="17" t="n">
        <v>2536.9</v>
      </c>
      <c r="L272" s="17" t="n">
        <v>230.9</v>
      </c>
      <c r="M272" s="140" t="n">
        <v>90</v>
      </c>
      <c r="N272" s="16" t="n">
        <f aca="false" ca="false" dt2D="false" dtr="false" t="normal">SUM(P272:T272)</f>
        <v>17197808.294846922</v>
      </c>
      <c r="O272" s="18" t="n"/>
      <c r="P272" s="18" t="n">
        <f aca="false" ca="false" dt2D="false" dtr="false" t="normal">3239609.19+4955044.69+545300.86</f>
        <v>8739954.74</v>
      </c>
      <c r="Q272" s="18" t="n"/>
      <c r="R272" s="18" t="n">
        <v>177663.02</v>
      </c>
      <c r="S272" s="18" t="n">
        <v>967205.524846921</v>
      </c>
      <c r="T272" s="18" t="n">
        <v>7312985.01</v>
      </c>
      <c r="U272" s="17" t="n">
        <v>7160.14084289287</v>
      </c>
      <c r="V272" s="17" t="n">
        <v>7160.14084289287</v>
      </c>
      <c r="W272" s="212" t="n">
        <v>2023</v>
      </c>
      <c r="X272" s="1" t="n">
        <f aca="false" ca="false" dt2D="false" dtr="false" t="normal">1292399.14-848241.5751</f>
        <v>444157.5648999999</v>
      </c>
      <c r="AB272" s="23" t="n">
        <f aca="false" ca="true" dt2D="false" dtr="false" t="normal">SUBTOTAL(9, AC272:AQ272)</f>
        <v>17197808.294846922</v>
      </c>
      <c r="AC272" s="18" t="n"/>
      <c r="AD272" s="18" t="n"/>
      <c r="AE272" s="18" t="n"/>
      <c r="AF272" s="18" t="n"/>
      <c r="AG272" s="18" t="n"/>
      <c r="AH272" s="18" t="n"/>
      <c r="AI272" s="18" t="n"/>
      <c r="AJ272" s="18" t="n">
        <v>0</v>
      </c>
      <c r="AK272" s="18" t="n">
        <v>9298128.97</v>
      </c>
      <c r="AL272" s="18" t="n">
        <v>0</v>
      </c>
      <c r="AM272" s="18" t="n"/>
      <c r="AN272" s="18" t="n">
        <v>6697684.28</v>
      </c>
      <c r="AO272" s="18" t="n">
        <v>328986.36</v>
      </c>
      <c r="AP272" s="18" t="n">
        <v>24747</v>
      </c>
      <c r="AQ272" s="24" t="n">
        <v>848261.684846923</v>
      </c>
      <c r="AR272" s="3" t="n">
        <f aca="false" ca="false" dt2D="false" dtr="false" t="normal">N272-AB272</f>
        <v>0</v>
      </c>
    </row>
    <row outlineLevel="0" r="273">
      <c r="A273" s="5" t="n">
        <f aca="false" ca="false" dt2D="false" dtr="false" t="normal">+A272+1</f>
        <v>255</v>
      </c>
      <c r="B273" s="159" t="n">
        <f aca="false" ca="false" dt2D="false" dtr="false" t="normal">+B272+1</f>
        <v>67</v>
      </c>
      <c r="C273" s="138" t="s">
        <v>177</v>
      </c>
      <c r="D273" s="138" t="s">
        <v>555</v>
      </c>
      <c r="E273" s="139" t="n">
        <v>1973</v>
      </c>
      <c r="F273" s="139" t="n">
        <v>2013</v>
      </c>
      <c r="G273" s="139" t="s">
        <v>4</v>
      </c>
      <c r="H273" s="139" t="n">
        <v>4</v>
      </c>
      <c r="I273" s="139" t="n">
        <v>4</v>
      </c>
      <c r="J273" s="17" t="n">
        <v>3935.6</v>
      </c>
      <c r="K273" s="17" t="n">
        <v>3459.2</v>
      </c>
      <c r="L273" s="17" t="n">
        <v>0</v>
      </c>
      <c r="M273" s="140" t="n">
        <v>162</v>
      </c>
      <c r="N273" s="16" t="n">
        <f aca="false" ca="false" dt2D="false" dtr="false" t="normal">SUM(P273:T273)</f>
        <v>6942751.840499401</v>
      </c>
      <c r="O273" s="17" t="n"/>
      <c r="P273" s="18" t="n"/>
      <c r="Q273" s="18" t="n"/>
      <c r="R273" s="18" t="n">
        <v>2620703.43</v>
      </c>
      <c r="S273" s="18" t="n">
        <v>4322048.4104994</v>
      </c>
      <c r="T273" s="18" t="n">
        <v>0</v>
      </c>
      <c r="U273" s="18" t="n">
        <v>3026.55549577937</v>
      </c>
      <c r="V273" s="18" t="n">
        <v>1291.283020064</v>
      </c>
      <c r="W273" s="212" t="n">
        <v>2023</v>
      </c>
      <c r="X273" s="103" t="n">
        <v>2093115.17</v>
      </c>
      <c r="Y273" s="3" t="n">
        <f aca="false" ca="false" dt2D="false" dtr="false" t="normal">+(K273*10.5+L273*21)*12*0.85</f>
        <v>370480.31999999995</v>
      </c>
      <c r="Z273" s="3" t="n">
        <f aca="false" ca="false" dt2D="false" dtr="false" t="normal">+(K273*10.5+L273*21)*12*30</f>
        <v>13075775.999999998</v>
      </c>
      <c r="AB273" s="23" t="n">
        <f aca="false" ca="true" dt2D="false" dtr="false" t="normal">SUBTOTAL(9, AC273:AQ273)</f>
        <v>6942751.8404994</v>
      </c>
      <c r="AC273" s="18" t="n">
        <v>0</v>
      </c>
      <c r="AD273" s="18" t="n">
        <v>0</v>
      </c>
      <c r="AE273" s="18" t="n">
        <v>0</v>
      </c>
      <c r="AF273" s="18" t="n">
        <v>0</v>
      </c>
      <c r="AG273" s="18" t="n">
        <v>0</v>
      </c>
      <c r="AH273" s="18" t="n"/>
      <c r="AI273" s="18" t="n"/>
      <c r="AJ273" s="18" t="n">
        <v>0</v>
      </c>
      <c r="AK273" s="18" t="n">
        <v>6718705.38</v>
      </c>
      <c r="AL273" s="18" t="n">
        <v>0</v>
      </c>
      <c r="AM273" s="18" t="n">
        <v>0</v>
      </c>
      <c r="AN273" s="18" t="n">
        <v>0</v>
      </c>
      <c r="AO273" s="18" t="n"/>
      <c r="AP273" s="18" t="n"/>
      <c r="AQ273" s="24" t="n">
        <v>224046.4604994</v>
      </c>
      <c r="AR273" s="3" t="n">
        <f aca="false" ca="false" dt2D="false" dtr="false" t="normal">N273-AB273</f>
        <v>0</v>
      </c>
    </row>
    <row customFormat="true" ht="15" outlineLevel="0" r="274" s="184">
      <c r="A274" s="5" t="n">
        <f aca="false" ca="false" dt2D="false" dtr="false" t="normal">+A273+1</f>
        <v>256</v>
      </c>
      <c r="B274" s="159" t="n">
        <f aca="false" ca="false" dt2D="false" dtr="false" t="normal">+B273+1</f>
        <v>68</v>
      </c>
      <c r="C274" s="138" t="s">
        <v>177</v>
      </c>
      <c r="D274" s="138" t="s">
        <v>367</v>
      </c>
      <c r="E274" s="139" t="s">
        <v>353</v>
      </c>
      <c r="F274" s="139" t="n"/>
      <c r="G274" s="139" t="s">
        <v>4</v>
      </c>
      <c r="H274" s="139" t="s">
        <v>159</v>
      </c>
      <c r="I274" s="139" t="s">
        <v>159</v>
      </c>
      <c r="J274" s="17" t="n">
        <v>4032.8</v>
      </c>
      <c r="K274" s="17" t="n">
        <v>3458.5</v>
      </c>
      <c r="L274" s="17" t="n">
        <v>0</v>
      </c>
      <c r="M274" s="140" t="n">
        <v>156</v>
      </c>
      <c r="N274" s="16" t="n">
        <f aca="false" ca="false" dt2D="false" dtr="false" t="normal">SUM(P274:T274)</f>
        <v>5504992.41</v>
      </c>
      <c r="O274" s="17" t="n">
        <v>0</v>
      </c>
      <c r="P274" s="18" t="n"/>
      <c r="Q274" s="18" t="n">
        <v>0</v>
      </c>
      <c r="R274" s="18" t="n">
        <v>191247.61</v>
      </c>
      <c r="S274" s="18" t="n">
        <v>5313744.8</v>
      </c>
      <c r="T274" s="18" t="n"/>
      <c r="U274" s="17" t="n">
        <v>14851.7595489707</v>
      </c>
      <c r="V274" s="17" t="n">
        <v>14851.7595489707</v>
      </c>
      <c r="W274" s="212" t="n">
        <v>2023</v>
      </c>
      <c r="X274" s="184" t="n">
        <v>1622977.77</v>
      </c>
      <c r="Y274" s="3" t="n">
        <f aca="false" ca="false" dt2D="false" dtr="false" t="normal">+(K274*10+L274*20)*12*0.85</f>
        <v>352767</v>
      </c>
      <c r="Z274" s="3" t="n">
        <f aca="false" ca="false" dt2D="false" dtr="false" t="normal">+(K274*10+L274*20)*12*30</f>
        <v>12450600</v>
      </c>
      <c r="AA274" s="3" t="n"/>
      <c r="AB274" s="23" t="n">
        <f aca="false" ca="true" dt2D="false" dtr="false" t="normal">SUBTOTAL(9, AC274:AQ274)</f>
        <v>5504992.41</v>
      </c>
      <c r="AC274" s="18" t="n"/>
      <c r="AD274" s="18" t="n"/>
      <c r="AE274" s="18" t="n"/>
      <c r="AF274" s="18" t="n"/>
      <c r="AG274" s="18" t="n"/>
      <c r="AH274" s="18" t="n"/>
      <c r="AI274" s="18" t="n"/>
      <c r="AJ274" s="18" t="n"/>
      <c r="AK274" s="18" t="n"/>
      <c r="AL274" s="18" t="n"/>
      <c r="AM274" s="18" t="n"/>
      <c r="AN274" s="18" t="n">
        <v>5289247.08</v>
      </c>
      <c r="AO274" s="18" t="n">
        <v>212316.76</v>
      </c>
      <c r="AP274" s="18" t="n">
        <v>3428.57</v>
      </c>
      <c r="AQ274" s="24" t="n"/>
      <c r="AR274" s="3" t="n">
        <f aca="false" ca="false" dt2D="false" dtr="false" t="normal">N274-AB274</f>
        <v>0</v>
      </c>
      <c r="AT274" s="187" t="n"/>
    </row>
    <row customHeight="true" ht="15.75" outlineLevel="0" r="275">
      <c r="A275" s="5" t="n">
        <f aca="false" ca="false" dt2D="false" dtr="false" t="normal">+A274+1</f>
        <v>257</v>
      </c>
      <c r="B275" s="159" t="n">
        <f aca="false" ca="false" dt2D="false" dtr="false" t="normal">+B274+1</f>
        <v>69</v>
      </c>
      <c r="C275" s="6" t="s">
        <v>177</v>
      </c>
      <c r="D275" s="6" t="s">
        <v>378</v>
      </c>
      <c r="E275" s="139" t="n">
        <v>1974</v>
      </c>
      <c r="F275" s="139" t="n">
        <v>2013</v>
      </c>
      <c r="G275" s="139" t="s">
        <v>4</v>
      </c>
      <c r="H275" s="139" t="n">
        <v>4</v>
      </c>
      <c r="I275" s="139" t="n">
        <v>8</v>
      </c>
      <c r="J275" s="17" t="n">
        <v>5449.8</v>
      </c>
      <c r="K275" s="17" t="n">
        <v>4938.7</v>
      </c>
      <c r="L275" s="17" t="n">
        <v>0</v>
      </c>
      <c r="M275" s="140" t="n">
        <v>207</v>
      </c>
      <c r="N275" s="16" t="n">
        <f aca="false" ca="false" dt2D="false" dtr="false" t="normal">SUM(P275:T275)</f>
        <v>45207079.57000001</v>
      </c>
      <c r="O275" s="18" t="n"/>
      <c r="P275" s="18" t="n">
        <v>18759621.04</v>
      </c>
      <c r="Q275" s="18" t="n"/>
      <c r="R275" s="18" t="n">
        <v>2556985.43</v>
      </c>
      <c r="S275" s="18" t="n">
        <v>19403234.4868241</v>
      </c>
      <c r="T275" s="18" t="n">
        <v>4487238.61317591</v>
      </c>
      <c r="U275" s="17" t="n">
        <v>20793.3212666626</v>
      </c>
      <c r="V275" s="17" t="n">
        <v>20793.3212666626</v>
      </c>
      <c r="W275" s="212" t="n">
        <v>2023</v>
      </c>
      <c r="X275" s="1" t="n">
        <v>2310610.73</v>
      </c>
      <c r="Y275" s="3" t="n">
        <f aca="false" ca="false" dt2D="false" dtr="false" t="normal">+(K275*10+L275*20)*12*0.85</f>
        <v>503747.39999999997</v>
      </c>
      <c r="Z275" s="3" t="n">
        <f aca="false" ca="false" dt2D="false" dtr="false" t="normal">+(K275*10+L275*20)*12*30</f>
        <v>17779320</v>
      </c>
      <c r="AB275" s="23" t="n">
        <f aca="false" ca="true" dt2D="false" dtr="false" t="normal">SUBTOTAL(9, AC275:AQ275)</f>
        <v>45207079.57000001</v>
      </c>
      <c r="AC275" s="18" t="n">
        <v>7625174.93</v>
      </c>
      <c r="AD275" s="18" t="n"/>
      <c r="AE275" s="18" t="n">
        <v>2990319.15</v>
      </c>
      <c r="AF275" s="18" t="n">
        <v>3967819.86</v>
      </c>
      <c r="AG275" s="18" t="n"/>
      <c r="AH275" s="18" t="n"/>
      <c r="AI275" s="18" t="n"/>
      <c r="AJ275" s="18" t="n">
        <v>0</v>
      </c>
      <c r="AK275" s="18" t="n">
        <v>9797526</v>
      </c>
      <c r="AL275" s="18" t="n">
        <v>0</v>
      </c>
      <c r="AM275" s="18" t="n">
        <v>9608317.2</v>
      </c>
      <c r="AN275" s="18" t="n">
        <v>10107495.6</v>
      </c>
      <c r="AO275" s="18" t="n">
        <v>937678.84</v>
      </c>
      <c r="AP275" s="18" t="n">
        <v>42000</v>
      </c>
      <c r="AQ275" s="156" t="n">
        <f aca="false" ca="false" dt2D="false" dtr="false" t="normal">77529.37+24664.76+28553.86</f>
        <v>130747.98999999999</v>
      </c>
      <c r="AR275" s="3" t="n">
        <f aca="false" ca="false" dt2D="false" dtr="false" t="normal">N275-AB275</f>
        <v>0</v>
      </c>
    </row>
    <row outlineLevel="0" r="276">
      <c r="A276" s="5" t="n">
        <f aca="false" ca="false" dt2D="false" dtr="false" t="normal">+A275+1</f>
        <v>258</v>
      </c>
      <c r="B276" s="159" t="n">
        <f aca="false" ca="false" dt2D="false" dtr="false" t="normal">+B275+1</f>
        <v>70</v>
      </c>
      <c r="C276" s="6" t="s">
        <v>177</v>
      </c>
      <c r="D276" s="6" t="s">
        <v>380</v>
      </c>
      <c r="E276" s="139" t="n">
        <v>1976</v>
      </c>
      <c r="F276" s="139" t="n">
        <v>2013</v>
      </c>
      <c r="G276" s="139" t="s">
        <v>4</v>
      </c>
      <c r="H276" s="139" t="n">
        <v>5</v>
      </c>
      <c r="I276" s="139" t="n">
        <v>4</v>
      </c>
      <c r="J276" s="17" t="n">
        <v>3698.5</v>
      </c>
      <c r="K276" s="17" t="n">
        <v>3331.4</v>
      </c>
      <c r="L276" s="17" t="n">
        <v>142.2</v>
      </c>
      <c r="M276" s="140" t="n">
        <v>143</v>
      </c>
      <c r="N276" s="16" t="n">
        <f aca="false" ca="false" dt2D="false" dtr="false" t="normal">SUM(P276:T276)</f>
        <v>974673.4099999999</v>
      </c>
      <c r="O276" s="18" t="n"/>
      <c r="P276" s="18" t="n">
        <v>225443.56</v>
      </c>
      <c r="Q276" s="18" t="n"/>
      <c r="R276" s="18" t="n">
        <v>92497.51</v>
      </c>
      <c r="S276" s="18" t="n">
        <v>656732.34</v>
      </c>
      <c r="T276" s="18" t="n"/>
      <c r="U276" s="17" t="n">
        <v>401.39736237844</v>
      </c>
      <c r="V276" s="17" t="n">
        <v>401.39736237844</v>
      </c>
      <c r="W276" s="212" t="n">
        <v>2023</v>
      </c>
      <c r="X276" s="1" t="n">
        <f aca="false" ca="false" dt2D="false" dtr="false" t="normal">1714139.94-279174.44-139587.22</f>
        <v>1295378.28</v>
      </c>
      <c r="Y276" s="3" t="n">
        <f aca="false" ca="false" dt2D="false" dtr="false" t="normal">+(K276*10+L276*20)*12*0.85</f>
        <v>368811.6</v>
      </c>
      <c r="Z276" s="3" t="n">
        <f aca="false" ca="false" dt2D="false" dtr="false" t="normal">+(K276*10+L276*20)*12*30-1573640.06</f>
        <v>11443239.94</v>
      </c>
      <c r="AB276" s="23" t="n">
        <f aca="false" ca="true" dt2D="false" dtr="false" t="normal">SUBTOTAL(9, AC276:AQ276)</f>
        <v>974673.41</v>
      </c>
      <c r="AC276" s="18" t="n"/>
      <c r="AD276" s="18" t="n"/>
      <c r="AE276" s="18" t="n">
        <v>0</v>
      </c>
      <c r="AF276" s="18" t="n">
        <v>0</v>
      </c>
      <c r="AG276" s="18" t="n">
        <v>974673.41</v>
      </c>
      <c r="AH276" s="18" t="n"/>
      <c r="AI276" s="18" t="n"/>
      <c r="AJ276" s="18" t="n">
        <v>0</v>
      </c>
      <c r="AK276" s="18" t="n"/>
      <c r="AL276" s="18" t="n">
        <v>0</v>
      </c>
      <c r="AM276" s="18" t="n">
        <v>0</v>
      </c>
      <c r="AN276" s="18" t="n">
        <v>0</v>
      </c>
      <c r="AO276" s="18" t="n"/>
      <c r="AP276" s="18" t="n"/>
      <c r="AQ276" s="24" t="n"/>
      <c r="AR276" s="3" t="n">
        <f aca="false" ca="false" dt2D="false" dtr="false" t="normal">N276-AB276</f>
        <v>0</v>
      </c>
    </row>
    <row outlineLevel="0" r="277">
      <c r="A277" s="5" t="n">
        <f aca="false" ca="false" dt2D="false" dtr="false" t="normal">+A276+1</f>
        <v>259</v>
      </c>
      <c r="B277" s="159" t="n">
        <f aca="false" ca="false" dt2D="false" dtr="false" t="normal">+B276+1</f>
        <v>71</v>
      </c>
      <c r="C277" s="138" t="s">
        <v>177</v>
      </c>
      <c r="D277" s="138" t="s">
        <v>560</v>
      </c>
      <c r="E277" s="139" t="n">
        <v>1983</v>
      </c>
      <c r="F277" s="139" t="n">
        <v>2013</v>
      </c>
      <c r="G277" s="139" t="s">
        <v>4</v>
      </c>
      <c r="H277" s="139" t="n">
        <v>4</v>
      </c>
      <c r="I277" s="139" t="n">
        <v>6</v>
      </c>
      <c r="J277" s="17" t="n">
        <v>5775.05</v>
      </c>
      <c r="K277" s="17" t="n">
        <v>5052.85</v>
      </c>
      <c r="L277" s="17" t="n">
        <v>0</v>
      </c>
      <c r="M277" s="140" t="n">
        <v>216</v>
      </c>
      <c r="N277" s="16" t="n">
        <f aca="false" ca="false" dt2D="false" dtr="false" t="normal">SUM(P277:T277)</f>
        <v>13852053.29999996</v>
      </c>
      <c r="O277" s="17" t="n"/>
      <c r="P277" s="18" t="n"/>
      <c r="Q277" s="18" t="n"/>
      <c r="R277" s="18" t="n">
        <v>2119027.70847416</v>
      </c>
      <c r="S277" s="18" t="n">
        <v>11733025.5915258</v>
      </c>
      <c r="T277" s="18" t="n"/>
      <c r="U277" s="17" t="n">
        <v>3213.2386336333</v>
      </c>
      <c r="V277" s="17" t="n">
        <v>3213.2386336333</v>
      </c>
      <c r="W277" s="212" t="n">
        <v>2023</v>
      </c>
      <c r="X277" s="1" t="n">
        <f aca="false" ca="false" dt2D="false" dtr="false" t="normal">2439039.01-114269.78</f>
        <v>2324769.23</v>
      </c>
      <c r="Y277" s="3" t="n">
        <f aca="false" ca="false" dt2D="false" dtr="false" t="normal">+(K277*10+L277*20)*12*0.85</f>
        <v>515390.7</v>
      </c>
      <c r="Z277" s="3" t="n">
        <f aca="false" ca="false" dt2D="false" dtr="false" t="normal">+(K277*10+L277*20)*12*30</f>
        <v>18190260</v>
      </c>
      <c r="AB277" s="23" t="n">
        <f aca="false" ca="true" dt2D="false" dtr="false" t="normal">SUBTOTAL(9, AC277:AQ277)</f>
        <v>13852053.299999999</v>
      </c>
      <c r="AC277" s="18" t="n">
        <v>7567432.08</v>
      </c>
      <c r="AD277" s="18" t="n"/>
      <c r="AE277" s="18" t="n">
        <v>3408090.02</v>
      </c>
      <c r="AF277" s="18" t="n">
        <v>2646922.32</v>
      </c>
      <c r="AG277" s="18" t="n"/>
      <c r="AH277" s="18" t="n"/>
      <c r="AI277" s="18" t="n"/>
      <c r="AJ277" s="18" t="n">
        <v>0</v>
      </c>
      <c r="AK277" s="18" t="n">
        <v>0</v>
      </c>
      <c r="AL277" s="18" t="n">
        <v>0</v>
      </c>
      <c r="AM277" s="18" t="n">
        <v>0</v>
      </c>
      <c r="AN277" s="18" t="n">
        <v>0</v>
      </c>
      <c r="AO277" s="18" t="n">
        <v>89396.34</v>
      </c>
      <c r="AP277" s="18" t="n"/>
      <c r="AQ277" s="156" t="n">
        <f aca="false" ca="false" dt2D="false" dtr="false" t="normal">78680.24+30208.91+31323.39</f>
        <v>140212.54</v>
      </c>
      <c r="AR277" s="3" t="n"/>
    </row>
    <row outlineLevel="0" r="278">
      <c r="A278" s="5" t="n">
        <f aca="false" ca="false" dt2D="false" dtr="false" t="normal">+A277+1</f>
        <v>260</v>
      </c>
      <c r="B278" s="159" t="n">
        <f aca="false" ca="false" dt2D="false" dtr="false" t="normal">+B277+1</f>
        <v>72</v>
      </c>
      <c r="C278" s="138" t="s">
        <v>177</v>
      </c>
      <c r="D278" s="138" t="s">
        <v>263</v>
      </c>
      <c r="E278" s="139" t="n">
        <v>1976</v>
      </c>
      <c r="F278" s="139" t="n">
        <v>2013</v>
      </c>
      <c r="G278" s="139" t="s">
        <v>4</v>
      </c>
      <c r="H278" s="139" t="n">
        <v>4</v>
      </c>
      <c r="I278" s="139" t="n">
        <v>6</v>
      </c>
      <c r="J278" s="17" t="n">
        <v>5761.37</v>
      </c>
      <c r="K278" s="17" t="n">
        <v>4953.17</v>
      </c>
      <c r="L278" s="17" t="n">
        <v>0</v>
      </c>
      <c r="M278" s="140" t="n">
        <v>208</v>
      </c>
      <c r="N278" s="16" t="n">
        <f aca="false" ca="false" dt2D="false" dtr="false" t="normal">SUM(P278:T278)</f>
        <v>7219456.87</v>
      </c>
      <c r="O278" s="17" t="n"/>
      <c r="P278" s="18" t="n"/>
      <c r="Q278" s="18" t="n"/>
      <c r="R278" s="18" t="n">
        <v>891053.55</v>
      </c>
      <c r="S278" s="18" t="n">
        <v>6328403.32</v>
      </c>
      <c r="T278" s="17" t="n"/>
      <c r="U278" s="17" t="n">
        <v>3306.79731356267</v>
      </c>
      <c r="V278" s="17" t="n">
        <v>3306.79731356267</v>
      </c>
      <c r="W278" s="212" t="n">
        <v>2023</v>
      </c>
      <c r="X278" s="1" t="n">
        <f aca="false" ca="false" dt2D="false" dtr="false" t="normal">2496690.4</f>
        <v>2496690.4</v>
      </c>
      <c r="Y278" s="3" t="n">
        <f aca="false" ca="false" dt2D="false" dtr="false" t="normal">+(K278*10+L278*20)*12*0.85</f>
        <v>505223.3399999999</v>
      </c>
      <c r="Z278" s="3" t="n">
        <f aca="false" ca="false" dt2D="false" dtr="false" t="normal">+(K278*10+L278*20)*12*30</f>
        <v>17831411.999999996</v>
      </c>
      <c r="AB278" s="23" t="n">
        <f aca="false" ca="true" dt2D="false" dtr="false" t="normal">SUBTOTAL(9, AC278:AQ278)</f>
        <v>7219456.87</v>
      </c>
      <c r="AC278" s="18" t="n">
        <v>0</v>
      </c>
      <c r="AD278" s="18" t="n"/>
      <c r="AE278" s="18" t="n"/>
      <c r="AF278" s="18" t="n"/>
      <c r="AG278" s="18" t="n"/>
      <c r="AH278" s="18" t="n"/>
      <c r="AI278" s="18" t="n"/>
      <c r="AJ278" s="18" t="n">
        <v>0</v>
      </c>
      <c r="AK278" s="18" t="n">
        <v>0</v>
      </c>
      <c r="AL278" s="18" t="n">
        <v>0</v>
      </c>
      <c r="AM278" s="18" t="n">
        <v>0</v>
      </c>
      <c r="AN278" s="18" t="n">
        <v>7219456.87</v>
      </c>
      <c r="AO278" s="18" t="n"/>
      <c r="AP278" s="18" t="n"/>
      <c r="AQ278" s="24" t="n"/>
      <c r="AR278" s="3" t="n">
        <f aca="false" ca="false" dt2D="false" dtr="false" t="normal">N278-AB278</f>
        <v>0</v>
      </c>
    </row>
    <row outlineLevel="0" r="279">
      <c r="A279" s="5" t="n">
        <f aca="false" ca="false" dt2D="false" dtr="false" t="normal">+A278+1</f>
        <v>261</v>
      </c>
      <c r="B279" s="159" t="n">
        <f aca="false" ca="false" dt2D="false" dtr="false" t="normal">+B278+1</f>
        <v>73</v>
      </c>
      <c r="C279" s="6" t="s">
        <v>177</v>
      </c>
      <c r="D279" s="6" t="s">
        <v>265</v>
      </c>
      <c r="E279" s="139" t="n">
        <v>1964</v>
      </c>
      <c r="F279" s="139" t="n">
        <v>1978</v>
      </c>
      <c r="G279" s="139" t="s">
        <v>4</v>
      </c>
      <c r="H279" s="139" t="n">
        <v>4</v>
      </c>
      <c r="I279" s="139" t="n">
        <v>4</v>
      </c>
      <c r="J279" s="17" t="n">
        <v>2691.4</v>
      </c>
      <c r="K279" s="17" t="n">
        <v>2511.6</v>
      </c>
      <c r="L279" s="17" t="n">
        <v>55</v>
      </c>
      <c r="M279" s="140" t="n">
        <v>136</v>
      </c>
      <c r="N279" s="16" t="n">
        <f aca="false" ca="false" dt2D="false" dtr="false" t="normal">SUM(P279:T279)</f>
        <v>942256.8300000001</v>
      </c>
      <c r="O279" s="18" t="n"/>
      <c r="P279" s="18" t="n">
        <v>213370.88</v>
      </c>
      <c r="Q279" s="18" t="n"/>
      <c r="R279" s="18" t="n">
        <v>364376.031</v>
      </c>
      <c r="S279" s="18" t="n">
        <v>364509.919</v>
      </c>
      <c r="T279" s="18" t="n"/>
      <c r="U279" s="18" t="n">
        <v>445.04048324984</v>
      </c>
      <c r="V279" s="18" t="n">
        <v>445.04048324984</v>
      </c>
      <c r="W279" s="212" t="n">
        <v>2023</v>
      </c>
      <c r="X279" s="12" t="n">
        <f aca="false" ca="false" dt2D="false" dtr="false" t="normal">1127947.91-R98</f>
        <v>96972.82999999996</v>
      </c>
      <c r="Y279" s="3" t="n">
        <f aca="false" ca="false" dt2D="false" dtr="false" t="normal">+(K279*10+L279*20)*12*0.85</f>
        <v>267403.2</v>
      </c>
      <c r="Z279" s="3" t="n">
        <f aca="false" ca="false" dt2D="false" dtr="false" t="normal">+(K279*10+L279*20)*12*30-1866218.37-S98</f>
        <v>550279.7199999997</v>
      </c>
      <c r="AB279" s="23" t="n">
        <f aca="false" ca="true" dt2D="false" dtr="false" t="normal">SUBTOTAL(9, AC279:AQ279)</f>
        <v>942256.83</v>
      </c>
      <c r="AC279" s="18" t="n"/>
      <c r="AD279" s="18" t="n"/>
      <c r="AE279" s="18" t="n">
        <v>942256.83</v>
      </c>
      <c r="AF279" s="18" t="n"/>
      <c r="AG279" s="18" t="n"/>
      <c r="AH279" s="18" t="n"/>
      <c r="AI279" s="18" t="n"/>
      <c r="AJ279" s="18" t="n">
        <v>0</v>
      </c>
      <c r="AK279" s="18" t="n"/>
      <c r="AL279" s="18" t="n">
        <v>0</v>
      </c>
      <c r="AM279" s="18" t="n">
        <v>0</v>
      </c>
      <c r="AN279" s="18" t="n">
        <v>0</v>
      </c>
      <c r="AO279" s="18" t="n"/>
      <c r="AP279" s="18" t="n"/>
      <c r="AQ279" s="24" t="n"/>
      <c r="AR279" s="3" t="n">
        <f aca="false" ca="false" dt2D="false" dtr="false" t="normal">N279-AB279</f>
        <v>0</v>
      </c>
    </row>
    <row outlineLevel="0" r="280">
      <c r="A280" s="5" t="n">
        <f aca="false" ca="false" dt2D="false" dtr="false" t="normal">+A279+1</f>
        <v>262</v>
      </c>
      <c r="B280" s="159" t="n">
        <f aca="false" ca="false" dt2D="false" dtr="false" t="normal">+B279+1</f>
        <v>74</v>
      </c>
      <c r="C280" s="6" t="s">
        <v>177</v>
      </c>
      <c r="D280" s="6" t="s">
        <v>389</v>
      </c>
      <c r="E280" s="139" t="n">
        <v>1988</v>
      </c>
      <c r="F280" s="139" t="n">
        <v>2013</v>
      </c>
      <c r="G280" s="139" t="s">
        <v>4</v>
      </c>
      <c r="H280" s="139" t="n">
        <v>3</v>
      </c>
      <c r="I280" s="139" t="n">
        <v>3</v>
      </c>
      <c r="J280" s="17" t="n">
        <v>1440</v>
      </c>
      <c r="K280" s="17" t="n">
        <v>1362.6</v>
      </c>
      <c r="L280" s="17" t="n">
        <v>0</v>
      </c>
      <c r="M280" s="140" t="n">
        <v>54</v>
      </c>
      <c r="N280" s="16" t="n">
        <f aca="false" ca="false" dt2D="false" dtr="false" t="normal">SUM(P280:T280)</f>
        <v>4053130.36</v>
      </c>
      <c r="O280" s="18" t="n"/>
      <c r="P280" s="18" t="n">
        <v>3695737.61</v>
      </c>
      <c r="Q280" s="18" t="n"/>
      <c r="R280" s="18" t="n">
        <v>145934.46</v>
      </c>
      <c r="S280" s="18" t="n">
        <v>211458.29</v>
      </c>
      <c r="T280" s="18" t="n"/>
      <c r="U280" s="17" t="n">
        <v>11914.719398173</v>
      </c>
      <c r="V280" s="17" t="n">
        <v>11914.719398173</v>
      </c>
      <c r="W280" s="212" t="n">
        <v>2023</v>
      </c>
      <c r="X280" s="103" t="e">
        <f aca="false" ca="false" dt2D="false" dtr="false" t="normal">737152.83-#REF!</f>
        <v>#REF!</v>
      </c>
      <c r="Y280" s="3" t="n">
        <f aca="false" ca="false" dt2D="false" dtr="false" t="normal">+(K280*10.5+L280*21)*12*0.85</f>
        <v>145934.45999999996</v>
      </c>
      <c r="Z280" s="3" t="e">
        <f aca="false" ca="false" dt2D="false" dtr="false" t="normal">+(K280*10.5+L280*21)*12*30-#REF!</f>
        <v>#REF!</v>
      </c>
      <c r="AB280" s="158" t="n">
        <f aca="false" ca="true" dt2D="false" dtr="false" t="normal">SUBTOTAL(9, AC280:AQ280)</f>
        <v>4053130.36</v>
      </c>
      <c r="AC280" s="18" t="n"/>
      <c r="AD280" s="18" t="n"/>
      <c r="AE280" s="18" t="n"/>
      <c r="AF280" s="18" t="n"/>
      <c r="AG280" s="18" t="n"/>
      <c r="AH280" s="18" t="n"/>
      <c r="AI280" s="18" t="n"/>
      <c r="AJ280" s="18" t="n">
        <v>0</v>
      </c>
      <c r="AK280" s="18" t="n">
        <v>4009059.65</v>
      </c>
      <c r="AL280" s="18" t="n">
        <v>0</v>
      </c>
      <c r="AM280" s="18" t="n">
        <v>0</v>
      </c>
      <c r="AN280" s="18" t="n">
        <v>0</v>
      </c>
      <c r="AO280" s="18" t="n">
        <v>39270.71</v>
      </c>
      <c r="AP280" s="18" t="n">
        <v>4800</v>
      </c>
      <c r="AQ280" s="24" t="n"/>
      <c r="AR280" s="3" t="n">
        <f aca="false" ca="false" dt2D="false" dtr="false" t="normal">N280-AB280</f>
        <v>0</v>
      </c>
    </row>
    <row customFormat="true" ht="15" outlineLevel="0" r="281" s="184">
      <c r="A281" s="5" t="n">
        <f aca="false" ca="false" dt2D="false" dtr="false" t="normal">+A280+1</f>
        <v>263</v>
      </c>
      <c r="B281" s="159" t="n">
        <f aca="false" ca="false" dt2D="false" dtr="false" t="normal">+B280+1</f>
        <v>75</v>
      </c>
      <c r="C281" s="138" t="s">
        <v>309</v>
      </c>
      <c r="D281" s="138" t="s">
        <v>565</v>
      </c>
      <c r="E281" s="139" t="s">
        <v>506</v>
      </c>
      <c r="F281" s="139" t="n"/>
      <c r="G281" s="139" t="s">
        <v>4</v>
      </c>
      <c r="H281" s="139" t="s">
        <v>150</v>
      </c>
      <c r="I281" s="139" t="s">
        <v>159</v>
      </c>
      <c r="J281" s="17" t="n">
        <v>10278.6</v>
      </c>
      <c r="K281" s="17" t="n">
        <v>9679.9</v>
      </c>
      <c r="L281" s="17" t="n">
        <v>0</v>
      </c>
      <c r="M281" s="140" t="n">
        <v>304</v>
      </c>
      <c r="N281" s="16" t="n">
        <f aca="false" ca="false" dt2D="false" dtr="false" t="normal">SUM(P281:T281)</f>
        <v>14089697.18</v>
      </c>
      <c r="O281" s="17" t="n">
        <v>0</v>
      </c>
      <c r="P281" s="18" t="n"/>
      <c r="Q281" s="18" t="n">
        <v>0</v>
      </c>
      <c r="R281" s="18" t="n">
        <v>7645478.05454497</v>
      </c>
      <c r="S281" s="18" t="n">
        <v>6444219.12545503</v>
      </c>
      <c r="T281" s="18" t="n"/>
      <c r="U281" s="18" t="n">
        <v>1488.95955927893</v>
      </c>
      <c r="V281" s="18" t="n">
        <v>1305.283020064</v>
      </c>
      <c r="W281" s="212" t="n">
        <v>2023</v>
      </c>
      <c r="X281" s="103" t="n">
        <v>7426786.34</v>
      </c>
      <c r="Y281" s="3" t="n">
        <f aca="false" ca="false" dt2D="false" dtr="false" t="normal">+(K281*13.95+L281*23.65)*12*0.85</f>
        <v>1377352.9709999997</v>
      </c>
      <c r="Z281" s="3" t="n">
        <f aca="false" ca="false" dt2D="false" dtr="false" t="normal">+(K281*13.95+L281*23.65)*12*30</f>
        <v>48612457.8</v>
      </c>
      <c r="AA281" s="3" t="n"/>
      <c r="AB281" s="158" t="n">
        <f aca="false" ca="true" dt2D="false" dtr="false" t="normal">SUBTOTAL(9, AC281:AQ281)</f>
        <v>14089697.18</v>
      </c>
      <c r="AC281" s="18" t="n"/>
      <c r="AD281" s="18" t="n"/>
      <c r="AE281" s="18" t="n"/>
      <c r="AF281" s="18" t="n"/>
      <c r="AG281" s="18" t="n"/>
      <c r="AH281" s="18" t="n"/>
      <c r="AI281" s="18" t="n"/>
      <c r="AJ281" s="18" t="n">
        <v>13862649.6</v>
      </c>
      <c r="AK281" s="18" t="n"/>
      <c r="AL281" s="18" t="n"/>
      <c r="AM281" s="18" t="n"/>
      <c r="AN281" s="18" t="n"/>
      <c r="AO281" s="18" t="n">
        <v>203887.58</v>
      </c>
      <c r="AP281" s="18" t="n">
        <v>23160</v>
      </c>
      <c r="AQ281" s="24" t="n"/>
      <c r="AR281" s="3" t="n">
        <f aca="false" ca="false" dt2D="false" dtr="false" t="normal">N281-AB281</f>
        <v>0</v>
      </c>
      <c r="AT281" s="187" t="n"/>
    </row>
    <row outlineLevel="0" r="282">
      <c r="A282" s="5" t="n">
        <f aca="false" ca="false" dt2D="false" dtr="false" t="normal">+A281+1</f>
        <v>264</v>
      </c>
      <c r="B282" s="159" t="n">
        <f aca="false" ca="false" dt2D="false" dtr="false" t="normal">+B281+1</f>
        <v>76</v>
      </c>
      <c r="C282" s="138" t="s">
        <v>177</v>
      </c>
      <c r="D282" s="138" t="s">
        <v>274</v>
      </c>
      <c r="E282" s="139" t="n">
        <v>1979</v>
      </c>
      <c r="F282" s="139" t="n">
        <v>2013</v>
      </c>
      <c r="G282" s="139" t="s">
        <v>4</v>
      </c>
      <c r="H282" s="139" t="n">
        <v>4</v>
      </c>
      <c r="I282" s="139" t="n">
        <v>4</v>
      </c>
      <c r="J282" s="17" t="n">
        <v>3969.95</v>
      </c>
      <c r="K282" s="17" t="n">
        <v>3453.7</v>
      </c>
      <c r="L282" s="17" t="n">
        <v>0</v>
      </c>
      <c r="M282" s="140" t="n">
        <v>154</v>
      </c>
      <c r="N282" s="16" t="n">
        <f aca="false" ca="false" dt2D="false" dtr="false" t="normal">SUM(P282:T282)</f>
        <v>1843690.17</v>
      </c>
      <c r="O282" s="17" t="n"/>
      <c r="P282" s="18" t="n"/>
      <c r="Q282" s="18" t="n"/>
      <c r="R282" s="18" t="n">
        <v>1705810.55</v>
      </c>
      <c r="S282" s="18" t="n">
        <v>137879.62</v>
      </c>
      <c r="T282" s="17" t="n"/>
      <c r="U282" s="18" t="n">
        <v>613.363342501665</v>
      </c>
      <c r="V282" s="18" t="n">
        <v>613.363342501665</v>
      </c>
      <c r="W282" s="212" t="n">
        <v>2023</v>
      </c>
      <c r="X282" s="1" t="n">
        <v>1455712.65</v>
      </c>
      <c r="Y282" s="3" t="n">
        <f aca="false" ca="false" dt2D="false" dtr="false" t="normal">+(K282*10+L282*20)*12*0.85</f>
        <v>352277.39999999997</v>
      </c>
      <c r="Z282" s="3" t="n">
        <f aca="false" ca="false" dt2D="false" dtr="false" t="normal">+(K282*10+L282*20)*12*30</f>
        <v>12433320</v>
      </c>
      <c r="AB282" s="23" t="n">
        <f aca="false" ca="true" dt2D="false" dtr="false" t="normal">SUBTOTAL(9, AC282:AQ282)</f>
        <v>1843690.17</v>
      </c>
      <c r="AC282" s="18" t="n"/>
      <c r="AD282" s="18" t="n"/>
      <c r="AE282" s="18" t="n">
        <v>1824432.9</v>
      </c>
      <c r="AF282" s="18" t="n"/>
      <c r="AG282" s="18" t="n"/>
      <c r="AH282" s="18" t="n"/>
      <c r="AI282" s="18" t="n"/>
      <c r="AJ282" s="18" t="n">
        <v>0</v>
      </c>
      <c r="AK282" s="18" t="n">
        <v>0</v>
      </c>
      <c r="AL282" s="18" t="n">
        <v>0</v>
      </c>
      <c r="AM282" s="18" t="n">
        <v>0</v>
      </c>
      <c r="AN282" s="18" t="n">
        <v>0</v>
      </c>
      <c r="AO282" s="18" t="n"/>
      <c r="AP282" s="18" t="n"/>
      <c r="AQ282" s="156" t="n">
        <v>19257.27</v>
      </c>
      <c r="AR282" s="3" t="n">
        <f aca="false" ca="false" dt2D="false" dtr="false" t="normal">N282-AB282</f>
        <v>0</v>
      </c>
    </row>
    <row customFormat="true" ht="15" outlineLevel="0" r="283" s="184">
      <c r="A283" s="5" t="n">
        <f aca="false" ca="false" dt2D="false" dtr="false" t="normal">+A282+1</f>
        <v>265</v>
      </c>
      <c r="B283" s="159" t="n">
        <f aca="false" ca="false" dt2D="false" dtr="false" t="normal">+B282+1</f>
        <v>77</v>
      </c>
      <c r="C283" s="138" t="s">
        <v>309</v>
      </c>
      <c r="D283" s="138" t="s">
        <v>399</v>
      </c>
      <c r="E283" s="139" t="s">
        <v>400</v>
      </c>
      <c r="F283" s="139" t="n"/>
      <c r="G283" s="139" t="s">
        <v>4</v>
      </c>
      <c r="H283" s="139" t="s">
        <v>159</v>
      </c>
      <c r="I283" s="139" t="s">
        <v>5</v>
      </c>
      <c r="J283" s="17" t="n">
        <v>2017.1</v>
      </c>
      <c r="K283" s="17" t="n">
        <v>1568.7</v>
      </c>
      <c r="L283" s="17" t="n">
        <v>241.9</v>
      </c>
      <c r="M283" s="140" t="n">
        <v>64</v>
      </c>
      <c r="N283" s="16" t="n">
        <f aca="false" ca="false" dt2D="false" dtr="false" t="normal">SUM(P283:T283)</f>
        <v>7026376.8</v>
      </c>
      <c r="O283" s="17" t="n">
        <v>0</v>
      </c>
      <c r="P283" s="18" t="n"/>
      <c r="Q283" s="18" t="n">
        <v>0</v>
      </c>
      <c r="R283" s="18" t="n">
        <v>1239934.29</v>
      </c>
      <c r="S283" s="18" t="n">
        <v>5786442.51</v>
      </c>
      <c r="T283" s="18" t="n"/>
      <c r="U283" s="17" t="n">
        <v>8296.64879648377</v>
      </c>
      <c r="V283" s="17" t="n">
        <v>8296.64879648377</v>
      </c>
      <c r="W283" s="212" t="n">
        <v>2023</v>
      </c>
      <c r="X283" s="184" t="n">
        <v>1030579.29</v>
      </c>
      <c r="Y283" s="3" t="n">
        <f aca="false" ca="false" dt2D="false" dtr="false" t="normal">+(K283*10+L283*20)*12*0.85</f>
        <v>209355</v>
      </c>
      <c r="Z283" s="3" t="n">
        <f aca="false" ca="false" dt2D="false" dtr="false" t="normal">+(K283*10+L283*20)*12*30</f>
        <v>7389000</v>
      </c>
      <c r="AA283" s="3" t="n"/>
      <c r="AB283" s="23" t="n">
        <f aca="false" ca="true" dt2D="false" dtr="false" t="normal">SUBTOTAL(9, AC283:AQ283)</f>
        <v>7026376.8</v>
      </c>
      <c r="AC283" s="18" t="n"/>
      <c r="AD283" s="18" t="n">
        <v>343509.18</v>
      </c>
      <c r="AE283" s="18" t="n">
        <v>1218249.92</v>
      </c>
      <c r="AF283" s="18" t="n">
        <v>605983.06</v>
      </c>
      <c r="AG283" s="18" t="n"/>
      <c r="AH283" s="18" t="n"/>
      <c r="AI283" s="18" t="n"/>
      <c r="AJ283" s="18" t="n"/>
      <c r="AK283" s="18" t="n">
        <v>4289726.93</v>
      </c>
      <c r="AL283" s="18" t="n"/>
      <c r="AM283" s="18" t="n"/>
      <c r="AN283" s="18" t="n"/>
      <c r="AO283" s="18" t="n">
        <v>555193.42</v>
      </c>
      <c r="AP283" s="18" t="n">
        <v>13714.29</v>
      </c>
      <c r="AQ283" s="24" t="n"/>
      <c r="AR283" s="3" t="n">
        <f aca="false" ca="false" dt2D="false" dtr="false" t="normal">N283-AB283</f>
        <v>0</v>
      </c>
      <c r="AT283" s="187" t="n"/>
    </row>
    <row outlineLevel="0" r="284">
      <c r="A284" s="5" t="n">
        <f aca="false" ca="false" dt2D="false" dtr="false" t="normal">+A283+1</f>
        <v>266</v>
      </c>
      <c r="B284" s="159" t="n">
        <f aca="false" ca="false" dt2D="false" dtr="false" t="normal">+B283+1</f>
        <v>78</v>
      </c>
      <c r="C284" s="6" t="s">
        <v>177</v>
      </c>
      <c r="D284" s="6" t="s">
        <v>281</v>
      </c>
      <c r="E284" s="139" t="n">
        <v>1977</v>
      </c>
      <c r="F284" s="139" t="n">
        <v>2013</v>
      </c>
      <c r="G284" s="139" t="s">
        <v>4</v>
      </c>
      <c r="H284" s="139" t="n">
        <v>4</v>
      </c>
      <c r="I284" s="139" t="n">
        <v>4</v>
      </c>
      <c r="J284" s="17" t="n">
        <v>3916.4</v>
      </c>
      <c r="K284" s="17" t="n">
        <v>3440.3</v>
      </c>
      <c r="L284" s="17" t="n">
        <v>0</v>
      </c>
      <c r="M284" s="140" t="n">
        <v>163</v>
      </c>
      <c r="N284" s="16" t="n">
        <f aca="false" ca="false" dt2D="false" dtr="false" t="normal">SUM(P284:T284)</f>
        <v>8130696.910000001</v>
      </c>
      <c r="O284" s="18" t="n"/>
      <c r="P284" s="18" t="n">
        <v>6995444.49</v>
      </c>
      <c r="Q284" s="18" t="n"/>
      <c r="R284" s="18" t="n">
        <v>228325.97</v>
      </c>
      <c r="S284" s="18" t="n">
        <v>906926.450000001</v>
      </c>
      <c r="T284" s="18" t="n"/>
      <c r="U284" s="17" t="n">
        <v>3467.57909790027</v>
      </c>
      <c r="V284" s="17" t="n">
        <v>3467.57909790027</v>
      </c>
      <c r="W284" s="212" t="n">
        <v>2023</v>
      </c>
      <c r="X284" s="12" t="n">
        <f aca="false" ca="false" dt2D="false" dtr="false" t="normal">1681538.39-R107</f>
        <v>-285600.1300000001</v>
      </c>
      <c r="Y284" s="3" t="n">
        <f aca="false" ca="false" dt2D="false" dtr="false" t="normal">+(K284*10+L284*20)*12*0.85</f>
        <v>350910.6</v>
      </c>
      <c r="Z284" s="3" t="n">
        <f aca="false" ca="false" dt2D="false" dtr="false" t="normal">+(K284*10+L284*20)*12*30-S107</f>
        <v>138784.60031340085</v>
      </c>
      <c r="AB284" s="23" t="n">
        <f aca="false" ca="true" dt2D="false" dtr="false" t="normal">SUBTOTAL(9, AC284:AQ284)</f>
        <v>8130696.91</v>
      </c>
      <c r="AC284" s="18" t="n"/>
      <c r="AD284" s="18" t="n"/>
      <c r="AE284" s="18" t="n">
        <v>271883.74</v>
      </c>
      <c r="AF284" s="18" t="n">
        <v>1331235.81</v>
      </c>
      <c r="AG284" s="18" t="n"/>
      <c r="AH284" s="18" t="n"/>
      <c r="AI284" s="18" t="n"/>
      <c r="AJ284" s="18" t="n"/>
      <c r="AK284" s="18" t="n"/>
      <c r="AL284" s="18" t="n"/>
      <c r="AM284" s="18" t="n"/>
      <c r="AN284" s="18" t="n">
        <v>6391541.46</v>
      </c>
      <c r="AO284" s="18" t="n">
        <v>124035.9</v>
      </c>
      <c r="AP284" s="18" t="n">
        <v>12000</v>
      </c>
      <c r="AQ284" s="24" t="n"/>
      <c r="AR284" s="3" t="n">
        <f aca="false" ca="false" dt2D="false" dtr="false" t="normal">N284-AB284</f>
        <v>0</v>
      </c>
    </row>
    <row outlineLevel="0" r="285">
      <c r="A285" s="5" t="n">
        <f aca="false" ca="false" dt2D="false" dtr="false" t="normal">+A284+1</f>
        <v>267</v>
      </c>
      <c r="B285" s="159" t="n">
        <f aca="false" ca="false" dt2D="false" dtr="false" t="normal">+B284+1</f>
        <v>79</v>
      </c>
      <c r="C285" s="6" t="s">
        <v>177</v>
      </c>
      <c r="D285" s="6" t="s">
        <v>396</v>
      </c>
      <c r="E285" s="139" t="n">
        <v>1964</v>
      </c>
      <c r="F285" s="139" t="n">
        <v>2009</v>
      </c>
      <c r="G285" s="139" t="s">
        <v>4</v>
      </c>
      <c r="H285" s="139" t="n">
        <v>4</v>
      </c>
      <c r="I285" s="139" t="n">
        <v>2</v>
      </c>
      <c r="J285" s="17" t="n">
        <v>1462.3</v>
      </c>
      <c r="K285" s="17" t="n">
        <v>1198.6</v>
      </c>
      <c r="L285" s="17" t="n">
        <v>42.9</v>
      </c>
      <c r="M285" s="140" t="n">
        <v>60</v>
      </c>
      <c r="N285" s="16" t="n">
        <f aca="false" ca="false" dt2D="false" dtr="false" t="normal">SUM(P285:T285)</f>
        <v>6665821.88</v>
      </c>
      <c r="O285" s="18" t="n"/>
      <c r="P285" s="18" t="n">
        <f aca="false" ca="false" dt2D="false" dtr="false" t="normal">1803576.66-212153.56</f>
        <v>1591423.0999999999</v>
      </c>
      <c r="Q285" s="18" t="n"/>
      <c r="R285" s="18" t="n">
        <v>737678.98</v>
      </c>
      <c r="S285" s="18" t="n">
        <v>4336719.8</v>
      </c>
      <c r="T285" s="18" t="n"/>
      <c r="U285" s="18" t="n">
        <v>9794.7952386897</v>
      </c>
      <c r="V285" s="18" t="n">
        <v>1311.283020064</v>
      </c>
      <c r="W285" s="212" t="n">
        <v>2023</v>
      </c>
      <c r="X285" s="1" t="n">
        <f aca="false" ca="false" dt2D="false" dtr="false" t="normal">686372.31-86252.57</f>
        <v>600119.74</v>
      </c>
      <c r="Y285" s="3" t="n">
        <f aca="false" ca="false" dt2D="false" dtr="false" t="normal">+(K285*10.5+L285*21)*12*0.85</f>
        <v>137559.24</v>
      </c>
      <c r="Z285" s="3" t="n">
        <f aca="false" ca="false" dt2D="false" dtr="false" t="normal">+(K285*10.5+L285*21)*12*30</f>
        <v>4855032</v>
      </c>
      <c r="AB285" s="158" t="n">
        <f aca="false" ca="true" dt2D="false" dtr="false" t="normal">SUBTOTAL(9, AC285:AQ285)</f>
        <v>6665821.88</v>
      </c>
      <c r="AC285" s="18" t="n">
        <v>2848325.83</v>
      </c>
      <c r="AD285" s="18" t="n"/>
      <c r="AE285" s="18" t="n"/>
      <c r="AF285" s="18" t="n"/>
      <c r="AG285" s="18" t="n"/>
      <c r="AH285" s="18" t="n"/>
      <c r="AI285" s="18" t="n"/>
      <c r="AJ285" s="18" t="n">
        <v>0</v>
      </c>
      <c r="AK285" s="18" t="n">
        <v>3676704.18</v>
      </c>
      <c r="AL285" s="18" t="n">
        <v>0</v>
      </c>
      <c r="AM285" s="18" t="n"/>
      <c r="AN285" s="18" t="n"/>
      <c r="AO285" s="18" t="n">
        <v>133934.73</v>
      </c>
      <c r="AP285" s="18" t="n">
        <v>6857.14</v>
      </c>
      <c r="AQ285" s="24" t="n"/>
      <c r="AR285" s="3" t="n">
        <f aca="false" ca="false" dt2D="false" dtr="false" t="normal">N285-AB285</f>
        <v>0</v>
      </c>
    </row>
    <row outlineLevel="0" r="286">
      <c r="A286" s="5" t="n">
        <f aca="false" ca="false" dt2D="false" dtr="false" t="normal">+A285+1</f>
        <v>268</v>
      </c>
      <c r="B286" s="159" t="n">
        <f aca="false" ca="false" dt2D="false" dtr="false" t="normal">+B285+1</f>
        <v>80</v>
      </c>
      <c r="C286" s="138" t="s">
        <v>177</v>
      </c>
      <c r="D286" s="138" t="s">
        <v>572</v>
      </c>
      <c r="E286" s="139" t="n">
        <v>1971</v>
      </c>
      <c r="F286" s="139" t="n">
        <v>2013</v>
      </c>
      <c r="G286" s="139" t="s">
        <v>4</v>
      </c>
      <c r="H286" s="139" t="n">
        <v>4</v>
      </c>
      <c r="I286" s="139" t="n">
        <v>4</v>
      </c>
      <c r="J286" s="17" t="n">
        <v>4741.46</v>
      </c>
      <c r="K286" s="17" t="n">
        <v>3462.3</v>
      </c>
      <c r="L286" s="17" t="n">
        <v>0</v>
      </c>
      <c r="M286" s="140" t="n">
        <v>145</v>
      </c>
      <c r="N286" s="16" t="n">
        <f aca="false" ca="false" dt2D="false" dtr="false" t="normal">SUM(P286:T286)</f>
        <v>1421417.84</v>
      </c>
      <c r="O286" s="17" t="n"/>
      <c r="P286" s="18" t="n"/>
      <c r="Q286" s="18" t="n"/>
      <c r="R286" s="18" t="n">
        <v>1392786.91</v>
      </c>
      <c r="S286" s="18" t="n">
        <v>28630.9300000001</v>
      </c>
      <c r="T286" s="18" t="n"/>
      <c r="U286" s="17" t="n">
        <v>462.579279114057</v>
      </c>
      <c r="V286" s="17" t="n">
        <v>462.579279114057</v>
      </c>
      <c r="W286" s="212" t="n">
        <v>2023</v>
      </c>
      <c r="X286" s="1" t="n">
        <v>1642541.21</v>
      </c>
      <c r="Y286" s="3" t="n">
        <f aca="false" ca="false" dt2D="false" dtr="false" t="normal">+(K286*10+L286*20)*12*0.85</f>
        <v>353154.6</v>
      </c>
      <c r="Z286" s="3" t="n">
        <f aca="false" ca="false" dt2D="false" dtr="false" t="normal">+(K286*10+L286*20)*12*30</f>
        <v>12464280</v>
      </c>
      <c r="AB286" s="23" t="n">
        <f aca="false" ca="true" dt2D="false" dtr="false" t="normal">SUBTOTAL(9, AC286:AQ286)</f>
        <v>1421417.84</v>
      </c>
      <c r="AC286" s="18" t="n">
        <v>0</v>
      </c>
      <c r="AD286" s="18" t="n">
        <v>0</v>
      </c>
      <c r="AE286" s="18" t="n">
        <v>0</v>
      </c>
      <c r="AF286" s="18" t="n">
        <v>0</v>
      </c>
      <c r="AG286" s="18" t="n">
        <v>1421417.84</v>
      </c>
      <c r="AH286" s="18" t="n"/>
      <c r="AI286" s="18" t="n"/>
      <c r="AJ286" s="18" t="n">
        <v>0</v>
      </c>
      <c r="AK286" s="18" t="n">
        <v>0</v>
      </c>
      <c r="AL286" s="18" t="n">
        <v>0</v>
      </c>
      <c r="AM286" s="18" t="n">
        <v>0</v>
      </c>
      <c r="AN286" s="18" t="n"/>
      <c r="AO286" s="18" t="n"/>
      <c r="AP286" s="18" t="n"/>
      <c r="AQ286" s="24" t="n"/>
      <c r="AR286" s="3" t="n">
        <f aca="false" ca="false" dt2D="false" dtr="false" t="normal">N286-AB286</f>
        <v>0</v>
      </c>
    </row>
    <row outlineLevel="0" r="287">
      <c r="A287" s="5" t="n">
        <f aca="false" ca="false" dt2D="false" dtr="false" t="normal">+A286+1</f>
        <v>269</v>
      </c>
      <c r="B287" s="159" t="n">
        <f aca="false" ca="false" dt2D="false" dtr="false" t="normal">+B286+1</f>
        <v>81</v>
      </c>
      <c r="C287" s="138" t="s">
        <v>177</v>
      </c>
      <c r="D287" s="138" t="s">
        <v>573</v>
      </c>
      <c r="E287" s="139" t="n">
        <v>1972</v>
      </c>
      <c r="F287" s="139" t="n">
        <v>2013</v>
      </c>
      <c r="G287" s="139" t="s">
        <v>4</v>
      </c>
      <c r="H287" s="139" t="n">
        <v>4</v>
      </c>
      <c r="I287" s="139" t="n">
        <v>4</v>
      </c>
      <c r="J287" s="17" t="n">
        <v>4744.06</v>
      </c>
      <c r="K287" s="17" t="n">
        <v>3488.5</v>
      </c>
      <c r="L287" s="17" t="n">
        <v>0</v>
      </c>
      <c r="M287" s="140" t="n">
        <v>131</v>
      </c>
      <c r="N287" s="16" t="n">
        <f aca="false" ca="false" dt2D="false" dtr="false" t="normal">SUM(P287:T287)</f>
        <v>1405107.53</v>
      </c>
      <c r="O287" s="17" t="n"/>
      <c r="P287" s="18" t="n"/>
      <c r="Q287" s="18" t="n"/>
      <c r="R287" s="18" t="n">
        <v>1405107.53</v>
      </c>
      <c r="S287" s="18" t="n"/>
      <c r="T287" s="18" t="n"/>
      <c r="U287" s="17" t="n">
        <v>404.567505855239</v>
      </c>
      <c r="V287" s="17" t="n">
        <v>404.567505855239</v>
      </c>
      <c r="W287" s="212" t="n">
        <v>2023</v>
      </c>
      <c r="X287" s="1" t="n">
        <v>1719366.16</v>
      </c>
      <c r="Y287" s="3" t="n">
        <f aca="false" ca="false" dt2D="false" dtr="false" t="normal">+(K287*10+L287*20)*12*0.85</f>
        <v>355827</v>
      </c>
      <c r="Z287" s="3" t="n">
        <f aca="false" ca="false" dt2D="false" dtr="false" t="normal">+(K287*10+L287*20)*12*30</f>
        <v>12558600</v>
      </c>
      <c r="AB287" s="23" t="n">
        <f aca="false" ca="true" dt2D="false" dtr="false" t="normal">SUBTOTAL(9, AC287:AQ287)</f>
        <v>1405107.53</v>
      </c>
      <c r="AC287" s="18" t="n">
        <v>0</v>
      </c>
      <c r="AD287" s="18" t="n">
        <v>0</v>
      </c>
      <c r="AE287" s="18" t="n">
        <v>0</v>
      </c>
      <c r="AF287" s="18" t="n">
        <v>0</v>
      </c>
      <c r="AG287" s="18" t="n">
        <v>1405107.53</v>
      </c>
      <c r="AH287" s="18" t="n"/>
      <c r="AI287" s="18" t="n"/>
      <c r="AJ287" s="18" t="n">
        <v>0</v>
      </c>
      <c r="AK287" s="18" t="n">
        <v>0</v>
      </c>
      <c r="AL287" s="18" t="n">
        <v>0</v>
      </c>
      <c r="AM287" s="18" t="n">
        <v>0</v>
      </c>
      <c r="AN287" s="18" t="n"/>
      <c r="AO287" s="18" t="n"/>
      <c r="AP287" s="18" t="n"/>
      <c r="AQ287" s="24" t="n"/>
      <c r="AR287" s="3" t="n">
        <f aca="false" ca="false" dt2D="false" dtr="false" t="normal">N287-AB287</f>
        <v>0</v>
      </c>
    </row>
    <row outlineLevel="0" r="288">
      <c r="A288" s="5" t="n">
        <f aca="false" ca="false" dt2D="false" dtr="false" t="normal">+A287+1</f>
        <v>270</v>
      </c>
      <c r="B288" s="159" t="n">
        <f aca="false" ca="false" dt2D="false" dtr="false" t="normal">+B287+1</f>
        <v>82</v>
      </c>
      <c r="C288" s="138" t="s">
        <v>177</v>
      </c>
      <c r="D288" s="138" t="s">
        <v>575</v>
      </c>
      <c r="E288" s="139" t="n">
        <v>1972</v>
      </c>
      <c r="F288" s="139" t="n">
        <v>2013</v>
      </c>
      <c r="G288" s="139" t="s">
        <v>4</v>
      </c>
      <c r="H288" s="139" t="n">
        <v>4</v>
      </c>
      <c r="I288" s="139" t="n">
        <v>4</v>
      </c>
      <c r="J288" s="17" t="n">
        <v>4681.66</v>
      </c>
      <c r="K288" s="17" t="n">
        <v>3441.2</v>
      </c>
      <c r="L288" s="17" t="n">
        <v>0</v>
      </c>
      <c r="M288" s="140" t="n">
        <v>142</v>
      </c>
      <c r="N288" s="16" t="n">
        <f aca="false" ca="false" dt2D="false" dtr="false" t="normal">SUM(P288:T288)</f>
        <v>1413665.12</v>
      </c>
      <c r="O288" s="17" t="n"/>
      <c r="P288" s="18" t="n"/>
      <c r="Q288" s="18" t="n"/>
      <c r="R288" s="18" t="n">
        <v>1413665.12</v>
      </c>
      <c r="S288" s="18" t="n"/>
      <c r="T288" s="18" t="n"/>
      <c r="U288" s="17" t="n">
        <v>412.616085718935</v>
      </c>
      <c r="V288" s="17" t="n">
        <v>412.616085718935</v>
      </c>
      <c r="W288" s="212" t="n">
        <v>2023</v>
      </c>
      <c r="X288" s="1" t="n">
        <v>1671383.18</v>
      </c>
      <c r="Y288" s="3" t="n">
        <f aca="false" ca="false" dt2D="false" dtr="false" t="normal">+(K288*10+L288*20)*12*0.85</f>
        <v>351002.39999999997</v>
      </c>
      <c r="Z288" s="3" t="n">
        <f aca="false" ca="false" dt2D="false" dtr="false" t="normal">+(K288*10+L288*20)*12*30</f>
        <v>12388320</v>
      </c>
      <c r="AB288" s="23" t="n">
        <f aca="false" ca="true" dt2D="false" dtr="false" t="normal">SUBTOTAL(9, AC288:AQ288)</f>
        <v>1413665.12</v>
      </c>
      <c r="AC288" s="18" t="n">
        <v>0</v>
      </c>
      <c r="AD288" s="18" t="n">
        <v>0</v>
      </c>
      <c r="AE288" s="18" t="n">
        <v>0</v>
      </c>
      <c r="AF288" s="18" t="n">
        <v>0</v>
      </c>
      <c r="AG288" s="18" t="n">
        <v>1413665.12</v>
      </c>
      <c r="AH288" s="18" t="n"/>
      <c r="AI288" s="18" t="n"/>
      <c r="AJ288" s="18" t="n">
        <v>0</v>
      </c>
      <c r="AK288" s="18" t="n">
        <v>0</v>
      </c>
      <c r="AL288" s="18" t="n">
        <v>0</v>
      </c>
      <c r="AM288" s="18" t="n">
        <v>0</v>
      </c>
      <c r="AN288" s="18" t="n"/>
      <c r="AO288" s="18" t="n"/>
      <c r="AP288" s="18" t="n"/>
      <c r="AQ288" s="24" t="n"/>
      <c r="AR288" s="3" t="n">
        <f aca="false" ca="false" dt2D="false" dtr="false" t="normal">N288-AB288</f>
        <v>0</v>
      </c>
    </row>
    <row outlineLevel="0" r="289">
      <c r="A289" s="5" t="n">
        <f aca="false" ca="false" dt2D="false" dtr="false" t="normal">+A288+1</f>
        <v>271</v>
      </c>
      <c r="B289" s="159" t="n">
        <f aca="false" ca="false" dt2D="false" dtr="false" t="normal">+B288+1</f>
        <v>83</v>
      </c>
      <c r="C289" s="6" t="s">
        <v>177</v>
      </c>
      <c r="D289" s="6" t="s">
        <v>576</v>
      </c>
      <c r="E289" s="139" t="n">
        <v>1968</v>
      </c>
      <c r="F289" s="139" t="n">
        <v>2013</v>
      </c>
      <c r="G289" s="139" t="s">
        <v>4</v>
      </c>
      <c r="H289" s="139" t="n">
        <v>4</v>
      </c>
      <c r="I289" s="139" t="n">
        <v>4</v>
      </c>
      <c r="J289" s="17" t="n">
        <v>2683.3</v>
      </c>
      <c r="K289" s="17" t="n">
        <v>2455</v>
      </c>
      <c r="L289" s="17" t="n">
        <v>0</v>
      </c>
      <c r="M289" s="140" t="n">
        <v>116</v>
      </c>
      <c r="N289" s="16" t="n">
        <f aca="false" ca="false" dt2D="false" dtr="false" t="normal">SUM(P289:T289)</f>
        <v>17110940.630000003</v>
      </c>
      <c r="O289" s="18" t="n"/>
      <c r="P289" s="18" t="n">
        <v>3292073.34</v>
      </c>
      <c r="Q289" s="18" t="n"/>
      <c r="R289" s="27" t="n">
        <v>833638.4</v>
      </c>
      <c r="S289" s="18" t="n">
        <v>10734382.8092458</v>
      </c>
      <c r="T289" s="18" t="n">
        <v>2250846.0807542</v>
      </c>
      <c r="U289" s="17" t="n">
        <v>10413.6714172969</v>
      </c>
      <c r="V289" s="17" t="n">
        <v>10413.6714172969</v>
      </c>
      <c r="W289" s="212" t="n">
        <v>2023</v>
      </c>
      <c r="X289" s="1" t="n">
        <f aca="false" ca="false" dt2D="false" dtr="false" t="normal">1035919.14-96406.2</f>
        <v>939512.9400000001</v>
      </c>
      <c r="Y289" s="3" t="n">
        <f aca="false" ca="false" dt2D="false" dtr="false" t="normal">+(K289*10+L289*20)*12*0.85</f>
        <v>250410</v>
      </c>
      <c r="Z289" s="3" t="n">
        <f aca="false" ca="false" dt2D="false" dtr="false" t="normal">+(K289*10+L289*20)*12*30</f>
        <v>8838000</v>
      </c>
      <c r="AB289" s="23" t="n">
        <f aca="false" ca="true" dt2D="false" dtr="false" t="normal">SUBTOTAL(9, AC289:AQ289)</f>
        <v>17110940.63</v>
      </c>
      <c r="AC289" s="18" t="n">
        <v>5599699.6</v>
      </c>
      <c r="AD289" s="18" t="n"/>
      <c r="AE289" s="18" t="n">
        <v>2421941.33</v>
      </c>
      <c r="AF289" s="18" t="n">
        <v>1626971.98</v>
      </c>
      <c r="AG289" s="18" t="n"/>
      <c r="AH289" s="18" t="n"/>
      <c r="AI289" s="18" t="n"/>
      <c r="AJ289" s="18" t="n">
        <v>0</v>
      </c>
      <c r="AK289" s="18" t="n">
        <v>7300062.82</v>
      </c>
      <c r="AL289" s="18" t="n">
        <v>0</v>
      </c>
      <c r="AM289" s="18" t="n">
        <v>0</v>
      </c>
      <c r="AN289" s="18" t="n"/>
      <c r="AO289" s="18" t="n">
        <v>143064.9</v>
      </c>
      <c r="AP289" s="18" t="n">
        <v>19200</v>
      </c>
      <c r="AQ289" s="24" t="n"/>
      <c r="AR289" s="3" t="n">
        <f aca="false" ca="false" dt2D="false" dtr="false" t="normal">N289-AB289</f>
        <v>0</v>
      </c>
    </row>
    <row outlineLevel="0" r="290">
      <c r="A290" s="5" t="n">
        <f aca="false" ca="false" dt2D="false" dtr="false" t="normal">+A289+1</f>
        <v>272</v>
      </c>
      <c r="B290" s="159" t="n">
        <f aca="false" ca="false" dt2D="false" dtr="false" t="normal">+B289+1</f>
        <v>84</v>
      </c>
      <c r="C290" s="138" t="s">
        <v>177</v>
      </c>
      <c r="D290" s="138" t="s">
        <v>577</v>
      </c>
      <c r="E290" s="139" t="n">
        <v>1970</v>
      </c>
      <c r="F290" s="139" t="n">
        <v>2013</v>
      </c>
      <c r="G290" s="139" t="s">
        <v>4</v>
      </c>
      <c r="H290" s="139" t="n">
        <v>4</v>
      </c>
      <c r="I290" s="139" t="n">
        <v>4</v>
      </c>
      <c r="J290" s="17" t="n">
        <v>2722.8</v>
      </c>
      <c r="K290" s="17" t="n">
        <v>2468.7</v>
      </c>
      <c r="L290" s="17" t="n">
        <v>72.1</v>
      </c>
      <c r="M290" s="140" t="n">
        <v>146</v>
      </c>
      <c r="N290" s="16" t="n">
        <f aca="false" ca="false" dt2D="false" dtr="false" t="normal">SUM(P290:T290)</f>
        <v>16447028.85</v>
      </c>
      <c r="O290" s="18" t="n"/>
      <c r="P290" s="18" t="n">
        <v>3301463.24</v>
      </c>
      <c r="Q290" s="18" t="n"/>
      <c r="R290" s="18" t="n">
        <v>1018761</v>
      </c>
      <c r="S290" s="18" t="n">
        <v>11071937.5826097</v>
      </c>
      <c r="T290" s="18" t="n">
        <v>1054867.0273903</v>
      </c>
      <c r="U290" s="17" t="n">
        <v>10175.7369118931</v>
      </c>
      <c r="V290" s="17" t="n">
        <v>10175.7369118931</v>
      </c>
      <c r="W290" s="212" t="n">
        <v>2023</v>
      </c>
      <c r="X290" s="1" t="n">
        <f aca="false" ca="false" dt2D="false" dtr="false" t="normal">1230267.29-95960.13</f>
        <v>1134307.1600000001</v>
      </c>
      <c r="Y290" s="3" t="n">
        <f aca="false" ca="false" dt2D="false" dtr="false" t="normal">+(K290*10+L290*20)*12*0.85</f>
        <v>266515.8</v>
      </c>
      <c r="Z290" s="3" t="n">
        <f aca="false" ca="false" dt2D="false" dtr="false" t="normal">+(K290*10+L290*20)*12*30</f>
        <v>9406440</v>
      </c>
      <c r="AB290" s="23" t="n">
        <f aca="false" ca="true" dt2D="false" dtr="false" t="normal">SUBTOTAL(9, AC290:AQ290)</f>
        <v>16447028.85</v>
      </c>
      <c r="AC290" s="18" t="n">
        <v>5635685.27</v>
      </c>
      <c r="AD290" s="18" t="n"/>
      <c r="AE290" s="18" t="n">
        <v>2462247.36</v>
      </c>
      <c r="AF290" s="18" t="n">
        <v>1533694.94</v>
      </c>
      <c r="AG290" s="18" t="n"/>
      <c r="AH290" s="18" t="n"/>
      <c r="AI290" s="18" t="n"/>
      <c r="AJ290" s="18" t="n">
        <v>0</v>
      </c>
      <c r="AK290" s="18" t="n">
        <v>6654965.23</v>
      </c>
      <c r="AL290" s="18" t="n">
        <v>0</v>
      </c>
      <c r="AM290" s="18" t="n">
        <v>0</v>
      </c>
      <c r="AN290" s="18" t="n">
        <v>0</v>
      </c>
      <c r="AO290" s="18" t="n">
        <v>141236.05</v>
      </c>
      <c r="AP290" s="18" t="n">
        <v>19200</v>
      </c>
      <c r="AQ290" s="24" t="n"/>
      <c r="AR290" s="3" t="n">
        <f aca="false" ca="false" dt2D="false" dtr="false" t="normal">N290-AB290</f>
        <v>0</v>
      </c>
    </row>
    <row outlineLevel="0" r="291">
      <c r="A291" s="5" t="n">
        <f aca="false" ca="false" dt2D="false" dtr="false" t="normal">+A290+1</f>
        <v>273</v>
      </c>
      <c r="B291" s="159" t="n">
        <f aca="false" ca="false" dt2D="false" dtr="false" t="normal">+B290+1</f>
        <v>85</v>
      </c>
      <c r="C291" s="138" t="s">
        <v>177</v>
      </c>
      <c r="D291" s="6" t="s">
        <v>579</v>
      </c>
      <c r="E291" s="139" t="n">
        <v>1970</v>
      </c>
      <c r="F291" s="139" t="n">
        <v>2013</v>
      </c>
      <c r="G291" s="139" t="s">
        <v>4</v>
      </c>
      <c r="H291" s="139" t="n">
        <v>4</v>
      </c>
      <c r="I291" s="139" t="n">
        <v>4</v>
      </c>
      <c r="J291" s="17" t="n">
        <v>2981.5</v>
      </c>
      <c r="K291" s="17" t="n">
        <v>2738.8</v>
      </c>
      <c r="L291" s="17" t="n">
        <v>0</v>
      </c>
      <c r="M291" s="140" t="n">
        <v>153</v>
      </c>
      <c r="N291" s="16" t="n">
        <f aca="false" ca="false" dt2D="false" dtr="false" t="normal">SUM(P291:T291)</f>
        <v>15858041.98</v>
      </c>
      <c r="O291" s="18" t="n"/>
      <c r="P291" s="18" t="n">
        <v>8901315</v>
      </c>
      <c r="Q291" s="18" t="n"/>
      <c r="R291" s="18" t="n">
        <v>1403777.48</v>
      </c>
      <c r="S291" s="18" t="n">
        <v>5552949.5</v>
      </c>
      <c r="T291" s="18" t="n"/>
      <c r="U291" s="17" t="n">
        <v>10190.5104018665</v>
      </c>
      <c r="V291" s="17" t="n">
        <v>10190.5104018665</v>
      </c>
      <c r="W291" s="212" t="n">
        <v>2023</v>
      </c>
      <c r="X291" s="1" t="n">
        <f aca="false" ca="false" dt2D="false" dtr="false" t="normal">1220932.16-96512.28</f>
        <v>1124419.88</v>
      </c>
      <c r="Y291" s="3" t="n">
        <f aca="false" ca="false" dt2D="false" dtr="false" t="normal">+(K291*10+L291*20)*12*0.85</f>
        <v>279357.6</v>
      </c>
      <c r="Z291" s="3" t="n">
        <f aca="false" ca="false" dt2D="false" dtr="false" t="normal">+(K291*10+L291*20)*12*30</f>
        <v>9859680</v>
      </c>
      <c r="AB291" s="23" t="n">
        <f aca="false" ca="true" dt2D="false" dtr="false" t="normal">SUBTOTAL(9, AC291:AQ291)</f>
        <v>15858041.98</v>
      </c>
      <c r="AC291" s="18" t="n"/>
      <c r="AD291" s="18" t="n"/>
      <c r="AE291" s="18" t="n">
        <v>1704018.34</v>
      </c>
      <c r="AF291" s="18" t="n">
        <v>1334515.24</v>
      </c>
      <c r="AG291" s="18" t="n"/>
      <c r="AH291" s="18" t="n"/>
      <c r="AI291" s="18" t="n"/>
      <c r="AJ291" s="18" t="n">
        <v>0</v>
      </c>
      <c r="AK291" s="18" t="n">
        <v>6866520.98</v>
      </c>
      <c r="AL291" s="18" t="n">
        <v>0</v>
      </c>
      <c r="AM291" s="18" t="n">
        <v>0</v>
      </c>
      <c r="AN291" s="18" t="n">
        <v>5952987.42</v>
      </c>
      <c r="AO291" s="18" t="n"/>
      <c r="AP291" s="18" t="n"/>
      <c r="AQ291" s="24" t="n"/>
      <c r="AR291" s="3" t="n">
        <f aca="false" ca="false" dt2D="false" dtr="false" t="normal">N291-AB291</f>
        <v>0</v>
      </c>
    </row>
    <row outlineLevel="0" r="292">
      <c r="A292" s="5" t="n">
        <f aca="false" ca="false" dt2D="false" dtr="false" t="normal">+A291+1</f>
        <v>274</v>
      </c>
      <c r="B292" s="159" t="n">
        <f aca="false" ca="false" dt2D="false" dtr="false" t="normal">+B291+1</f>
        <v>86</v>
      </c>
      <c r="C292" s="138" t="s">
        <v>177</v>
      </c>
      <c r="D292" s="138" t="s">
        <v>580</v>
      </c>
      <c r="E292" s="139" t="n">
        <v>1972</v>
      </c>
      <c r="F292" s="139" t="n">
        <v>2013</v>
      </c>
      <c r="G292" s="139" t="s">
        <v>4</v>
      </c>
      <c r="H292" s="139" t="n">
        <v>4</v>
      </c>
      <c r="I292" s="139" t="n">
        <v>4</v>
      </c>
      <c r="J292" s="17" t="n">
        <v>4795.56</v>
      </c>
      <c r="K292" s="17" t="n">
        <v>3559.4</v>
      </c>
      <c r="L292" s="17" t="n">
        <v>0</v>
      </c>
      <c r="M292" s="140" t="n">
        <v>159</v>
      </c>
      <c r="N292" s="16" t="n">
        <f aca="false" ca="false" dt2D="false" dtr="false" t="normal">SUM(P292:T292)</f>
        <v>1512746.4</v>
      </c>
      <c r="O292" s="17" t="n"/>
      <c r="P292" s="18" t="n"/>
      <c r="Q292" s="18" t="n"/>
      <c r="R292" s="18" t="n">
        <v>1256015.48</v>
      </c>
      <c r="S292" s="18" t="n">
        <v>256730.92</v>
      </c>
      <c r="T292" s="18" t="n"/>
      <c r="U292" s="17" t="n">
        <v>426.995111535652</v>
      </c>
      <c r="V292" s="17" t="n">
        <v>426.995111535652</v>
      </c>
      <c r="W292" s="212" t="n">
        <v>2023</v>
      </c>
      <c r="X292" s="1" t="n">
        <v>1597911.73</v>
      </c>
      <c r="Y292" s="3" t="n">
        <f aca="false" ca="false" dt2D="false" dtr="false" t="normal">+(K292*10+L292*20)*12*0.85</f>
        <v>363058.8</v>
      </c>
      <c r="Z292" s="3" t="n">
        <f aca="false" ca="false" dt2D="false" dtr="false" t="normal">+(K292*10+L292*20)*12*30</f>
        <v>12813840</v>
      </c>
      <c r="AB292" s="23" t="n">
        <f aca="false" ca="true" dt2D="false" dtr="false" t="normal">SUBTOTAL(9, AC292:AQ292)</f>
        <v>1512746.4</v>
      </c>
      <c r="AC292" s="18" t="n">
        <v>0</v>
      </c>
      <c r="AD292" s="18" t="n">
        <v>0</v>
      </c>
      <c r="AE292" s="18" t="n">
        <v>0</v>
      </c>
      <c r="AF292" s="18" t="n">
        <v>0</v>
      </c>
      <c r="AG292" s="18" t="n">
        <v>1512746.4</v>
      </c>
      <c r="AH292" s="18" t="n"/>
      <c r="AI292" s="18" t="n"/>
      <c r="AJ292" s="18" t="n">
        <v>0</v>
      </c>
      <c r="AK292" s="18" t="n">
        <v>0</v>
      </c>
      <c r="AL292" s="18" t="n">
        <v>0</v>
      </c>
      <c r="AM292" s="18" t="n">
        <v>0</v>
      </c>
      <c r="AN292" s="18" t="n">
        <v>0</v>
      </c>
      <c r="AO292" s="18" t="n"/>
      <c r="AP292" s="18" t="n"/>
      <c r="AQ292" s="24" t="n"/>
      <c r="AR292" s="3" t="n">
        <f aca="false" ca="false" dt2D="false" dtr="false" t="normal">N292-AB292</f>
        <v>0</v>
      </c>
    </row>
    <row outlineLevel="0" r="293">
      <c r="A293" s="5" t="n">
        <f aca="false" ca="false" dt2D="false" dtr="false" t="normal">+A292+1</f>
        <v>275</v>
      </c>
      <c r="B293" s="159" t="n">
        <f aca="false" ca="false" dt2D="false" dtr="false" t="normal">+B292+1</f>
        <v>87</v>
      </c>
      <c r="C293" s="138" t="s">
        <v>177</v>
      </c>
      <c r="D293" s="138" t="s">
        <v>288</v>
      </c>
      <c r="E293" s="139" t="n">
        <v>1973</v>
      </c>
      <c r="F293" s="139" t="n">
        <v>2013</v>
      </c>
      <c r="G293" s="139" t="s">
        <v>4</v>
      </c>
      <c r="H293" s="139" t="n">
        <v>4</v>
      </c>
      <c r="I293" s="139" t="n">
        <v>4</v>
      </c>
      <c r="J293" s="17" t="n">
        <v>4678.76</v>
      </c>
      <c r="K293" s="17" t="n">
        <v>3451.8</v>
      </c>
      <c r="L293" s="17" t="n">
        <v>0</v>
      </c>
      <c r="M293" s="140" t="n">
        <v>168</v>
      </c>
      <c r="N293" s="16" t="n">
        <f aca="false" ca="false" dt2D="false" dtr="false" t="normal">SUM(P293:T293)</f>
        <v>1512746.4</v>
      </c>
      <c r="O293" s="17" t="n"/>
      <c r="P293" s="18" t="n"/>
      <c r="Q293" s="18" t="n"/>
      <c r="R293" s="18" t="n">
        <v>0</v>
      </c>
      <c r="S293" s="18" t="n">
        <v>1512746.4</v>
      </c>
      <c r="T293" s="18" t="n"/>
      <c r="U293" s="17" t="n">
        <v>440.390407903123</v>
      </c>
      <c r="V293" s="17" t="n">
        <v>440.390407903123</v>
      </c>
      <c r="W293" s="212" t="n">
        <v>2023</v>
      </c>
      <c r="X293" s="12" t="n">
        <f aca="false" ca="false" dt2D="false" dtr="false" t="normal">1522745.97-R111</f>
        <v>-352083.6000000001</v>
      </c>
      <c r="Y293" s="3" t="n">
        <f aca="false" ca="false" dt2D="false" dtr="false" t="normal">+(K293*10+L293*20)*12*0.85</f>
        <v>352083.6</v>
      </c>
      <c r="Z293" s="3" t="n">
        <f aca="false" ca="false" dt2D="false" dtr="false" t="normal">+(K293*10+L293*20)*12*30-S111</f>
        <v>12356573.03</v>
      </c>
      <c r="AB293" s="23" t="n">
        <f aca="false" ca="true" dt2D="false" dtr="false" t="normal">SUBTOTAL(9, AC293:AQ293)</f>
        <v>1512746.4</v>
      </c>
      <c r="AC293" s="18" t="n">
        <v>0</v>
      </c>
      <c r="AD293" s="18" t="n">
        <v>0</v>
      </c>
      <c r="AE293" s="18" t="n">
        <v>0</v>
      </c>
      <c r="AF293" s="18" t="n">
        <v>0</v>
      </c>
      <c r="AG293" s="18" t="n">
        <v>1512746.4</v>
      </c>
      <c r="AH293" s="18" t="n"/>
      <c r="AI293" s="18" t="n"/>
      <c r="AJ293" s="18" t="n">
        <v>0</v>
      </c>
      <c r="AK293" s="18" t="n">
        <v>0</v>
      </c>
      <c r="AL293" s="18" t="n">
        <v>0</v>
      </c>
      <c r="AM293" s="18" t="n">
        <v>0</v>
      </c>
      <c r="AN293" s="18" t="n"/>
      <c r="AO293" s="18" t="n"/>
      <c r="AP293" s="18" t="n"/>
      <c r="AQ293" s="24" t="n"/>
      <c r="AR293" s="3" t="n">
        <f aca="false" ca="false" dt2D="false" dtr="false" t="normal">N293-AB293</f>
        <v>0</v>
      </c>
    </row>
    <row outlineLevel="0" r="294">
      <c r="A294" s="5" t="n">
        <f aca="false" ca="false" dt2D="false" dtr="false" t="normal">+A293+1</f>
        <v>276</v>
      </c>
      <c r="B294" s="159" t="n">
        <f aca="false" ca="false" dt2D="false" dtr="false" t="normal">+B293+1</f>
        <v>88</v>
      </c>
      <c r="C294" s="138" t="s">
        <v>177</v>
      </c>
      <c r="D294" s="138" t="s">
        <v>283</v>
      </c>
      <c r="E294" s="139" t="n">
        <v>1992</v>
      </c>
      <c r="F294" s="139" t="n">
        <v>2013</v>
      </c>
      <c r="G294" s="139" t="s">
        <v>4</v>
      </c>
      <c r="H294" s="139" t="n">
        <v>5</v>
      </c>
      <c r="I294" s="139" t="n">
        <v>4</v>
      </c>
      <c r="J294" s="17" t="n">
        <v>5274.7</v>
      </c>
      <c r="K294" s="17" t="n">
        <v>4397.95</v>
      </c>
      <c r="L294" s="17" t="n">
        <v>82.7</v>
      </c>
      <c r="M294" s="140" t="n">
        <v>351</v>
      </c>
      <c r="N294" s="16" t="n">
        <f aca="false" ca="false" dt2D="false" dtr="false" t="normal">SUM(P294:T294)</f>
        <v>5508552.49</v>
      </c>
      <c r="O294" s="17" t="n"/>
      <c r="P294" s="18" t="n"/>
      <c r="Q294" s="18" t="n"/>
      <c r="R294" s="18" t="n"/>
      <c r="S294" s="18" t="n">
        <v>5018775.67284708</v>
      </c>
      <c r="T294" s="18" t="n">
        <v>489776.81715292</v>
      </c>
      <c r="U294" s="18" t="n">
        <v>2328.42110694812</v>
      </c>
      <c r="V294" s="18" t="n">
        <v>2328.42110694812</v>
      </c>
      <c r="W294" s="212" t="n">
        <v>2023</v>
      </c>
      <c r="X294" s="12" t="n">
        <f aca="false" ca="false" dt2D="false" dtr="false" t="normal">1987606.27-R108</f>
        <v>-370610.7000000002</v>
      </c>
      <c r="Y294" s="3" t="n">
        <f aca="false" ca="false" dt2D="false" dtr="false" t="normal">+(K294*10+L294*20)*12*0.85</f>
        <v>465461.7</v>
      </c>
      <c r="Z294" s="3" t="n">
        <f aca="false" ca="false" dt2D="false" dtr="false" t="normal">+(K294*10+L294*20)*12*30-S108</f>
        <v>3034035.8371529</v>
      </c>
      <c r="AB294" s="23" t="n">
        <f aca="false" ca="true" dt2D="false" dtr="false" t="normal">SUBTOTAL(9, AC294:AQ294)</f>
        <v>5508552.49</v>
      </c>
      <c r="AC294" s="18" t="n">
        <v>5508552.49</v>
      </c>
      <c r="AD294" s="18" t="n"/>
      <c r="AE294" s="18" t="n"/>
      <c r="AF294" s="18" t="n"/>
      <c r="AG294" s="18" t="n"/>
      <c r="AH294" s="18" t="n"/>
      <c r="AI294" s="18" t="n"/>
      <c r="AJ294" s="18" t="n"/>
      <c r="AK294" s="18" t="n"/>
      <c r="AL294" s="18" t="n"/>
      <c r="AM294" s="18" t="n"/>
      <c r="AN294" s="18" t="n"/>
      <c r="AO294" s="18" t="n"/>
      <c r="AP294" s="18" t="n"/>
      <c r="AQ294" s="24" t="n"/>
      <c r="AR294" s="3" t="n">
        <f aca="false" ca="false" dt2D="false" dtr="false" t="normal">N294-AB294</f>
        <v>0</v>
      </c>
    </row>
    <row outlineLevel="0" r="295">
      <c r="A295" s="5" t="n">
        <f aca="false" ca="false" dt2D="false" dtr="false" t="normal">+A294+1</f>
        <v>277</v>
      </c>
      <c r="B295" s="159" t="n">
        <f aca="false" ca="false" dt2D="false" dtr="false" t="normal">+B294+1</f>
        <v>89</v>
      </c>
      <c r="C295" s="138" t="s">
        <v>177</v>
      </c>
      <c r="D295" s="138" t="s">
        <v>285</v>
      </c>
      <c r="E295" s="139" t="n">
        <v>1987</v>
      </c>
      <c r="F295" s="139" t="n">
        <v>1987</v>
      </c>
      <c r="G295" s="139" t="s">
        <v>4</v>
      </c>
      <c r="H295" s="139" t="n">
        <v>5</v>
      </c>
      <c r="I295" s="139" t="n">
        <v>3</v>
      </c>
      <c r="J295" s="17" t="n">
        <v>5170.7</v>
      </c>
      <c r="K295" s="17" t="n">
        <v>2871.7</v>
      </c>
      <c r="L295" s="17" t="n">
        <v>2299</v>
      </c>
      <c r="M295" s="140" t="n">
        <v>334</v>
      </c>
      <c r="N295" s="16" t="n">
        <f aca="false" ca="false" dt2D="false" dtr="false" t="normal">SUM(P295:T295)</f>
        <v>4422689.51</v>
      </c>
      <c r="O295" s="18" t="n"/>
      <c r="P295" s="18" t="n">
        <v>1876558.66</v>
      </c>
      <c r="Q295" s="18" t="n"/>
      <c r="R295" s="18" t="n">
        <v>1137386.69</v>
      </c>
      <c r="S295" s="18" t="n">
        <v>1408744.16</v>
      </c>
      <c r="T295" s="18" t="n"/>
      <c r="U295" s="18" t="n">
        <v>2143.11037672055</v>
      </c>
      <c r="V295" s="18" t="n">
        <v>2143.11037672055</v>
      </c>
      <c r="W295" s="212" t="n">
        <v>2023</v>
      </c>
      <c r="X295" s="12" t="n">
        <f aca="false" ca="false" dt2D="false" dtr="false" t="normal">2578731.31-R109</f>
        <v>375477.29000000004</v>
      </c>
      <c r="Y295" s="3" t="n">
        <f aca="false" ca="false" dt2D="false" dtr="false" t="normal">+(K295*10+L295*20)*12*0.85</f>
        <v>761909.4</v>
      </c>
      <c r="Z295" s="3" t="n">
        <f aca="false" ca="false" dt2D="false" dtr="false" t="normal">+(K295*10+L295*20)*12*30-S109</f>
        <v>18653329.507799998</v>
      </c>
      <c r="AB295" s="23" t="n">
        <f aca="false" ca="true" dt2D="false" dtr="false" t="normal">SUBTOTAL(9, AC295:AQ295)</f>
        <v>4422689.51</v>
      </c>
      <c r="AC295" s="18" t="n"/>
      <c r="AD295" s="18" t="n">
        <v>2875942.18</v>
      </c>
      <c r="AE295" s="18" t="n"/>
      <c r="AF295" s="18" t="n">
        <v>1546747.33</v>
      </c>
      <c r="AG295" s="18" t="n"/>
      <c r="AH295" s="18" t="n"/>
      <c r="AI295" s="18" t="n"/>
      <c r="AJ295" s="18" t="n"/>
      <c r="AK295" s="18" t="n"/>
      <c r="AL295" s="18" t="n"/>
      <c r="AM295" s="18" t="n"/>
      <c r="AN295" s="18" t="n"/>
      <c r="AO295" s="18" t="n"/>
      <c r="AP295" s="18" t="n"/>
      <c r="AQ295" s="24" t="n"/>
      <c r="AR295" s="3" t="n">
        <f aca="false" ca="false" dt2D="false" dtr="false" t="normal">N295-AB295</f>
        <v>0</v>
      </c>
    </row>
    <row outlineLevel="0" r="296">
      <c r="A296" s="5" t="n">
        <f aca="false" ca="false" dt2D="false" dtr="false" t="normal">+A295+1</f>
        <v>278</v>
      </c>
      <c r="B296" s="159" t="n">
        <f aca="false" ca="false" dt2D="false" dtr="false" t="normal">+B295+1</f>
        <v>90</v>
      </c>
      <c r="C296" s="138" t="s">
        <v>177</v>
      </c>
      <c r="D296" s="138" t="s">
        <v>294</v>
      </c>
      <c r="E296" s="139" t="n">
        <v>1980</v>
      </c>
      <c r="F296" s="139" t="n">
        <v>2008</v>
      </c>
      <c r="G296" s="139" t="s">
        <v>4</v>
      </c>
      <c r="H296" s="139" t="n">
        <v>5</v>
      </c>
      <c r="I296" s="139" t="n">
        <v>6</v>
      </c>
      <c r="J296" s="17" t="n">
        <v>7149.4</v>
      </c>
      <c r="K296" s="17" t="n">
        <v>6325.2</v>
      </c>
      <c r="L296" s="17" t="n">
        <v>0</v>
      </c>
      <c r="M296" s="140" t="n">
        <v>293</v>
      </c>
      <c r="N296" s="16" t="n">
        <f aca="false" ca="false" dt2D="false" dtr="false" t="normal">SUM(P296:T296)</f>
        <v>12520284.64</v>
      </c>
      <c r="O296" s="17" t="n"/>
      <c r="P296" s="18" t="n">
        <f aca="false" ca="false" dt2D="false" dtr="false" t="normal">18366557.28-16152899.91</f>
        <v>2213657.370000001</v>
      </c>
      <c r="Q296" s="18" t="n"/>
      <c r="R296" s="18" t="n">
        <v>2028430.14</v>
      </c>
      <c r="S296" s="18" t="n">
        <v>8278197.13</v>
      </c>
      <c r="T296" s="18" t="n"/>
      <c r="U296" s="17" t="n">
        <v>10739.0943856371</v>
      </c>
      <c r="V296" s="17" t="n">
        <v>10739.0943856371</v>
      </c>
      <c r="W296" s="212" t="n">
        <v>2023</v>
      </c>
      <c r="X296" s="12" t="n">
        <f aca="false" ca="false" dt2D="false" dtr="false" t="normal">3044323.81-R114</f>
        <v>1383259.74</v>
      </c>
      <c r="Y296" s="3" t="n">
        <f aca="false" ca="false" dt2D="false" dtr="false" t="normal">+(K296*10+L296*20)*12*0.85</f>
        <v>645170.4</v>
      </c>
      <c r="Z296" s="3" t="n">
        <f aca="false" ca="false" dt2D="false" dtr="false" t="normal">+(K296*10+L296*20)*12*30-S114</f>
        <v>6727135.9594</v>
      </c>
      <c r="AB296" s="23" t="n">
        <f aca="false" ca="true" dt2D="false" dtr="false" t="normal">SUBTOTAL(9, AC296:AQ296)</f>
        <v>12520284.639999999</v>
      </c>
      <c r="AC296" s="18" t="n">
        <v>7864219.14</v>
      </c>
      <c r="AD296" s="18" t="n"/>
      <c r="AE296" s="18" t="n">
        <v>2874656.38</v>
      </c>
      <c r="AF296" s="18" t="n">
        <v>1502641.16</v>
      </c>
      <c r="AG296" s="18" t="n"/>
      <c r="AH296" s="18" t="n"/>
      <c r="AI296" s="18" t="n"/>
      <c r="AJ296" s="18" t="n"/>
      <c r="AK296" s="18" t="n"/>
      <c r="AL296" s="18" t="n"/>
      <c r="AM296" s="18" t="n"/>
      <c r="AN296" s="18" t="n"/>
      <c r="AO296" s="18" t="n">
        <v>112877.92</v>
      </c>
      <c r="AP296" s="18" t="n">
        <v>12000</v>
      </c>
      <c r="AQ296" s="156" t="n">
        <f aca="false" ca="false" dt2D="false" dtr="false" t="normal">84308.92+34015.04+35566.08</f>
        <v>153890.03999999998</v>
      </c>
      <c r="AR296" s="3" t="n">
        <f aca="false" ca="false" dt2D="false" dtr="false" t="normal">N296-AB296</f>
        <v>0</v>
      </c>
    </row>
    <row customFormat="true" ht="15" outlineLevel="0" r="297" s="184">
      <c r="A297" s="5" t="n">
        <f aca="false" ca="false" dt2D="false" dtr="false" t="normal">+A296+1</f>
        <v>279</v>
      </c>
      <c r="B297" s="159" t="n">
        <f aca="false" ca="false" dt2D="false" dtr="false" t="normal">+B296+1</f>
        <v>91</v>
      </c>
      <c r="C297" s="138" t="s">
        <v>177</v>
      </c>
      <c r="D297" s="138" t="s">
        <v>409</v>
      </c>
      <c r="E297" s="139" t="s">
        <v>343</v>
      </c>
      <c r="F297" s="139" t="n"/>
      <c r="G297" s="139" t="s">
        <v>4</v>
      </c>
      <c r="H297" s="139" t="s">
        <v>165</v>
      </c>
      <c r="I297" s="139" t="s">
        <v>212</v>
      </c>
      <c r="J297" s="17" t="n">
        <v>7651.5</v>
      </c>
      <c r="K297" s="17" t="n">
        <v>6138</v>
      </c>
      <c r="L297" s="17" t="n">
        <v>119</v>
      </c>
      <c r="M297" s="140" t="n">
        <v>293</v>
      </c>
      <c r="N297" s="16" t="n">
        <f aca="false" ca="false" dt2D="false" dtr="false" t="normal">SUM(P297:T297)</f>
        <v>3423941.280000003</v>
      </c>
      <c r="O297" s="17" t="n">
        <v>0</v>
      </c>
      <c r="P297" s="18" t="n"/>
      <c r="Q297" s="18" t="n">
        <v>0</v>
      </c>
      <c r="R297" s="18" t="n">
        <v>259780.512857143</v>
      </c>
      <c r="S297" s="18" t="n">
        <v>3164160.76714286</v>
      </c>
      <c r="T297" s="18" t="n"/>
      <c r="U297" s="17" t="n">
        <v>4087.92981950943</v>
      </c>
      <c r="V297" s="17" t="n">
        <v>4087.92981950943</v>
      </c>
      <c r="W297" s="212" t="n">
        <v>2023</v>
      </c>
      <c r="X297" s="184" t="n">
        <v>2725811.3</v>
      </c>
      <c r="Y297" s="3" t="n">
        <f aca="false" ca="false" dt2D="false" dtr="false" t="normal">+(K297*10+L297*20)*12*0.85</f>
        <v>650352</v>
      </c>
      <c r="Z297" s="3" t="n">
        <f aca="false" ca="false" dt2D="false" dtr="false" t="normal">+(K297*10+L297*20)*12*30</f>
        <v>22953600</v>
      </c>
      <c r="AA297" s="3" t="n"/>
      <c r="AB297" s="23" t="n">
        <f aca="false" ca="true" dt2D="false" dtr="false" t="normal">SUBTOTAL(9, AC297:AQ297)</f>
        <v>3423941.28</v>
      </c>
      <c r="AC297" s="18" t="n"/>
      <c r="AD297" s="18" t="n"/>
      <c r="AE297" s="18" t="n">
        <v>3294191.61</v>
      </c>
      <c r="AF297" s="18" t="n"/>
      <c r="AG297" s="18" t="n"/>
      <c r="AH297" s="18" t="n"/>
      <c r="AI297" s="18" t="n"/>
      <c r="AJ297" s="18" t="n"/>
      <c r="AK297" s="18" t="n"/>
      <c r="AL297" s="18" t="n"/>
      <c r="AM297" s="18" t="n"/>
      <c r="AN297" s="18" t="n"/>
      <c r="AO297" s="18" t="n">
        <v>125749.67</v>
      </c>
      <c r="AP297" s="18" t="n">
        <v>4000</v>
      </c>
      <c r="AQ297" s="24" t="n"/>
      <c r="AR297" s="3" t="n">
        <f aca="false" ca="false" dt2D="false" dtr="false" t="normal">N297-AB297</f>
        <v>0</v>
      </c>
      <c r="AT297" s="187" t="n"/>
    </row>
    <row outlineLevel="0" r="298">
      <c r="A298" s="5" t="n">
        <f aca="false" ca="false" dt2D="false" dtr="false" t="normal">+A297+1</f>
        <v>280</v>
      </c>
      <c r="B298" s="159" t="n">
        <f aca="false" ca="false" dt2D="false" dtr="false" t="normal">+B297+1</f>
        <v>92</v>
      </c>
      <c r="C298" s="6" t="s">
        <v>177</v>
      </c>
      <c r="D298" s="6" t="s">
        <v>299</v>
      </c>
      <c r="E298" s="139" t="n">
        <v>1975</v>
      </c>
      <c r="F298" s="139" t="n">
        <v>2013</v>
      </c>
      <c r="G298" s="139" t="s">
        <v>4</v>
      </c>
      <c r="H298" s="139" t="n">
        <v>4</v>
      </c>
      <c r="I298" s="139" t="n">
        <v>4</v>
      </c>
      <c r="J298" s="17" t="n">
        <v>2912.6</v>
      </c>
      <c r="K298" s="17" t="n">
        <v>2004.3</v>
      </c>
      <c r="L298" s="17" t="n">
        <v>902.2</v>
      </c>
      <c r="M298" s="140" t="n">
        <v>104</v>
      </c>
      <c r="N298" s="16" t="n">
        <f aca="false" ca="false" dt2D="false" dtr="false" t="normal">SUM(P298:T298)</f>
        <v>11419908.12</v>
      </c>
      <c r="O298" s="18" t="n"/>
      <c r="P298" s="18" t="n">
        <v>2562698.09</v>
      </c>
      <c r="Q298" s="18" t="n"/>
      <c r="R298" s="18" t="n">
        <v>282303.76</v>
      </c>
      <c r="S298" s="18" t="n">
        <v>8574906.27</v>
      </c>
      <c r="T298" s="18" t="n"/>
      <c r="U298" s="17" t="n">
        <v>7493.7221680114</v>
      </c>
      <c r="V298" s="17" t="n">
        <v>7493.7221680114</v>
      </c>
      <c r="W298" s="212" t="n">
        <v>2023</v>
      </c>
      <c r="X298" s="1" t="n">
        <v>1936703.42</v>
      </c>
      <c r="Y298" s="3" t="n">
        <f aca="false" ca="false" dt2D="false" dtr="false" t="normal">+(K298*10+L298*20)*12*0.85</f>
        <v>388487.39999999997</v>
      </c>
      <c r="Z298" s="3" t="n">
        <f aca="false" ca="false" dt2D="false" dtr="false" t="normal">+(K298*10+L298*20)*12*30</f>
        <v>13711320</v>
      </c>
      <c r="AB298" s="23" t="n">
        <f aca="false" ca="true" dt2D="false" dtr="false" t="normal">SUBTOTAL(9, AC298:AQ298)</f>
        <v>11419908.120000001</v>
      </c>
      <c r="AC298" s="18" t="n"/>
      <c r="AD298" s="18" t="n">
        <v>0</v>
      </c>
      <c r="AE298" s="18" t="n">
        <v>0</v>
      </c>
      <c r="AF298" s="18" t="n">
        <v>0</v>
      </c>
      <c r="AG298" s="18" t="n"/>
      <c r="AH298" s="18" t="n"/>
      <c r="AI298" s="18" t="n"/>
      <c r="AJ298" s="18" t="n">
        <v>0</v>
      </c>
      <c r="AK298" s="18" t="n">
        <v>7369291.12</v>
      </c>
      <c r="AL298" s="18" t="n">
        <v>0</v>
      </c>
      <c r="AM298" s="18" t="n">
        <v>0</v>
      </c>
      <c r="AN298" s="18" t="n">
        <v>4050617</v>
      </c>
      <c r="AO298" s="18" t="n"/>
      <c r="AP298" s="18" t="n"/>
      <c r="AQ298" s="24" t="n"/>
      <c r="AR298" s="3" t="n">
        <f aca="false" ca="false" dt2D="false" dtr="false" t="normal">N298-AB298</f>
        <v>0</v>
      </c>
    </row>
    <row outlineLevel="0" r="299">
      <c r="A299" s="5" t="n">
        <f aca="false" ca="false" dt2D="false" dtr="false" t="normal">+A298+1</f>
        <v>281</v>
      </c>
      <c r="B299" s="159" t="n">
        <f aca="false" ca="false" dt2D="false" dtr="false" t="normal">+B298+1</f>
        <v>93</v>
      </c>
      <c r="C299" s="138" t="s">
        <v>177</v>
      </c>
      <c r="D299" s="138" t="s">
        <v>583</v>
      </c>
      <c r="E299" s="139" t="n">
        <v>1994</v>
      </c>
      <c r="F299" s="139" t="n">
        <v>2013</v>
      </c>
      <c r="G299" s="139" t="s">
        <v>4</v>
      </c>
      <c r="H299" s="139" t="n">
        <v>4</v>
      </c>
      <c r="I299" s="139" t="n">
        <v>2</v>
      </c>
      <c r="J299" s="17" t="n">
        <v>1882.24</v>
      </c>
      <c r="K299" s="17" t="n">
        <v>1768.8</v>
      </c>
      <c r="L299" s="17" t="n">
        <v>0</v>
      </c>
      <c r="M299" s="140" t="n">
        <v>61</v>
      </c>
      <c r="N299" s="16" t="n">
        <f aca="false" ca="false" dt2D="false" dtr="false" t="normal">SUM(P299:T299)</f>
        <v>1566527.8599999999</v>
      </c>
      <c r="O299" s="17" t="n"/>
      <c r="P299" s="18" t="n"/>
      <c r="Q299" s="18" t="n"/>
      <c r="R299" s="18" t="n">
        <v>1133727.23751542</v>
      </c>
      <c r="S299" s="18" t="n">
        <v>432800.62248458</v>
      </c>
      <c r="T299" s="18" t="n"/>
      <c r="U299" s="18" t="n">
        <v>889.584500621891</v>
      </c>
      <c r="V299" s="18" t="n">
        <v>1315.283020064</v>
      </c>
      <c r="W299" s="212" t="n">
        <v>2023</v>
      </c>
      <c r="X299" s="1" t="n">
        <v>977961.59</v>
      </c>
      <c r="Y299" s="3" t="n">
        <f aca="false" ca="false" dt2D="false" dtr="false" t="normal">+(K299*10.5+L299*21)*12*0.85</f>
        <v>189438.47999999998</v>
      </c>
      <c r="Z299" s="3" t="n">
        <f aca="false" ca="false" dt2D="false" dtr="false" t="normal">+(K299*10.5+L299*21)*12*30</f>
        <v>6686064</v>
      </c>
      <c r="AB299" s="158" t="n">
        <f aca="false" ca="true" dt2D="false" dtr="false" t="normal">SUBTOTAL(9, AC299:AQ299)</f>
        <v>1566527.86</v>
      </c>
      <c r="AC299" s="18" t="n">
        <v>0</v>
      </c>
      <c r="AD299" s="18" t="n">
        <v>0</v>
      </c>
      <c r="AE299" s="18" t="n">
        <v>1566527.86</v>
      </c>
      <c r="AF299" s="18" t="n">
        <v>0</v>
      </c>
      <c r="AG299" s="18" t="n">
        <v>0</v>
      </c>
      <c r="AH299" s="18" t="n"/>
      <c r="AI299" s="18" t="n"/>
      <c r="AJ299" s="18" t="n">
        <v>0</v>
      </c>
      <c r="AK299" s="18" t="n">
        <v>0</v>
      </c>
      <c r="AL299" s="18" t="n">
        <v>0</v>
      </c>
      <c r="AM299" s="18" t="n"/>
      <c r="AN299" s="18" t="n">
        <v>0</v>
      </c>
      <c r="AO299" s="18" t="n"/>
      <c r="AP299" s="18" t="n"/>
      <c r="AQ299" s="24" t="n"/>
      <c r="AR299" s="3" t="n">
        <f aca="false" ca="false" dt2D="false" dtr="false" t="normal">N299-AB299</f>
        <v>0</v>
      </c>
    </row>
    <row outlineLevel="0" r="300">
      <c r="A300" s="5" t="n">
        <f aca="false" ca="false" dt2D="false" dtr="false" t="normal">+A299+1</f>
        <v>282</v>
      </c>
      <c r="B300" s="159" t="n">
        <f aca="false" ca="false" dt2D="false" dtr="false" t="normal">+B299+1</f>
        <v>94</v>
      </c>
      <c r="C300" s="6" t="s">
        <v>177</v>
      </c>
      <c r="D300" s="6" t="s">
        <v>301</v>
      </c>
      <c r="E300" s="139" t="n">
        <v>1993</v>
      </c>
      <c r="F300" s="139" t="n">
        <v>2013</v>
      </c>
      <c r="G300" s="139" t="s">
        <v>4</v>
      </c>
      <c r="H300" s="139" t="n">
        <v>5</v>
      </c>
      <c r="I300" s="139" t="n">
        <v>2</v>
      </c>
      <c r="J300" s="17" t="n">
        <v>2382.7</v>
      </c>
      <c r="K300" s="17" t="n">
        <v>2177.75</v>
      </c>
      <c r="L300" s="17" t="n">
        <v>0</v>
      </c>
      <c r="M300" s="140" t="n">
        <v>103</v>
      </c>
      <c r="N300" s="16" t="n">
        <f aca="false" ca="false" dt2D="false" dtr="false" t="normal">SUM(P300:T300)</f>
        <v>2910825.5700000003</v>
      </c>
      <c r="O300" s="18" t="n"/>
      <c r="P300" s="18" t="n">
        <v>1924919.06</v>
      </c>
      <c r="Q300" s="18" t="n"/>
      <c r="R300" s="18" t="n">
        <v>72722.84</v>
      </c>
      <c r="S300" s="18" t="n">
        <v>913183.67</v>
      </c>
      <c r="T300" s="18" t="n"/>
      <c r="U300" s="18" t="n">
        <v>1336.62062679371</v>
      </c>
      <c r="V300" s="18" t="n">
        <v>1316.283020064</v>
      </c>
      <c r="W300" s="212" t="n">
        <v>2023</v>
      </c>
      <c r="AB300" s="158" t="n">
        <f aca="false" ca="true" dt2D="false" dtr="false" t="normal">SUBTOTAL(9, AC300:AQ300)</f>
        <v>2910825.57</v>
      </c>
      <c r="AC300" s="18" t="n">
        <v>2910825.57</v>
      </c>
      <c r="AD300" s="18" t="n"/>
      <c r="AE300" s="18" t="n"/>
      <c r="AF300" s="18" t="n"/>
      <c r="AG300" s="18" t="n"/>
      <c r="AH300" s="18" t="n"/>
      <c r="AI300" s="18" t="n"/>
      <c r="AJ300" s="18" t="n"/>
      <c r="AK300" s="18" t="n"/>
      <c r="AL300" s="18" t="n"/>
      <c r="AM300" s="18" t="n"/>
      <c r="AN300" s="18" t="n"/>
      <c r="AO300" s="18" t="n"/>
      <c r="AP300" s="18" t="n"/>
      <c r="AQ300" s="191" t="n"/>
      <c r="AR300" s="3" t="n">
        <f aca="false" ca="false" dt2D="false" dtr="false" t="normal">N300-AB300</f>
        <v>0</v>
      </c>
    </row>
    <row outlineLevel="0" r="301">
      <c r="A301" s="5" t="n">
        <f aca="false" ca="false" dt2D="false" dtr="false" t="normal">+A300+1</f>
        <v>283</v>
      </c>
      <c r="B301" s="159" t="n">
        <f aca="false" ca="false" dt2D="false" dtr="false" t="normal">+B300+1</f>
        <v>95</v>
      </c>
      <c r="C301" s="138" t="s">
        <v>177</v>
      </c>
      <c r="D301" s="138" t="s">
        <v>585</v>
      </c>
      <c r="E301" s="139" t="n">
        <v>1968</v>
      </c>
      <c r="F301" s="139" t="n">
        <v>2013</v>
      </c>
      <c r="G301" s="139" t="s">
        <v>4</v>
      </c>
      <c r="H301" s="139" t="n">
        <v>4</v>
      </c>
      <c r="I301" s="139" t="n">
        <v>2</v>
      </c>
      <c r="J301" s="17" t="n">
        <v>1340.1</v>
      </c>
      <c r="K301" s="17" t="n">
        <v>1250.1</v>
      </c>
      <c r="L301" s="17" t="n">
        <v>0</v>
      </c>
      <c r="M301" s="140" t="n">
        <v>47</v>
      </c>
      <c r="N301" s="16" t="n">
        <f aca="false" ca="false" dt2D="false" dtr="false" t="normal">SUM(P301:T301)</f>
        <v>491444.899</v>
      </c>
      <c r="O301" s="17" t="n"/>
      <c r="P301" s="18" t="n"/>
      <c r="Q301" s="18" t="n"/>
      <c r="R301" s="18" t="n">
        <v>491444.899</v>
      </c>
      <c r="S301" s="18" t="n"/>
      <c r="T301" s="18" t="n"/>
      <c r="U301" s="17" t="n">
        <v>395.445983050956</v>
      </c>
      <c r="V301" s="17" t="n">
        <v>395.445983050956</v>
      </c>
      <c r="W301" s="212" t="n">
        <v>2023</v>
      </c>
      <c r="X301" s="1" t="n">
        <v>547627.87</v>
      </c>
      <c r="Y301" s="3" t="n">
        <f aca="false" ca="false" dt2D="false" dtr="false" t="normal">+(K301*10+L301*20)*12*0.85</f>
        <v>127510.2</v>
      </c>
      <c r="Z301" s="3" t="n">
        <f aca="false" ca="false" dt2D="false" dtr="false" t="normal">+(K301*10+L301*20)*12*30</f>
        <v>4500360</v>
      </c>
      <c r="AB301" s="23" t="n">
        <f aca="false" ca="true" dt2D="false" dtr="false" t="normal">SUBTOTAL(9, AC301:AQ301)</f>
        <v>491444.899</v>
      </c>
      <c r="AC301" s="18" t="n">
        <v>0</v>
      </c>
      <c r="AD301" s="18" t="n">
        <v>0</v>
      </c>
      <c r="AE301" s="18" t="n">
        <v>0</v>
      </c>
      <c r="AF301" s="18" t="n">
        <v>0</v>
      </c>
      <c r="AG301" s="18" t="n">
        <v>491444.899</v>
      </c>
      <c r="AH301" s="18" t="n"/>
      <c r="AI301" s="18" t="n"/>
      <c r="AJ301" s="18" t="n">
        <v>0</v>
      </c>
      <c r="AK301" s="18" t="n">
        <v>0</v>
      </c>
      <c r="AL301" s="18" t="n">
        <v>0</v>
      </c>
      <c r="AM301" s="18" t="n"/>
      <c r="AN301" s="18" t="n"/>
      <c r="AO301" s="18" t="n"/>
      <c r="AP301" s="18" t="n"/>
      <c r="AQ301" s="24" t="n"/>
      <c r="AR301" s="3" t="n">
        <f aca="false" ca="false" dt2D="false" dtr="false" t="normal">N301-AB301</f>
        <v>0</v>
      </c>
    </row>
    <row outlineLevel="0" r="302">
      <c r="A302" s="5" t="n">
        <f aca="false" ca="false" dt2D="false" dtr="false" t="normal">+A301+1</f>
        <v>284</v>
      </c>
      <c r="B302" s="159" t="n">
        <f aca="false" ca="false" dt2D="false" dtr="false" t="normal">+B301+1</f>
        <v>96</v>
      </c>
      <c r="C302" s="6" t="s">
        <v>177</v>
      </c>
      <c r="D302" s="6" t="s">
        <v>587</v>
      </c>
      <c r="E302" s="139" t="n">
        <v>1973</v>
      </c>
      <c r="F302" s="139" t="n">
        <v>2011</v>
      </c>
      <c r="G302" s="139" t="s">
        <v>4</v>
      </c>
      <c r="H302" s="139" t="n">
        <v>5</v>
      </c>
      <c r="I302" s="139" t="n">
        <v>4</v>
      </c>
      <c r="J302" s="17" t="n">
        <v>3343.7</v>
      </c>
      <c r="K302" s="17" t="n">
        <v>3061.9</v>
      </c>
      <c r="L302" s="17" t="n">
        <v>0</v>
      </c>
      <c r="M302" s="140" t="n">
        <v>160</v>
      </c>
      <c r="N302" s="16" t="n">
        <f aca="false" ca="false" dt2D="false" dtr="false" t="normal">SUM(P302:T302)</f>
        <v>12925050.760000002</v>
      </c>
      <c r="O302" s="18" t="n"/>
      <c r="P302" s="18" t="n">
        <v>8170424.74</v>
      </c>
      <c r="Q302" s="18" t="n"/>
      <c r="R302" s="18" t="n">
        <v>1696801.81</v>
      </c>
      <c r="S302" s="18" t="n">
        <v>3057824.21</v>
      </c>
      <c r="T302" s="18" t="n"/>
      <c r="U302" s="17" t="n">
        <v>5206.53421589557</v>
      </c>
      <c r="V302" s="17" t="n">
        <v>5206.53421589557</v>
      </c>
      <c r="W302" s="212" t="n">
        <v>2023</v>
      </c>
      <c r="X302" s="1" t="n">
        <v>1384488.01</v>
      </c>
      <c r="Y302" s="3" t="n">
        <f aca="false" ca="false" dt2D="false" dtr="false" t="normal">+(K302*10+L302*20)*12*0.85</f>
        <v>312313.8</v>
      </c>
      <c r="Z302" s="3" t="n">
        <f aca="false" ca="false" dt2D="false" dtr="false" t="normal">+(K302*10+L302*20)*12*30</f>
        <v>11022840</v>
      </c>
      <c r="AB302" s="23" t="n">
        <f aca="false" ca="true" dt2D="false" dtr="false" t="normal">SUBTOTAL(9, AC302:AQ302)</f>
        <v>12925050.76</v>
      </c>
      <c r="AC302" s="18" t="n">
        <v>0</v>
      </c>
      <c r="AD302" s="18" t="n">
        <v>0</v>
      </c>
      <c r="AE302" s="18" t="n"/>
      <c r="AF302" s="18" t="n">
        <v>0</v>
      </c>
      <c r="AG302" s="18" t="n">
        <v>0</v>
      </c>
      <c r="AH302" s="18" t="n"/>
      <c r="AI302" s="18" t="n"/>
      <c r="AJ302" s="18" t="n">
        <v>0</v>
      </c>
      <c r="AK302" s="18" t="n">
        <v>12925050.76</v>
      </c>
      <c r="AL302" s="18" t="n">
        <v>0</v>
      </c>
      <c r="AM302" s="18" t="n"/>
      <c r="AN302" s="18" t="n">
        <v>0</v>
      </c>
      <c r="AO302" s="18" t="n"/>
      <c r="AP302" s="18" t="n"/>
      <c r="AQ302" s="24" t="n"/>
      <c r="AR302" s="3" t="n">
        <f aca="false" ca="false" dt2D="false" dtr="false" t="normal">N302-AB302</f>
        <v>0</v>
      </c>
    </row>
    <row outlineLevel="0" r="303">
      <c r="A303" s="5" t="n">
        <f aca="false" ca="false" dt2D="false" dtr="false" t="normal">+A302+1</f>
        <v>285</v>
      </c>
      <c r="B303" s="159" t="n">
        <f aca="false" ca="false" dt2D="false" dtr="false" t="normal">+B302+1</f>
        <v>97</v>
      </c>
      <c r="C303" s="138" t="s">
        <v>177</v>
      </c>
      <c r="D303" s="138" t="s">
        <v>588</v>
      </c>
      <c r="E303" s="139" t="n">
        <v>1971</v>
      </c>
      <c r="F303" s="139" t="n">
        <v>2013</v>
      </c>
      <c r="G303" s="139" t="s">
        <v>4</v>
      </c>
      <c r="H303" s="139" t="n">
        <v>4</v>
      </c>
      <c r="I303" s="139" t="n">
        <v>4</v>
      </c>
      <c r="J303" s="17" t="n">
        <v>3003.8</v>
      </c>
      <c r="K303" s="17" t="n">
        <v>2693.7</v>
      </c>
      <c r="L303" s="17" t="n">
        <v>0</v>
      </c>
      <c r="M303" s="140" t="n">
        <v>120</v>
      </c>
      <c r="N303" s="16" t="n">
        <f aca="false" ca="false" dt2D="false" dtr="false" t="normal">SUM(P303:T303)</f>
        <v>8010112.43</v>
      </c>
      <c r="O303" s="17" t="n"/>
      <c r="P303" s="18" t="n">
        <v>0</v>
      </c>
      <c r="Q303" s="18" t="n"/>
      <c r="R303" s="18" t="n">
        <v>495408.6</v>
      </c>
      <c r="S303" s="18" t="n">
        <v>7514703.83</v>
      </c>
      <c r="T303" s="18" t="n"/>
      <c r="U303" s="17" t="n">
        <v>3814.02659601257</v>
      </c>
      <c r="V303" s="17" t="n">
        <v>3814.02659601257</v>
      </c>
      <c r="W303" s="212" t="n">
        <v>2023</v>
      </c>
      <c r="X303" s="1" t="n">
        <f aca="false" ca="false" dt2D="false" dtr="false" t="normal">1245150.45-129665.9434</f>
        <v>1115484.5066</v>
      </c>
      <c r="Y303" s="3" t="n">
        <f aca="false" ca="false" dt2D="false" dtr="false" t="normal">+(K303*10+L303*20)*12*0.85</f>
        <v>274757.39999999997</v>
      </c>
      <c r="Z303" s="3" t="n">
        <f aca="false" ca="false" dt2D="false" dtr="false" t="normal">+(K303*10+L303*20)*12*30-552777.2166</f>
        <v>9144542.7834</v>
      </c>
      <c r="AB303" s="23" t="n">
        <f aca="false" ca="true" dt2D="false" dtr="false" t="normal">SUBTOTAL(9, AC303:AQ303)</f>
        <v>8010112.430000001</v>
      </c>
      <c r="AC303" s="18" t="n"/>
      <c r="AD303" s="18" t="n"/>
      <c r="AE303" s="18" t="n"/>
      <c r="AF303" s="18" t="n">
        <v>0</v>
      </c>
      <c r="AG303" s="18" t="n">
        <v>1014819.95</v>
      </c>
      <c r="AH303" s="18" t="n"/>
      <c r="AI303" s="18" t="n"/>
      <c r="AJ303" s="18" t="n"/>
      <c r="AK303" s="18" t="n"/>
      <c r="AL303" s="18" t="n"/>
      <c r="AM303" s="18" t="n"/>
      <c r="AN303" s="18" t="n">
        <v>6995292.48</v>
      </c>
      <c r="AO303" s="18" t="n"/>
      <c r="AP303" s="18" t="n"/>
      <c r="AQ303" s="24" t="n"/>
      <c r="AR303" s="3" t="n">
        <f aca="false" ca="false" dt2D="false" dtr="false" t="normal">N303-AB303</f>
        <v>0</v>
      </c>
    </row>
    <row customFormat="true" ht="15" outlineLevel="0" r="304" s="184">
      <c r="A304" s="5" t="n">
        <f aca="false" ca="false" dt2D="false" dtr="false" t="normal">+A303+1</f>
        <v>286</v>
      </c>
      <c r="B304" s="159" t="n">
        <f aca="false" ca="false" dt2D="false" dtr="false" t="normal">+B303+1</f>
        <v>98</v>
      </c>
      <c r="C304" s="138" t="s">
        <v>309</v>
      </c>
      <c r="D304" s="138" t="s">
        <v>590</v>
      </c>
      <c r="E304" s="139" t="s">
        <v>353</v>
      </c>
      <c r="F304" s="139" t="n"/>
      <c r="G304" s="139" t="s">
        <v>4</v>
      </c>
      <c r="H304" s="139" t="s">
        <v>159</v>
      </c>
      <c r="I304" s="139" t="s">
        <v>151</v>
      </c>
      <c r="J304" s="17" t="n">
        <v>3411.7</v>
      </c>
      <c r="K304" s="17" t="n">
        <v>2190.7</v>
      </c>
      <c r="L304" s="17" t="n">
        <v>1221</v>
      </c>
      <c r="M304" s="140" t="n">
        <v>86</v>
      </c>
      <c r="N304" s="16" t="n">
        <f aca="false" ca="false" dt2D="false" dtr="false" t="normal">SUM(P304:T304)</f>
        <v>2065046.7599999998</v>
      </c>
      <c r="O304" s="17" t="n">
        <v>0</v>
      </c>
      <c r="P304" s="18" t="n"/>
      <c r="Q304" s="18" t="n">
        <v>0</v>
      </c>
      <c r="R304" s="18" t="n">
        <v>710919.86</v>
      </c>
      <c r="S304" s="18" t="n">
        <v>1354126.9</v>
      </c>
      <c r="T304" s="18" t="n"/>
      <c r="U304" s="18" t="n">
        <v>14950.9382357458</v>
      </c>
      <c r="V304" s="18" t="n">
        <v>1322.283020064</v>
      </c>
      <c r="W304" s="212" t="n">
        <v>2023</v>
      </c>
      <c r="X304" s="103" t="n">
        <v>2892323.62</v>
      </c>
      <c r="Y304" s="3" t="n">
        <f aca="false" ca="false" dt2D="false" dtr="false" t="normal">+(K304*10.5+L304*21)*12*0.85</f>
        <v>496162.1699999999</v>
      </c>
      <c r="Z304" s="3" t="n">
        <f aca="false" ca="false" dt2D="false" dtr="false" t="normal">+(K304*10.5+L304*21)*12*30</f>
        <v>17511606</v>
      </c>
      <c r="AA304" s="3" t="n"/>
      <c r="AB304" s="158" t="n">
        <f aca="false" ca="true" dt2D="false" dtr="false" t="normal">SUBTOTAL(9, AC304:AQ304)</f>
        <v>2065046.76</v>
      </c>
      <c r="AC304" s="18" t="n"/>
      <c r="AD304" s="18" t="n"/>
      <c r="AE304" s="18" t="n">
        <v>1394976.29</v>
      </c>
      <c r="AF304" s="18" t="n"/>
      <c r="AG304" s="18" t="n"/>
      <c r="AH304" s="18" t="n"/>
      <c r="AI304" s="18" t="n"/>
      <c r="AJ304" s="18" t="n">
        <v>0</v>
      </c>
      <c r="AK304" s="18" t="n">
        <v>0</v>
      </c>
      <c r="AL304" s="18" t="n">
        <v>0</v>
      </c>
      <c r="AM304" s="18" t="n"/>
      <c r="AN304" s="18" t="n">
        <v>397050</v>
      </c>
      <c r="AO304" s="18" t="n">
        <v>266163.33</v>
      </c>
      <c r="AP304" s="18" t="n">
        <v>6857.14</v>
      </c>
      <c r="AQ304" s="24" t="n"/>
      <c r="AR304" s="3" t="n">
        <f aca="false" ca="false" dt2D="false" dtr="false" t="normal">N304-AB304</f>
        <v>0</v>
      </c>
      <c r="AT304" s="187" t="n"/>
    </row>
    <row customFormat="true" ht="15" outlineLevel="0" r="305" s="184">
      <c r="A305" s="5" t="n">
        <f aca="false" ca="false" dt2D="false" dtr="false" t="normal">+A304+1</f>
        <v>287</v>
      </c>
      <c r="B305" s="159" t="n">
        <f aca="false" ca="false" dt2D="false" dtr="false" t="normal">+B304+1</f>
        <v>99</v>
      </c>
      <c r="C305" s="6" t="s">
        <v>309</v>
      </c>
      <c r="D305" s="6" t="s">
        <v>416</v>
      </c>
      <c r="E305" s="139" t="s">
        <v>28</v>
      </c>
      <c r="F305" s="139" t="n"/>
      <c r="G305" s="139" t="s">
        <v>4</v>
      </c>
      <c r="H305" s="139" t="s">
        <v>159</v>
      </c>
      <c r="I305" s="139" t="s">
        <v>212</v>
      </c>
      <c r="J305" s="17" t="n">
        <v>5051.19</v>
      </c>
      <c r="K305" s="17" t="n">
        <v>4630.8</v>
      </c>
      <c r="L305" s="17" t="n">
        <v>0</v>
      </c>
      <c r="M305" s="140" t="n">
        <v>233</v>
      </c>
      <c r="N305" s="16" t="n">
        <f aca="false" ca="false" dt2D="false" dtr="false" t="normal">SUM(P305:T305)</f>
        <v>24468478.450000003</v>
      </c>
      <c r="O305" s="18" t="n">
        <v>0</v>
      </c>
      <c r="P305" s="18" t="n">
        <v>15061072.96</v>
      </c>
      <c r="Q305" s="18" t="n">
        <v>0</v>
      </c>
      <c r="R305" s="18" t="n">
        <v>1286566.96</v>
      </c>
      <c r="S305" s="18" t="n">
        <v>8120838.53</v>
      </c>
      <c r="T305" s="18" t="n"/>
      <c r="U305" s="18" t="n">
        <v>9933.74579874802</v>
      </c>
      <c r="V305" s="18" t="n">
        <v>1323.283020064</v>
      </c>
      <c r="W305" s="212" t="n">
        <v>2023</v>
      </c>
      <c r="X305" s="103" t="n">
        <v>2825636.52</v>
      </c>
      <c r="Y305" s="3" t="n">
        <f aca="false" ca="false" dt2D="false" dtr="false" t="normal">+(K305*10.5+L305*21)*12*0.85</f>
        <v>495958.68000000005</v>
      </c>
      <c r="Z305" s="3" t="n">
        <f aca="false" ca="false" dt2D="false" dtr="false" t="normal">+(K305*10.5+L305*21)*12*30</f>
        <v>17504424</v>
      </c>
      <c r="AA305" s="3" t="n"/>
      <c r="AB305" s="158" t="n">
        <f aca="false" ca="true" dt2D="false" dtr="false" t="normal">SUBTOTAL(9, AC305:AQ305)</f>
        <v>24468478.45</v>
      </c>
      <c r="AC305" s="18" t="n"/>
      <c r="AD305" s="18" t="n"/>
      <c r="AE305" s="18" t="n"/>
      <c r="AF305" s="18" t="n"/>
      <c r="AG305" s="18" t="n"/>
      <c r="AH305" s="18" t="n"/>
      <c r="AI305" s="18" t="n"/>
      <c r="AJ305" s="18" t="n"/>
      <c r="AK305" s="18" t="n">
        <v>16572168.38</v>
      </c>
      <c r="AL305" s="18" t="n"/>
      <c r="AM305" s="18" t="n"/>
      <c r="AN305" s="18" t="n">
        <v>7332571.26</v>
      </c>
      <c r="AO305" s="18" t="n">
        <v>557738.81</v>
      </c>
      <c r="AP305" s="18" t="n">
        <v>6000</v>
      </c>
      <c r="AQ305" s="24" t="n"/>
      <c r="AR305" s="3" t="n">
        <f aca="false" ca="false" dt2D="false" dtr="false" t="normal">N305-AB305</f>
        <v>0</v>
      </c>
      <c r="AT305" s="187" t="n"/>
    </row>
    <row outlineLevel="0" r="306">
      <c r="A306" s="5" t="n">
        <f aca="false" ca="false" dt2D="false" dtr="false" t="normal">+A305+1</f>
        <v>288</v>
      </c>
      <c r="B306" s="159" t="n">
        <f aca="false" ca="false" dt2D="false" dtr="false" t="normal">+B305+1</f>
        <v>100</v>
      </c>
      <c r="C306" s="6" t="s">
        <v>177</v>
      </c>
      <c r="D306" s="6" t="s">
        <v>303</v>
      </c>
      <c r="E306" s="139" t="n">
        <v>1966</v>
      </c>
      <c r="F306" s="139" t="n">
        <v>2013</v>
      </c>
      <c r="G306" s="139" t="s">
        <v>4</v>
      </c>
      <c r="H306" s="139" t="n">
        <v>4</v>
      </c>
      <c r="I306" s="139" t="n">
        <v>6</v>
      </c>
      <c r="J306" s="17" t="n">
        <v>2829.5</v>
      </c>
      <c r="K306" s="17" t="n">
        <v>2537.8</v>
      </c>
      <c r="L306" s="17" t="n">
        <v>230.6</v>
      </c>
      <c r="M306" s="140" t="n">
        <v>144</v>
      </c>
      <c r="N306" s="16" t="n">
        <f aca="false" ca="false" dt2D="false" dtr="false" t="normal">SUM(P306:T306)</f>
        <v>11911375.76</v>
      </c>
      <c r="O306" s="18" t="n"/>
      <c r="P306" s="18" t="n">
        <f aca="false" ca="false" dt2D="false" dtr="false" t="normal">2935208.39-218044.34</f>
        <v>2717164.0500000003</v>
      </c>
      <c r="Q306" s="18" t="n"/>
      <c r="R306" s="18" t="n">
        <v>509273.2</v>
      </c>
      <c r="S306" s="18" t="n">
        <v>8684938.51</v>
      </c>
      <c r="T306" s="18" t="n"/>
      <c r="U306" s="18" t="n">
        <v>9188.10009785138</v>
      </c>
      <c r="V306" s="18" t="n">
        <v>1324.283020064</v>
      </c>
      <c r="W306" s="212" t="n">
        <v>2023</v>
      </c>
      <c r="X306" s="202" t="n">
        <v>1632407.51</v>
      </c>
      <c r="Y306" s="3" t="n">
        <f aca="false" ca="false" dt2D="false" dtr="false" t="normal">+(K306*10.5+L306*21)*12*0.85</f>
        <v>321192.89999999997</v>
      </c>
      <c r="Z306" s="3" t="n">
        <f aca="false" ca="false" dt2D="false" dtr="false" t="normal">+(K306*10.5+L306*21)*12*30</f>
        <v>11336220</v>
      </c>
      <c r="AB306" s="158" t="n">
        <f aca="false" ca="true" dt2D="false" dtr="false" t="normal">SUBTOTAL(9, AC306:AQ306)</f>
        <v>11911375.76</v>
      </c>
      <c r="AC306" s="18" t="n"/>
      <c r="AD306" s="18" t="n"/>
      <c r="AE306" s="18" t="n"/>
      <c r="AF306" s="18" t="n"/>
      <c r="AG306" s="18" t="n"/>
      <c r="AH306" s="18" t="n"/>
      <c r="AI306" s="18" t="n"/>
      <c r="AJ306" s="18" t="n"/>
      <c r="AK306" s="18" t="n">
        <v>11436125.95</v>
      </c>
      <c r="AL306" s="18" t="n">
        <v>0</v>
      </c>
      <c r="AM306" s="18" t="n"/>
      <c r="AN306" s="18" t="n"/>
      <c r="AO306" s="18" t="n">
        <v>459249.81</v>
      </c>
      <c r="AP306" s="18" t="n">
        <v>16000</v>
      </c>
      <c r="AQ306" s="24" t="n"/>
      <c r="AR306" s="3" t="n">
        <f aca="false" ca="false" dt2D="false" dtr="false" t="normal">N306-AB306</f>
        <v>0</v>
      </c>
    </row>
    <row customFormat="true" ht="15" outlineLevel="0" r="307" s="184">
      <c r="A307" s="5" t="n">
        <f aca="false" ca="false" dt2D="false" dtr="false" t="normal">+A306+1</f>
        <v>289</v>
      </c>
      <c r="B307" s="159" t="n">
        <f aca="false" ca="false" dt2D="false" dtr="false" t="normal">+B306+1</f>
        <v>101</v>
      </c>
      <c r="C307" s="6" t="s">
        <v>309</v>
      </c>
      <c r="D307" s="6" t="s">
        <v>424</v>
      </c>
      <c r="E307" s="139" t="s">
        <v>311</v>
      </c>
      <c r="F307" s="139" t="n"/>
      <c r="G307" s="139" t="s">
        <v>4</v>
      </c>
      <c r="H307" s="139" t="s">
        <v>159</v>
      </c>
      <c r="I307" s="139" t="s">
        <v>159</v>
      </c>
      <c r="J307" s="17" t="n">
        <v>3950.89</v>
      </c>
      <c r="K307" s="17" t="n">
        <v>3454.6</v>
      </c>
      <c r="L307" s="17" t="n">
        <v>0</v>
      </c>
      <c r="M307" s="140" t="n">
        <v>153</v>
      </c>
      <c r="N307" s="16" t="n">
        <f aca="false" ca="false" dt2D="false" dtr="false" t="normal">SUM(P307:T307)</f>
        <v>33900034.11</v>
      </c>
      <c r="O307" s="18" t="n">
        <v>0</v>
      </c>
      <c r="P307" s="18" t="n">
        <v>25340403.56</v>
      </c>
      <c r="Q307" s="18" t="n">
        <v>0</v>
      </c>
      <c r="R307" s="18" t="n">
        <v>2414088.95</v>
      </c>
      <c r="S307" s="18" t="n">
        <v>6145541.6</v>
      </c>
      <c r="T307" s="18" t="n"/>
      <c r="U307" s="18" t="n">
        <v>17703.248516676</v>
      </c>
      <c r="V307" s="18" t="n">
        <v>1327.283020064</v>
      </c>
      <c r="W307" s="212" t="n">
        <v>2023</v>
      </c>
      <c r="X307" s="103" t="n">
        <v>2044101.29</v>
      </c>
      <c r="Y307" s="3" t="n">
        <f aca="false" ca="false" dt2D="false" dtr="false" t="normal">+(K307*10.5+L307*21)*12*0.85</f>
        <v>369987.66</v>
      </c>
      <c r="Z307" s="3" t="n">
        <f aca="false" ca="false" dt2D="false" dtr="false" t="normal">+(K307*10.5+L307*21)*12*30</f>
        <v>13058388</v>
      </c>
      <c r="AA307" s="3" t="n"/>
      <c r="AB307" s="158" t="n">
        <f aca="false" ca="true" dt2D="false" dtr="false" t="normal">SUBTOTAL(9, AC307:AQ307)</f>
        <v>33900034.11</v>
      </c>
      <c r="AC307" s="18" t="n"/>
      <c r="AD307" s="18" t="n"/>
      <c r="AE307" s="18" t="n"/>
      <c r="AF307" s="18" t="n"/>
      <c r="AG307" s="18" t="n"/>
      <c r="AH307" s="18" t="n"/>
      <c r="AI307" s="18" t="n"/>
      <c r="AJ307" s="18" t="n">
        <v>0</v>
      </c>
      <c r="AK307" s="18" t="n">
        <v>12001166</v>
      </c>
      <c r="AL307" s="18" t="n">
        <v>0</v>
      </c>
      <c r="AM307" s="18" t="n">
        <v>21351135</v>
      </c>
      <c r="AN307" s="18" t="n"/>
      <c r="AO307" s="18" t="n">
        <v>544304.54</v>
      </c>
      <c r="AP307" s="18" t="n">
        <v>3428.57</v>
      </c>
      <c r="AQ307" s="24" t="n"/>
      <c r="AR307" s="3" t="n">
        <f aca="false" ca="false" dt2D="false" dtr="false" t="normal">N307-AB307</f>
        <v>0</v>
      </c>
      <c r="AT307" s="187" t="n"/>
    </row>
    <row outlineLevel="0" r="308">
      <c r="A308" s="5" t="n">
        <f aca="false" ca="false" dt2D="false" dtr="false" t="normal">+A307+1</f>
        <v>290</v>
      </c>
      <c r="B308" s="159" t="n">
        <f aca="false" ca="false" dt2D="false" dtr="false" t="normal">+B307+1</f>
        <v>102</v>
      </c>
      <c r="C308" s="138" t="s">
        <v>177</v>
      </c>
      <c r="D308" s="138" t="s">
        <v>307</v>
      </c>
      <c r="E308" s="139" t="n">
        <v>1995</v>
      </c>
      <c r="F308" s="139" t="n">
        <v>2013</v>
      </c>
      <c r="G308" s="139" t="s">
        <v>4</v>
      </c>
      <c r="H308" s="139" t="n">
        <v>5</v>
      </c>
      <c r="I308" s="139" t="n">
        <v>2</v>
      </c>
      <c r="J308" s="17" t="n">
        <v>2325.7</v>
      </c>
      <c r="K308" s="17" t="n">
        <v>1861.6</v>
      </c>
      <c r="L308" s="17" t="n">
        <v>0</v>
      </c>
      <c r="M308" s="140" t="n">
        <v>45</v>
      </c>
      <c r="N308" s="16" t="n">
        <f aca="false" ca="false" dt2D="false" dtr="false" t="normal">SUM(P308:T308)</f>
        <v>786855.4100000001</v>
      </c>
      <c r="O308" s="17" t="n"/>
      <c r="P308" s="18" t="n"/>
      <c r="Q308" s="18" t="n"/>
      <c r="R308" s="18" t="n">
        <v>754929.79</v>
      </c>
      <c r="S308" s="18" t="n">
        <v>31925.6200000001</v>
      </c>
      <c r="T308" s="18" t="n"/>
      <c r="U308" s="17" t="n">
        <v>764.176261660851</v>
      </c>
      <c r="V308" s="17" t="n">
        <v>764.176261660851</v>
      </c>
      <c r="W308" s="212" t="n">
        <v>2023</v>
      </c>
      <c r="X308" s="1" t="n">
        <v>717879.06</v>
      </c>
      <c r="Y308" s="3" t="n">
        <f aca="false" ca="false" dt2D="false" dtr="false" t="normal">+(K308*10+L308*20)*12*0.85</f>
        <v>189883.19999999998</v>
      </c>
      <c r="Z308" s="3" t="n">
        <f aca="false" ca="false" dt2D="false" dtr="false" t="normal">+(K308*10+L308*20)*12*30</f>
        <v>6701760</v>
      </c>
      <c r="AB308" s="23" t="n">
        <f aca="false" ca="true" dt2D="false" dtr="false" t="normal">SUBTOTAL(9, AC308:AQ308)</f>
        <v>786855.41</v>
      </c>
      <c r="AC308" s="18" t="n"/>
      <c r="AD308" s="18" t="n"/>
      <c r="AE308" s="18" t="n"/>
      <c r="AF308" s="18" t="n">
        <v>754929.79</v>
      </c>
      <c r="AG308" s="18" t="n">
        <v>0</v>
      </c>
      <c r="AH308" s="18" t="n"/>
      <c r="AI308" s="18" t="n"/>
      <c r="AJ308" s="18" t="n">
        <v>0</v>
      </c>
      <c r="AK308" s="18" t="n"/>
      <c r="AL308" s="18" t="n">
        <v>0</v>
      </c>
      <c r="AM308" s="18" t="n">
        <v>0</v>
      </c>
      <c r="AN308" s="18" t="n"/>
      <c r="AO308" s="18" t="n">
        <v>27925.62</v>
      </c>
      <c r="AP308" s="18" t="n">
        <v>4000</v>
      </c>
      <c r="AQ308" s="24" t="n"/>
      <c r="AR308" s="3" t="n">
        <f aca="false" ca="false" dt2D="false" dtr="false" t="normal">N308-AB308</f>
        <v>0</v>
      </c>
    </row>
    <row outlineLevel="0" r="309">
      <c r="A309" s="5" t="n">
        <f aca="false" ca="false" dt2D="false" dtr="false" t="normal">+A308+1</f>
        <v>291</v>
      </c>
      <c r="B309" s="159" t="n">
        <f aca="false" ca="false" dt2D="false" dtr="false" t="normal">+B308+1</f>
        <v>103</v>
      </c>
      <c r="C309" s="138" t="s">
        <v>177</v>
      </c>
      <c r="D309" s="138" t="s">
        <v>591</v>
      </c>
      <c r="E309" s="139" t="n">
        <v>1968</v>
      </c>
      <c r="F309" s="139" t="n">
        <v>2013</v>
      </c>
      <c r="G309" s="139" t="s">
        <v>4</v>
      </c>
      <c r="H309" s="139" t="n">
        <v>5</v>
      </c>
      <c r="I309" s="139" t="n">
        <v>5</v>
      </c>
      <c r="J309" s="17" t="n">
        <v>3261.1</v>
      </c>
      <c r="K309" s="17" t="n">
        <v>2512.5</v>
      </c>
      <c r="L309" s="17" t="n">
        <v>664.8</v>
      </c>
      <c r="M309" s="140" t="n">
        <v>128</v>
      </c>
      <c r="N309" s="16" t="n">
        <f aca="false" ca="false" dt2D="false" dtr="false" t="normal">SUM(P309:T309)</f>
        <v>982262</v>
      </c>
      <c r="O309" s="17" t="n"/>
      <c r="P309" s="18" t="n"/>
      <c r="Q309" s="18" t="n"/>
      <c r="R309" s="18" t="n"/>
      <c r="S309" s="18" t="n">
        <v>982262</v>
      </c>
      <c r="T309" s="18" t="n"/>
      <c r="U309" s="17" t="n">
        <v>1016.77576941163</v>
      </c>
      <c r="V309" s="17" t="n">
        <v>1016.77576941163</v>
      </c>
      <c r="W309" s="212" t="n">
        <v>2023</v>
      </c>
      <c r="X309" s="1" t="n">
        <v>1018647.82</v>
      </c>
      <c r="Y309" s="3" t="n">
        <f aca="false" ca="false" dt2D="false" dtr="false" t="normal">+(K309*10+L309*20)*12*0.85</f>
        <v>391894.2</v>
      </c>
      <c r="Z309" s="3" t="n">
        <f aca="false" ca="false" dt2D="false" dtr="false" t="normal">+(K309*10+L309*20)*12*30</f>
        <v>13831560</v>
      </c>
      <c r="AB309" s="23" t="n">
        <f aca="false" ca="true" dt2D="false" dtr="false" t="normal">SUBTOTAL(9, AC309:AQ309)</f>
        <v>982262</v>
      </c>
      <c r="AC309" s="18" t="n"/>
      <c r="AD309" s="18" t="n"/>
      <c r="AE309" s="18" t="n"/>
      <c r="AF309" s="18" t="n"/>
      <c r="AG309" s="18" t="n">
        <v>982262</v>
      </c>
      <c r="AH309" s="18" t="n"/>
      <c r="AI309" s="18" t="n"/>
      <c r="AJ309" s="18" t="n"/>
      <c r="AK309" s="18" t="n"/>
      <c r="AL309" s="18" t="n"/>
      <c r="AM309" s="18" t="n"/>
      <c r="AN309" s="18" t="n">
        <v>0</v>
      </c>
      <c r="AO309" s="18" t="n"/>
      <c r="AP309" s="18" t="n"/>
      <c r="AQ309" s="24" t="n"/>
      <c r="AR309" s="3" t="n">
        <f aca="false" ca="false" dt2D="false" dtr="false" t="normal">N309-AB309</f>
        <v>0</v>
      </c>
    </row>
    <row customFormat="true" ht="15" outlineLevel="0" r="310" s="184">
      <c r="A310" s="5" t="n">
        <f aca="false" ca="false" dt2D="false" dtr="false" t="normal">+A309+1</f>
        <v>292</v>
      </c>
      <c r="B310" s="159" t="n">
        <f aca="false" ca="false" dt2D="false" dtr="false" t="normal">+B309+1</f>
        <v>104</v>
      </c>
      <c r="C310" s="6" t="s">
        <v>177</v>
      </c>
      <c r="D310" s="6" t="s">
        <v>316</v>
      </c>
      <c r="E310" s="139" t="s">
        <v>28</v>
      </c>
      <c r="F310" s="139" t="n"/>
      <c r="G310" s="139" t="s">
        <v>4</v>
      </c>
      <c r="H310" s="139" t="s">
        <v>159</v>
      </c>
      <c r="I310" s="139" t="s">
        <v>312</v>
      </c>
      <c r="J310" s="17" t="n">
        <v>5678.2</v>
      </c>
      <c r="K310" s="17" t="n">
        <v>4923.8</v>
      </c>
      <c r="L310" s="17" t="n">
        <v>69.9</v>
      </c>
      <c r="M310" s="140" t="n">
        <v>205</v>
      </c>
      <c r="N310" s="16" t="n">
        <f aca="false" ca="false" dt2D="false" dtr="false" t="normal">SUM(P310:T310)</f>
        <v>37756385.57</v>
      </c>
      <c r="O310" s="18" t="n">
        <v>0</v>
      </c>
      <c r="P310" s="18" t="n">
        <v>14385532.07</v>
      </c>
      <c r="Q310" s="18" t="n">
        <v>0</v>
      </c>
      <c r="R310" s="18" t="n">
        <v>1148817.27</v>
      </c>
      <c r="S310" s="18" t="n">
        <v>12054694.5414431</v>
      </c>
      <c r="T310" s="18" t="n">
        <v>10167341.6885569</v>
      </c>
      <c r="U310" s="17" t="n">
        <v>13256.8451441321</v>
      </c>
      <c r="V310" s="17" t="n">
        <v>13256.8451441321</v>
      </c>
      <c r="W310" s="212" t="n">
        <v>2023</v>
      </c>
      <c r="X310" s="184" t="n">
        <v>2280888.52</v>
      </c>
      <c r="Y310" s="3" t="n">
        <f aca="false" ca="false" dt2D="false" dtr="false" t="normal">+(K310*10+L310*20)*12*0.85</f>
        <v>516487.2</v>
      </c>
      <c r="Z310" s="3" t="n">
        <f aca="false" ca="false" dt2D="false" dtr="false" t="normal">+(K310*10+L310*20)*12*30</f>
        <v>18228960</v>
      </c>
      <c r="AA310" s="3" t="n"/>
      <c r="AB310" s="23" t="n">
        <f aca="false" ca="true" dt2D="false" dtr="false" t="normal">SUBTOTAL(9, AC310:AQ310)</f>
        <v>37756385.57</v>
      </c>
      <c r="AC310" s="18" t="n"/>
      <c r="AD310" s="18" t="n"/>
      <c r="AE310" s="18" t="n"/>
      <c r="AF310" s="18" t="n"/>
      <c r="AG310" s="18" t="n"/>
      <c r="AH310" s="18" t="n"/>
      <c r="AI310" s="18" t="n"/>
      <c r="AJ310" s="18" t="n"/>
      <c r="AK310" s="18" t="n"/>
      <c r="AL310" s="18" t="n"/>
      <c r="AM310" s="18" t="n">
        <v>31442611.48</v>
      </c>
      <c r="AN310" s="18" t="n">
        <v>5699540.98</v>
      </c>
      <c r="AO310" s="18" t="n">
        <v>607375.97</v>
      </c>
      <c r="AP310" s="18" t="n">
        <v>6857.14</v>
      </c>
      <c r="AQ310" s="24" t="n"/>
      <c r="AR310" s="3" t="n">
        <f aca="false" ca="false" dt2D="false" dtr="false" t="normal">N310-AB310</f>
        <v>0</v>
      </c>
      <c r="AT310" s="187" t="n"/>
    </row>
    <row customFormat="true" ht="15" outlineLevel="0" r="311" s="184">
      <c r="A311" s="5" t="n">
        <f aca="false" ca="false" dt2D="false" dtr="false" t="normal">+A310+1</f>
        <v>293</v>
      </c>
      <c r="B311" s="159" t="n">
        <f aca="false" ca="false" dt2D="false" dtr="false" t="normal">+B310+1</f>
        <v>105</v>
      </c>
      <c r="C311" s="138" t="s">
        <v>177</v>
      </c>
      <c r="D311" s="138" t="s">
        <v>434</v>
      </c>
      <c r="E311" s="139" t="s">
        <v>28</v>
      </c>
      <c r="F311" s="139" t="n"/>
      <c r="G311" s="139" t="s">
        <v>4</v>
      </c>
      <c r="H311" s="139" t="s">
        <v>159</v>
      </c>
      <c r="I311" s="139" t="s">
        <v>312</v>
      </c>
      <c r="J311" s="17" t="n">
        <v>5563.5</v>
      </c>
      <c r="K311" s="17" t="n">
        <v>4878.9</v>
      </c>
      <c r="L311" s="17" t="n">
        <v>141.3</v>
      </c>
      <c r="M311" s="140" t="n">
        <v>202</v>
      </c>
      <c r="N311" s="16" t="n">
        <f aca="false" ca="false" dt2D="false" dtr="false" t="normal">SUM(P311:T311)</f>
        <v>6472175.16</v>
      </c>
      <c r="O311" s="17" t="n">
        <v>0</v>
      </c>
      <c r="P311" s="18" t="n"/>
      <c r="Q311" s="18" t="n">
        <v>0</v>
      </c>
      <c r="R311" s="18" t="n">
        <v>1687675.76663143</v>
      </c>
      <c r="S311" s="18" t="n">
        <v>4784499.39336857</v>
      </c>
      <c r="T311" s="18" t="n"/>
      <c r="U311" s="17" t="n">
        <v>4093.52480525663</v>
      </c>
      <c r="V311" s="17" t="n">
        <v>4093.52480525663</v>
      </c>
      <c r="W311" s="212" t="n">
        <v>2023</v>
      </c>
      <c r="X311" s="184" t="n">
        <v>2384583.81</v>
      </c>
      <c r="Y311" s="3" t="n">
        <f aca="false" ca="false" dt2D="false" dtr="false" t="normal">+(K311*10+L311*20)*12*0.85</f>
        <v>526473</v>
      </c>
      <c r="Z311" s="3" t="n">
        <f aca="false" ca="false" dt2D="false" dtr="false" t="normal">+(K311*10+L311*20)*12*30</f>
        <v>18581400</v>
      </c>
      <c r="AA311" s="3" t="n"/>
      <c r="AB311" s="23" t="n">
        <f aca="false" ca="true" dt2D="false" dtr="false" t="normal">SUBTOTAL(9, AC311:AQ311)</f>
        <v>6472175.16</v>
      </c>
      <c r="AC311" s="18" t="n"/>
      <c r="AD311" s="18" t="n"/>
      <c r="AE311" s="18" t="n"/>
      <c r="AF311" s="18" t="n"/>
      <c r="AG311" s="18" t="n"/>
      <c r="AH311" s="18" t="n"/>
      <c r="AI311" s="18" t="n"/>
      <c r="AJ311" s="18" t="n"/>
      <c r="AK311" s="18" t="n"/>
      <c r="AL311" s="18" t="n"/>
      <c r="AM311" s="18" t="n"/>
      <c r="AN311" s="18" t="n">
        <v>6215148.3</v>
      </c>
      <c r="AO311" s="18" t="n">
        <v>253598.29</v>
      </c>
      <c r="AP311" s="18" t="n">
        <v>3428.57</v>
      </c>
      <c r="AQ311" s="24" t="n"/>
      <c r="AR311" s="3" t="n">
        <f aca="false" ca="false" dt2D="false" dtr="false" t="normal">N311-AB311</f>
        <v>0</v>
      </c>
      <c r="AT311" s="187" t="n"/>
    </row>
    <row customFormat="true" ht="15" outlineLevel="0" r="312" s="184">
      <c r="A312" s="5" t="n">
        <f aca="false" ca="false" dt2D="false" dtr="false" t="normal">+A311+1</f>
        <v>294</v>
      </c>
      <c r="B312" s="159" t="n">
        <f aca="false" ca="false" dt2D="false" dtr="false" t="normal">+B311+1</f>
        <v>106</v>
      </c>
      <c r="C312" s="138" t="s">
        <v>309</v>
      </c>
      <c r="D312" s="138" t="s">
        <v>436</v>
      </c>
      <c r="E312" s="139" t="s">
        <v>311</v>
      </c>
      <c r="F312" s="139" t="n"/>
      <c r="G312" s="139" t="s">
        <v>4</v>
      </c>
      <c r="H312" s="139" t="s">
        <v>159</v>
      </c>
      <c r="I312" s="139" t="s">
        <v>312</v>
      </c>
      <c r="J312" s="17" t="n">
        <v>5751.1</v>
      </c>
      <c r="K312" s="17" t="n">
        <v>4971.6</v>
      </c>
      <c r="L312" s="17" t="n">
        <v>0</v>
      </c>
      <c r="M312" s="140" t="n">
        <v>221</v>
      </c>
      <c r="N312" s="16" t="n">
        <f aca="false" ca="false" dt2D="false" dtr="false" t="normal">SUM(P312:T312)</f>
        <v>22551866.78</v>
      </c>
      <c r="O312" s="17" t="n">
        <v>0</v>
      </c>
      <c r="P312" s="18" t="n"/>
      <c r="Q312" s="18" t="n">
        <v>0</v>
      </c>
      <c r="R312" s="18" t="n">
        <v>2732123.25</v>
      </c>
      <c r="S312" s="18" t="n">
        <v>19819743.53</v>
      </c>
      <c r="T312" s="18" t="n"/>
      <c r="U312" s="18" t="n">
        <v>10054.0694105366</v>
      </c>
      <c r="V312" s="18" t="n">
        <v>1330.283020064</v>
      </c>
      <c r="W312" s="212" t="n">
        <v>2023</v>
      </c>
      <c r="X312" s="103" t="n">
        <v>2885684.78</v>
      </c>
      <c r="Y312" s="3" t="n">
        <f aca="false" ca="false" dt2D="false" dtr="false" t="normal">+(K312*10.5+L312*21)*12*0.85</f>
        <v>532458.3600000001</v>
      </c>
      <c r="Z312" s="3" t="n">
        <f aca="false" ca="false" dt2D="false" dtr="false" t="normal">+(K312*10.5+L312*21)*12*30</f>
        <v>18792648.000000004</v>
      </c>
      <c r="AA312" s="3" t="n"/>
      <c r="AB312" s="158" t="n">
        <f aca="false" ca="true" dt2D="false" dtr="false" t="normal">SUBTOTAL(9, AC312:AQ312)</f>
        <v>22551866.78</v>
      </c>
      <c r="AC312" s="18" t="n"/>
      <c r="AD312" s="18" t="n"/>
      <c r="AE312" s="18" t="n"/>
      <c r="AF312" s="18" t="n"/>
      <c r="AG312" s="18" t="n"/>
      <c r="AH312" s="18" t="n"/>
      <c r="AI312" s="18" t="n"/>
      <c r="AJ312" s="18" t="n"/>
      <c r="AK312" s="18" t="n">
        <v>11858145.5</v>
      </c>
      <c r="AL312" s="18" t="n">
        <v>0</v>
      </c>
      <c r="AM312" s="18" t="n"/>
      <c r="AN312" s="18" t="n">
        <v>10159720.21</v>
      </c>
      <c r="AO312" s="18" t="n">
        <v>524401.07</v>
      </c>
      <c r="AP312" s="18" t="n">
        <v>9600</v>
      </c>
      <c r="AQ312" s="24" t="n"/>
      <c r="AR312" s="3" t="n">
        <f aca="false" ca="false" dt2D="false" dtr="false" t="normal">N312-AB312</f>
        <v>0</v>
      </c>
      <c r="AT312" s="187" t="n"/>
    </row>
    <row customFormat="true" customHeight="true" ht="14.25" outlineLevel="0" r="313" s="184">
      <c r="A313" s="5" t="n">
        <f aca="false" ca="false" dt2D="false" dtr="false" t="normal">+A312+1</f>
        <v>295</v>
      </c>
      <c r="B313" s="159" t="n">
        <f aca="false" ca="false" dt2D="false" dtr="false" t="normal">+B312+1</f>
        <v>107</v>
      </c>
      <c r="C313" s="6" t="s">
        <v>177</v>
      </c>
      <c r="D313" s="138" t="s">
        <v>592</v>
      </c>
      <c r="E313" s="139" t="s">
        <v>311</v>
      </c>
      <c r="F313" s="139" t="n"/>
      <c r="G313" s="139" t="s">
        <v>4</v>
      </c>
      <c r="H313" s="139" t="s">
        <v>159</v>
      </c>
      <c r="I313" s="139" t="s">
        <v>312</v>
      </c>
      <c r="J313" s="17" t="n">
        <v>5677.5</v>
      </c>
      <c r="K313" s="17" t="n">
        <v>4896.4</v>
      </c>
      <c r="L313" s="17" t="n">
        <v>72</v>
      </c>
      <c r="M313" s="140" t="n">
        <v>216</v>
      </c>
      <c r="N313" s="16" t="n">
        <f aca="false" ca="false" dt2D="false" dtr="false" t="normal">SUM(P313:T313)</f>
        <v>19322281.259999998</v>
      </c>
      <c r="O313" s="18" t="n">
        <v>0</v>
      </c>
      <c r="P313" s="18" t="n">
        <v>2611305.66</v>
      </c>
      <c r="Q313" s="18" t="n"/>
      <c r="R313" s="18" t="n">
        <v>933265.76</v>
      </c>
      <c r="S313" s="18" t="n">
        <v>14891325.1290234</v>
      </c>
      <c r="T313" s="18" t="n">
        <v>886384.710976601</v>
      </c>
      <c r="U313" s="17" t="n">
        <v>4733.61012412292</v>
      </c>
      <c r="V313" s="17" t="n">
        <v>4733.61012412292</v>
      </c>
      <c r="W313" s="212" t="n">
        <v>2023</v>
      </c>
      <c r="X313" s="192" t="n">
        <f aca="false" ca="false" dt2D="false" dtr="false" t="normal">2265420.6-R122</f>
        <v>-280804.35999999987</v>
      </c>
      <c r="Y313" s="3" t="n">
        <f aca="false" ca="false" dt2D="false" dtr="false" t="normal">+(K313*10+L313*20)*12*0.85</f>
        <v>514120.8</v>
      </c>
      <c r="Z313" s="3" t="n">
        <f aca="false" ca="false" dt2D="false" dtr="false" t="normal">+(K313*10.5+L313*21)*12*30</f>
        <v>19052711.999999996</v>
      </c>
      <c r="AA313" s="3" t="n"/>
      <c r="AB313" s="23" t="n">
        <f aca="false" ca="true" dt2D="false" dtr="false" t="normal">SUBTOTAL(9, AC313:AQ313)</f>
        <v>19322281.259999998</v>
      </c>
      <c r="AC313" s="18" t="n">
        <v>9193389.03</v>
      </c>
      <c r="AD313" s="18" t="n">
        <v>2924499.67</v>
      </c>
      <c r="AE313" s="18" t="n">
        <v>3230753.86</v>
      </c>
      <c r="AF313" s="18" t="n">
        <v>3708442.52</v>
      </c>
      <c r="AG313" s="18" t="n"/>
      <c r="AH313" s="18" t="n"/>
      <c r="AI313" s="18" t="n"/>
      <c r="AJ313" s="18" t="n"/>
      <c r="AK313" s="18" t="n"/>
      <c r="AL313" s="18" t="n"/>
      <c r="AM313" s="18" t="n"/>
      <c r="AN313" s="18" t="n"/>
      <c r="AO313" s="18" t="n">
        <v>226850.47</v>
      </c>
      <c r="AP313" s="18" t="n">
        <v>38345.71</v>
      </c>
      <c r="AQ313" s="24" t="n"/>
      <c r="AR313" s="3" t="n">
        <f aca="false" ca="false" dt2D="false" dtr="false" t="normal">N313-AB313</f>
        <v>0</v>
      </c>
      <c r="AT313" s="187" t="n"/>
    </row>
    <row outlineLevel="0" r="314">
      <c r="A314" s="5" t="n">
        <f aca="false" ca="false" dt2D="false" dtr="false" t="normal">+A313+1</f>
        <v>296</v>
      </c>
      <c r="B314" s="159" t="n">
        <f aca="false" ca="false" dt2D="false" dtr="false" t="normal">+B313+1</f>
        <v>108</v>
      </c>
      <c r="C314" s="138" t="s">
        <v>177</v>
      </c>
      <c r="D314" s="138" t="s">
        <v>438</v>
      </c>
      <c r="E314" s="139" t="n">
        <v>1968</v>
      </c>
      <c r="F314" s="139" t="n">
        <v>2013</v>
      </c>
      <c r="G314" s="139" t="s">
        <v>4</v>
      </c>
      <c r="H314" s="139" t="n">
        <v>4</v>
      </c>
      <c r="I314" s="139" t="n">
        <v>3</v>
      </c>
      <c r="J314" s="17" t="n">
        <v>2488.5</v>
      </c>
      <c r="K314" s="17" t="n">
        <v>2348.2</v>
      </c>
      <c r="L314" s="17" t="n">
        <v>69.6</v>
      </c>
      <c r="M314" s="140" t="n">
        <v>56</v>
      </c>
      <c r="N314" s="16" t="n">
        <f aca="false" ca="false" dt2D="false" dtr="false" t="normal">SUM(P314:T314)</f>
        <v>5865383.100000001</v>
      </c>
      <c r="O314" s="17" t="n"/>
      <c r="P314" s="18" t="n"/>
      <c r="Q314" s="18" t="n"/>
      <c r="R314" s="18" t="n">
        <v>149451.86</v>
      </c>
      <c r="S314" s="18" t="n">
        <v>5715931.24</v>
      </c>
      <c r="T314" s="17" t="n"/>
      <c r="U314" s="18" t="n">
        <v>4337.07819149093</v>
      </c>
      <c r="V314" s="18" t="n">
        <v>4337.07819149093</v>
      </c>
      <c r="W314" s="212" t="n">
        <v>2023</v>
      </c>
      <c r="X314" s="1" t="n">
        <v>1248740.06</v>
      </c>
      <c r="Y314" s="3" t="n">
        <f aca="false" ca="false" dt2D="false" dtr="false" t="normal">+(K314*10+L314*20)*12*0.85</f>
        <v>253714.8</v>
      </c>
      <c r="Z314" s="3" t="n">
        <f aca="false" ca="false" dt2D="false" dtr="false" t="normal">+(K314*10+L314*20)*12*30</f>
        <v>8954640</v>
      </c>
      <c r="AB314" s="23" t="n">
        <f aca="false" ca="true" dt2D="false" dtr="false" t="normal">SUBTOTAL(9, AC314:AQ314)</f>
        <v>5865383.100000001</v>
      </c>
      <c r="AC314" s="18" t="n">
        <v>0</v>
      </c>
      <c r="AD314" s="18" t="n"/>
      <c r="AE314" s="18" t="n">
        <v>0</v>
      </c>
      <c r="AF314" s="18" t="n"/>
      <c r="AG314" s="18" t="n"/>
      <c r="AH314" s="18" t="n"/>
      <c r="AI314" s="18" t="n"/>
      <c r="AJ314" s="18" t="n">
        <v>0</v>
      </c>
      <c r="AK314" s="18" t="n">
        <v>0</v>
      </c>
      <c r="AL314" s="18" t="n">
        <v>0</v>
      </c>
      <c r="AM314" s="18" t="n">
        <v>0</v>
      </c>
      <c r="AN314" s="18" t="n">
        <v>5650467.82</v>
      </c>
      <c r="AO314" s="18" t="n">
        <v>202915.28</v>
      </c>
      <c r="AP314" s="18" t="n">
        <v>12000</v>
      </c>
      <c r="AQ314" s="24" t="n"/>
      <c r="AR314" s="3" t="n">
        <f aca="false" ca="false" dt2D="false" dtr="false" t="normal">N314-AB314</f>
        <v>0</v>
      </c>
    </row>
    <row customFormat="true" ht="15" outlineLevel="0" r="315" s="184">
      <c r="A315" s="5" t="n">
        <f aca="false" ca="false" dt2D="false" dtr="false" t="normal">+A314+1</f>
        <v>297</v>
      </c>
      <c r="B315" s="159" t="n">
        <f aca="false" ca="false" dt2D="false" dtr="false" t="normal">+B314+1</f>
        <v>109</v>
      </c>
      <c r="C315" s="138" t="s">
        <v>177</v>
      </c>
      <c r="D315" s="138" t="s">
        <v>444</v>
      </c>
      <c r="E315" s="139" t="s">
        <v>340</v>
      </c>
      <c r="F315" s="139" t="n"/>
      <c r="G315" s="139" t="s">
        <v>4</v>
      </c>
      <c r="H315" s="139" t="s">
        <v>159</v>
      </c>
      <c r="I315" s="139" t="s">
        <v>159</v>
      </c>
      <c r="J315" s="17" t="n">
        <v>2960.3</v>
      </c>
      <c r="K315" s="17" t="n">
        <v>2725</v>
      </c>
      <c r="L315" s="17" t="n">
        <v>0</v>
      </c>
      <c r="M315" s="140" t="n">
        <v>121</v>
      </c>
      <c r="N315" s="16" t="n">
        <f aca="false" ca="false" dt2D="false" dtr="false" t="normal">SUM(P315:T315)</f>
        <v>3976195.3</v>
      </c>
      <c r="O315" s="17" t="n">
        <v>0</v>
      </c>
      <c r="P315" s="18" t="n"/>
      <c r="Q315" s="18" t="n">
        <v>0</v>
      </c>
      <c r="R315" s="18" t="n">
        <v>756433.77</v>
      </c>
      <c r="S315" s="18" t="n">
        <v>3219761.53</v>
      </c>
      <c r="T315" s="18" t="n"/>
      <c r="U315" s="17" t="n">
        <v>3792.18951094113</v>
      </c>
      <c r="V315" s="17" t="n">
        <v>3792.18951094113</v>
      </c>
      <c r="W315" s="212" t="n">
        <v>2023</v>
      </c>
      <c r="X315" s="184" t="n">
        <v>1333137.2</v>
      </c>
      <c r="Y315" s="3" t="n">
        <f aca="false" ca="false" dt2D="false" dtr="false" t="normal">+(K315*10+L315*20)*12*0.85</f>
        <v>277950</v>
      </c>
      <c r="Z315" s="3" t="n">
        <f aca="false" ca="false" dt2D="false" dtr="false" t="normal">+(K315*10+L315*20)*12*30</f>
        <v>9810000</v>
      </c>
      <c r="AA315" s="3" t="n"/>
      <c r="AB315" s="23" t="n">
        <f aca="false" ca="true" dt2D="false" dtr="false" t="normal">SUBTOTAL(9, AC315:AQ315)</f>
        <v>3976195.3000000003</v>
      </c>
      <c r="AC315" s="18" t="n"/>
      <c r="AD315" s="18" t="n"/>
      <c r="AE315" s="18" t="n"/>
      <c r="AF315" s="18" t="n"/>
      <c r="AG315" s="18" t="n"/>
      <c r="AH315" s="18" t="n"/>
      <c r="AI315" s="18" t="n"/>
      <c r="AJ315" s="18" t="n"/>
      <c r="AK315" s="18" t="n"/>
      <c r="AL315" s="18" t="n"/>
      <c r="AM315" s="18" t="n"/>
      <c r="AN315" s="18" t="n">
        <v>3781253.22</v>
      </c>
      <c r="AO315" s="18" t="n">
        <v>188942.08</v>
      </c>
      <c r="AP315" s="18" t="n">
        <v>6000</v>
      </c>
      <c r="AQ315" s="24" t="n"/>
      <c r="AR315" s="3" t="n">
        <f aca="false" ca="false" dt2D="false" dtr="false" t="normal">N315-AB315</f>
        <v>0</v>
      </c>
      <c r="AT315" s="187" t="n"/>
    </row>
    <row outlineLevel="0" r="316">
      <c r="A316" s="5" t="n">
        <f aca="false" ca="false" dt2D="false" dtr="false" t="normal">+A315+1</f>
        <v>298</v>
      </c>
      <c r="B316" s="159" t="n">
        <f aca="false" ca="false" dt2D="false" dtr="false" t="normal">+B315+1</f>
        <v>110</v>
      </c>
      <c r="C316" s="6" t="s">
        <v>177</v>
      </c>
      <c r="D316" s="6" t="s">
        <v>328</v>
      </c>
      <c r="E316" s="139" t="n">
        <v>1975</v>
      </c>
      <c r="F316" s="139" t="n">
        <v>2013</v>
      </c>
      <c r="G316" s="139" t="s">
        <v>4</v>
      </c>
      <c r="H316" s="139" t="n">
        <v>4</v>
      </c>
      <c r="I316" s="139" t="n">
        <v>6</v>
      </c>
      <c r="J316" s="17" t="n">
        <v>5531.3</v>
      </c>
      <c r="K316" s="17" t="n">
        <v>4842.7</v>
      </c>
      <c r="L316" s="17" t="n">
        <v>189.7</v>
      </c>
      <c r="M316" s="140" t="n">
        <v>224</v>
      </c>
      <c r="N316" s="16" t="n">
        <f aca="false" ca="false" dt2D="false" dtr="false" t="normal">SUM(P316:T316)</f>
        <v>14411004.84</v>
      </c>
      <c r="O316" s="18" t="n"/>
      <c r="P316" s="18" t="n">
        <v>10669071.29</v>
      </c>
      <c r="Q316" s="18" t="n"/>
      <c r="R316" s="18" t="n">
        <v>242999.65</v>
      </c>
      <c r="S316" s="18" t="n">
        <v>3498933.9</v>
      </c>
      <c r="T316" s="18" t="n"/>
      <c r="U316" s="17" t="n">
        <v>5890.55104265599</v>
      </c>
      <c r="V316" s="17" t="n">
        <v>5890.55104265599</v>
      </c>
      <c r="W316" s="212" t="n">
        <v>2023</v>
      </c>
      <c r="X316" s="1" t="n">
        <f aca="false" ca="false" dt2D="false" dtr="false" t="normal">2505054.36-114158.29-322925.86</f>
        <v>2067970.21</v>
      </c>
      <c r="Y316" s="3" t="n">
        <f aca="false" ca="false" dt2D="false" dtr="false" t="normal">+(K316*10+L316*20)*12*0.85</f>
        <v>532654.2</v>
      </c>
      <c r="Z316" s="3" t="n">
        <f aca="false" ca="false" dt2D="false" dtr="false" t="normal">+(K316*10+L316*20)*12*30</f>
        <v>18799560</v>
      </c>
      <c r="AB316" s="23" t="n">
        <f aca="false" ca="true" dt2D="false" dtr="false" t="normal">SUBTOTAL(9, AC316:AQ316)</f>
        <v>14411004.84</v>
      </c>
      <c r="AC316" s="18" t="n"/>
      <c r="AD316" s="18" t="n"/>
      <c r="AE316" s="18" t="n">
        <v>3542032.19</v>
      </c>
      <c r="AF316" s="18" t="n"/>
      <c r="AG316" s="18" t="n"/>
      <c r="AH316" s="18" t="n"/>
      <c r="AI316" s="18" t="n"/>
      <c r="AJ316" s="18" t="n">
        <v>0</v>
      </c>
      <c r="AK316" s="18" t="n">
        <v>10714681.14</v>
      </c>
      <c r="AL316" s="18" t="n">
        <v>0</v>
      </c>
      <c r="AM316" s="18" t="n"/>
      <c r="AN316" s="18" t="n"/>
      <c r="AO316" s="18" t="n"/>
      <c r="AP316" s="18" t="n"/>
      <c r="AQ316" s="156" t="n">
        <f aca="false" ca="false" dt2D="false" dtr="false" t="normal">39596.34+114695.17</f>
        <v>154291.51</v>
      </c>
      <c r="AR316" s="3" t="n">
        <f aca="false" ca="false" dt2D="false" dtr="false" t="normal">N316-AB316</f>
        <v>0</v>
      </c>
    </row>
    <row outlineLevel="0" r="317">
      <c r="A317" s="5" t="n">
        <f aca="false" ca="false" dt2D="false" dtr="false" t="normal">+A316+1</f>
        <v>299</v>
      </c>
      <c r="B317" s="159" t="n">
        <f aca="false" ca="false" dt2D="false" dtr="false" t="normal">+B316+1</f>
        <v>111</v>
      </c>
      <c r="C317" s="6" t="s">
        <v>177</v>
      </c>
      <c r="D317" s="6" t="s">
        <v>593</v>
      </c>
      <c r="E317" s="139" t="n">
        <v>1984</v>
      </c>
      <c r="F317" s="139" t="n">
        <v>2013</v>
      </c>
      <c r="G317" s="139" t="s">
        <v>4</v>
      </c>
      <c r="H317" s="139" t="n">
        <v>5</v>
      </c>
      <c r="I317" s="139" t="n">
        <v>6</v>
      </c>
      <c r="J317" s="17" t="n">
        <v>7065.3</v>
      </c>
      <c r="K317" s="17" t="n">
        <v>6214.8</v>
      </c>
      <c r="L317" s="17" t="n">
        <v>0</v>
      </c>
      <c r="M317" s="140" t="n">
        <v>231</v>
      </c>
      <c r="N317" s="16" t="n">
        <f aca="false" ca="false" dt2D="false" dtr="false" t="normal">SUM(P317:T317)</f>
        <v>41231126.86</v>
      </c>
      <c r="O317" s="18" t="n"/>
      <c r="P317" s="18" t="n">
        <v>10971366.01</v>
      </c>
      <c r="Q317" s="18" t="n"/>
      <c r="R317" s="18" t="n">
        <v>4107609.7</v>
      </c>
      <c r="S317" s="18" t="n">
        <v>26152151.15</v>
      </c>
      <c r="T317" s="18" t="n"/>
      <c r="U317" s="18" t="n">
        <v>8369.80409065686</v>
      </c>
      <c r="V317" s="18" t="n">
        <v>1340.283020064</v>
      </c>
      <c r="W317" s="212" t="n">
        <v>2023</v>
      </c>
      <c r="X317" s="103" t="n">
        <v>3442004.62</v>
      </c>
      <c r="Y317" s="3" t="n">
        <f aca="false" ca="false" dt2D="false" dtr="false" t="normal">+(K317*10.5+L317*21)*12*0.85</f>
        <v>665605.0800000001</v>
      </c>
      <c r="Z317" s="3" t="n">
        <f aca="false" ca="false" dt2D="false" dtr="false" t="normal">+(K317*10.5+L317*21)*12*30</f>
        <v>23491944</v>
      </c>
      <c r="AB317" s="158" t="n">
        <f aca="false" ca="true" dt2D="false" dtr="false" t="normal">SUBTOTAL(9, AC317:AQ317)</f>
        <v>41231126.86</v>
      </c>
      <c r="AC317" s="18" t="n">
        <v>10074980.95</v>
      </c>
      <c r="AD317" s="18" t="n">
        <v>4483956.54</v>
      </c>
      <c r="AE317" s="18" t="n">
        <v>3411282.04</v>
      </c>
      <c r="AF317" s="18" t="n">
        <v>5243801.69</v>
      </c>
      <c r="AG317" s="18" t="n"/>
      <c r="AH317" s="18" t="n"/>
      <c r="AI317" s="18" t="n"/>
      <c r="AJ317" s="18" t="n">
        <v>0</v>
      </c>
      <c r="AK317" s="18" t="n">
        <v>9153591.7</v>
      </c>
      <c r="AL317" s="18" t="n">
        <v>0</v>
      </c>
      <c r="AM317" s="18" t="n"/>
      <c r="AN317" s="18" t="n">
        <v>8863513.94</v>
      </c>
      <c r="AO317" s="18" t="n"/>
      <c r="AP317" s="18" t="n"/>
      <c r="AQ317" s="24" t="n"/>
      <c r="AR317" s="3" t="n">
        <f aca="false" ca="false" dt2D="false" dtr="false" t="normal">N317-AB317</f>
        <v>0</v>
      </c>
    </row>
    <row outlineLevel="0" r="318">
      <c r="A318" s="5" t="n">
        <f aca="false" ca="false" dt2D="false" dtr="false" t="normal">+A317+1</f>
        <v>300</v>
      </c>
      <c r="B318" s="159" t="n">
        <f aca="false" ca="false" dt2D="false" dtr="false" t="normal">+B317+1</f>
        <v>112</v>
      </c>
      <c r="C318" s="138" t="s">
        <v>177</v>
      </c>
      <c r="D318" s="138" t="s">
        <v>324</v>
      </c>
      <c r="E318" s="139" t="n">
        <v>1977</v>
      </c>
      <c r="F318" s="139" t="n">
        <v>2013</v>
      </c>
      <c r="G318" s="139" t="s">
        <v>4</v>
      </c>
      <c r="H318" s="139" t="n">
        <v>9</v>
      </c>
      <c r="I318" s="139" t="n">
        <v>1</v>
      </c>
      <c r="J318" s="17" t="n">
        <v>2365.99</v>
      </c>
      <c r="K318" s="17" t="n">
        <v>1903.5</v>
      </c>
      <c r="L318" s="17" t="n">
        <v>136</v>
      </c>
      <c r="M318" s="140" t="n">
        <v>70</v>
      </c>
      <c r="N318" s="16" t="n">
        <f aca="false" ca="false" dt2D="false" dtr="false" t="normal">SUM(P318:T318)</f>
        <v>2721466.55</v>
      </c>
      <c r="O318" s="17" t="n"/>
      <c r="P318" s="18" t="n">
        <v>1617078.18</v>
      </c>
      <c r="Q318" s="18" t="n"/>
      <c r="R318" s="18" t="n"/>
      <c r="S318" s="18" t="n">
        <v>1104388.37</v>
      </c>
      <c r="T318" s="17" t="n"/>
      <c r="U318" s="18" t="n">
        <v>2456.01274302308</v>
      </c>
      <c r="V318" s="18" t="n">
        <v>2456.01274302308</v>
      </c>
      <c r="W318" s="212" t="n">
        <v>2023</v>
      </c>
      <c r="X318" s="3" t="n">
        <f aca="false" ca="false" dt2D="false" dtr="false" t="normal">1333569.91-680973.2372-75663.69-R128</f>
        <v>398156.4534044199</v>
      </c>
      <c r="Y318" s="3" t="n">
        <f aca="false" ca="false" dt2D="false" dtr="false" t="normal">+(K318*13.29+L318*22.52)*12*0.85</f>
        <v>289274.397</v>
      </c>
      <c r="Z318" s="3" t="n">
        <f aca="false" ca="false" dt2D="false" dtr="false" t="normal">+(K318*13.29+L318*22.52)*12*30-6485.14-39928.49-S128</f>
        <v>9841864.089395579</v>
      </c>
      <c r="AB318" s="23" t="n">
        <f aca="false" ca="true" dt2D="false" dtr="false" t="normal">SUBTOTAL(9, AC318:AQ318)</f>
        <v>2721466.55</v>
      </c>
      <c r="AC318" s="18" t="n">
        <v>2721466.55</v>
      </c>
      <c r="AD318" s="18" t="n"/>
      <c r="AE318" s="18" t="n">
        <v>0</v>
      </c>
      <c r="AF318" s="18" t="n"/>
      <c r="AG318" s="18" t="n"/>
      <c r="AH318" s="18" t="n"/>
      <c r="AI318" s="18" t="n"/>
      <c r="AJ318" s="18" t="n">
        <v>0</v>
      </c>
      <c r="AK318" s="18" t="n">
        <v>0</v>
      </c>
      <c r="AL318" s="18" t="n">
        <v>0</v>
      </c>
      <c r="AM318" s="18" t="n"/>
      <c r="AN318" s="18" t="n">
        <v>0</v>
      </c>
      <c r="AO318" s="18" t="n"/>
      <c r="AP318" s="18" t="n"/>
      <c r="AQ318" s="24" t="n"/>
      <c r="AR318" s="3" t="n">
        <f aca="false" ca="false" dt2D="false" dtr="false" t="normal">N318-AB318</f>
        <v>0</v>
      </c>
    </row>
    <row outlineLevel="0" r="319">
      <c r="A319" s="5" t="n">
        <f aca="false" ca="false" dt2D="false" dtr="false" t="normal">+A318+1</f>
        <v>301</v>
      </c>
      <c r="B319" s="159" t="n">
        <f aca="false" ca="false" dt2D="false" dtr="false" t="normal">+B318+1</f>
        <v>113</v>
      </c>
      <c r="C319" s="6" t="s">
        <v>177</v>
      </c>
      <c r="D319" s="6" t="s">
        <v>450</v>
      </c>
      <c r="E319" s="139" t="n">
        <v>1977</v>
      </c>
      <c r="F319" s="139" t="n">
        <v>2013</v>
      </c>
      <c r="G319" s="139" t="s">
        <v>4</v>
      </c>
      <c r="H319" s="139" t="n">
        <v>9</v>
      </c>
      <c r="I319" s="139" t="n">
        <v>1</v>
      </c>
      <c r="J319" s="17" t="n">
        <v>2366.89</v>
      </c>
      <c r="K319" s="17" t="n">
        <v>1904.8</v>
      </c>
      <c r="L319" s="17" t="n">
        <v>41.8</v>
      </c>
      <c r="M319" s="140" t="n">
        <v>59</v>
      </c>
      <c r="N319" s="16" t="n">
        <f aca="false" ca="false" dt2D="false" dtr="false" t="normal">SUM(P319:T319)</f>
        <v>740900.5900000001</v>
      </c>
      <c r="O319" s="18" t="n"/>
      <c r="P319" s="18" t="n">
        <v>293106.81</v>
      </c>
      <c r="Q319" s="18" t="n"/>
      <c r="R319" s="18" t="n"/>
      <c r="S319" s="18" t="n">
        <v>447793.78</v>
      </c>
      <c r="T319" s="18" t="n"/>
      <c r="U319" s="18" t="n">
        <v>3589.81078929404</v>
      </c>
      <c r="V319" s="18" t="n">
        <v>3589.81078929404</v>
      </c>
      <c r="W319" s="212" t="n">
        <v>2023</v>
      </c>
      <c r="X319" s="1" t="n">
        <f aca="false" ca="false" dt2D="false" dtr="false" t="normal">1227927.06-726007.6004</f>
        <v>501919.45960000006</v>
      </c>
      <c r="Y319" s="3" t="n">
        <f aca="false" ca="false" dt2D="false" dtr="false" t="normal">+(K319*13.29+L319*22.52)*12*0.85</f>
        <v>267812.5056</v>
      </c>
      <c r="Z319" s="3" t="n">
        <f aca="false" ca="false" dt2D="false" dtr="false" t="normal">+(K319*13.29+L319*22.52)*12*30-9115.31</f>
        <v>9443090.769999998</v>
      </c>
      <c r="AB319" s="23" t="n">
        <f aca="false" ca="true" dt2D="false" dtr="false" t="normal">SUBTOTAL(9, AC319:AQ319)</f>
        <v>740900.59</v>
      </c>
      <c r="AC319" s="18" t="n"/>
      <c r="AD319" s="18" t="n"/>
      <c r="AE319" s="18" t="n">
        <v>740900.59</v>
      </c>
      <c r="AF319" s="18" t="n"/>
      <c r="AG319" s="18" t="n"/>
      <c r="AH319" s="18" t="n"/>
      <c r="AI319" s="18" t="n"/>
      <c r="AJ319" s="18" t="n">
        <v>0</v>
      </c>
      <c r="AK319" s="18" t="n">
        <v>0</v>
      </c>
      <c r="AL319" s="18" t="n">
        <v>0</v>
      </c>
      <c r="AM319" s="18" t="n"/>
      <c r="AN319" s="18" t="n">
        <v>0</v>
      </c>
      <c r="AO319" s="18" t="n"/>
      <c r="AP319" s="18" t="n"/>
      <c r="AQ319" s="24" t="n"/>
      <c r="AR319" s="3" t="n">
        <f aca="false" ca="false" dt2D="false" dtr="false" t="normal">N319-AB319</f>
        <v>0</v>
      </c>
    </row>
    <row outlineLevel="0" r="320">
      <c r="A320" s="5" t="n">
        <f aca="false" ca="false" dt2D="false" dtr="false" t="normal">+A319+1</f>
        <v>302</v>
      </c>
      <c r="B320" s="159" t="n">
        <f aca="false" ca="false" dt2D="false" dtr="false" t="normal">+B319+1</f>
        <v>114</v>
      </c>
      <c r="C320" s="6" t="s">
        <v>177</v>
      </c>
      <c r="D320" s="6" t="s">
        <v>595</v>
      </c>
      <c r="E320" s="139" t="n">
        <v>1994</v>
      </c>
      <c r="F320" s="139" t="n">
        <v>2005</v>
      </c>
      <c r="G320" s="139" t="s">
        <v>4</v>
      </c>
      <c r="H320" s="139" t="n">
        <v>5</v>
      </c>
      <c r="I320" s="139" t="n">
        <v>2</v>
      </c>
      <c r="J320" s="17" t="n">
        <v>2052</v>
      </c>
      <c r="K320" s="17" t="n">
        <v>1876.9</v>
      </c>
      <c r="L320" s="17" t="n">
        <v>0</v>
      </c>
      <c r="M320" s="140" t="n">
        <v>80</v>
      </c>
      <c r="N320" s="16" t="n">
        <f aca="false" ca="false" dt2D="false" dtr="false" t="normal">SUM(P320:T320)</f>
        <v>9608691.68</v>
      </c>
      <c r="O320" s="18" t="n"/>
      <c r="P320" s="18" t="n">
        <v>5762795.10290151</v>
      </c>
      <c r="Q320" s="18" t="n"/>
      <c r="R320" s="18" t="n">
        <v>335067.795</v>
      </c>
      <c r="S320" s="18" t="n">
        <v>3510828.78209849</v>
      </c>
      <c r="T320" s="18" t="n"/>
      <c r="U320" s="18" t="n">
        <v>14282.4062532414</v>
      </c>
      <c r="V320" s="18" t="n">
        <v>1336.283020064</v>
      </c>
      <c r="W320" s="212" t="n">
        <v>2023</v>
      </c>
      <c r="X320" s="1" t="n">
        <v>1111921.7</v>
      </c>
      <c r="Y320" s="3" t="n">
        <f aca="false" ca="false" dt2D="false" dtr="false" t="normal">+(K320*10.5+L320*21)*12*0.85</f>
        <v>201015.99000000002</v>
      </c>
      <c r="Z320" s="3" t="n">
        <f aca="false" ca="false" dt2D="false" dtr="false" t="normal">+(K320*10.5+L320*21)*12*30</f>
        <v>7094682.000000001</v>
      </c>
      <c r="AB320" s="158" t="n">
        <f aca="false" ca="true" dt2D="false" dtr="false" t="normal">SUBTOTAL(9, AC320:AQ320)</f>
        <v>9608691.68</v>
      </c>
      <c r="AC320" s="18" t="n"/>
      <c r="AD320" s="18" t="n"/>
      <c r="AE320" s="18" t="n">
        <v>691534.88</v>
      </c>
      <c r="AF320" s="18" t="n"/>
      <c r="AG320" s="18" t="n"/>
      <c r="AH320" s="18" t="n"/>
      <c r="AI320" s="18" t="n"/>
      <c r="AJ320" s="18" t="n">
        <v>0</v>
      </c>
      <c r="AK320" s="18" t="n">
        <v>4297021.2</v>
      </c>
      <c r="AL320" s="18" t="n">
        <v>0</v>
      </c>
      <c r="AM320" s="18" t="n">
        <v>4620135.6</v>
      </c>
      <c r="AN320" s="18" t="n"/>
      <c r="AO320" s="18" t="n"/>
      <c r="AP320" s="18" t="n"/>
      <c r="AQ320" s="24" t="n"/>
      <c r="AR320" s="3" t="n">
        <f aca="false" ca="false" dt2D="false" dtr="false" t="normal">N320-AB320</f>
        <v>0</v>
      </c>
    </row>
    <row outlineLevel="0" r="321">
      <c r="A321" s="5" t="n">
        <f aca="false" ca="false" dt2D="false" dtr="false" t="normal">+A320+1</f>
        <v>303</v>
      </c>
      <c r="B321" s="159" t="n">
        <f aca="false" ca="false" dt2D="false" dtr="false" t="normal">+B320+1</f>
        <v>115</v>
      </c>
      <c r="C321" s="138" t="s">
        <v>177</v>
      </c>
      <c r="D321" s="138" t="s">
        <v>597</v>
      </c>
      <c r="E321" s="139" t="n">
        <v>1978</v>
      </c>
      <c r="F321" s="139" t="n">
        <v>2013</v>
      </c>
      <c r="G321" s="139" t="s">
        <v>4</v>
      </c>
      <c r="H321" s="139" t="n">
        <v>4</v>
      </c>
      <c r="I321" s="139" t="n">
        <v>4</v>
      </c>
      <c r="J321" s="17" t="n">
        <v>3933.3</v>
      </c>
      <c r="K321" s="17" t="n">
        <v>3440.6</v>
      </c>
      <c r="L321" s="17" t="n">
        <v>0</v>
      </c>
      <c r="M321" s="140" t="n">
        <v>158</v>
      </c>
      <c r="N321" s="16" t="n">
        <f aca="false" ca="false" dt2D="false" dtr="false" t="normal">SUM(P321:T321)</f>
        <v>9943011.63</v>
      </c>
      <c r="O321" s="17" t="n"/>
      <c r="P321" s="18" t="n"/>
      <c r="Q321" s="18" t="n"/>
      <c r="R321" s="18" t="n">
        <v>1030658.64</v>
      </c>
      <c r="S321" s="18" t="n">
        <v>8912352.99</v>
      </c>
      <c r="T321" s="18" t="n"/>
      <c r="U321" s="18" t="n">
        <v>1627.66087602203</v>
      </c>
      <c r="V321" s="18" t="n">
        <v>1338.283020064</v>
      </c>
      <c r="W321" s="212" t="n">
        <v>2023</v>
      </c>
      <c r="X321" s="1" t="n">
        <f aca="false" ca="false" dt2D="false" dtr="false" t="normal">2137015.38-102526.12</f>
        <v>2034489.2599999998</v>
      </c>
      <c r="Y321" s="3" t="n">
        <f aca="false" ca="false" dt2D="false" dtr="false" t="normal">+(K321*10.5+L321*21)*12*0.85</f>
        <v>368488.25999999995</v>
      </c>
      <c r="Z321" s="3" t="n">
        <f aca="false" ca="false" dt2D="false" dtr="false" t="normal">+(K321*10.5+L321*21)*12*30</f>
        <v>13005468</v>
      </c>
      <c r="AB321" s="158" t="n">
        <f aca="false" ca="true" dt2D="false" dtr="false" t="normal">SUBTOTAL(9, AC321:AQ321)</f>
        <v>9943011.63</v>
      </c>
      <c r="AC321" s="18" t="n">
        <v>5602096.16</v>
      </c>
      <c r="AD321" s="18" t="n"/>
      <c r="AE321" s="18" t="n">
        <v>2119328.04</v>
      </c>
      <c r="AF321" s="18" t="n">
        <v>2021455.51</v>
      </c>
      <c r="AG321" s="18" t="n"/>
      <c r="AH321" s="18" t="n"/>
      <c r="AI321" s="18" t="n"/>
      <c r="AJ321" s="18" t="n">
        <v>0</v>
      </c>
      <c r="AK321" s="18" t="n">
        <v>0</v>
      </c>
      <c r="AL321" s="18" t="n">
        <v>0</v>
      </c>
      <c r="AM321" s="18" t="n">
        <v>0</v>
      </c>
      <c r="AN321" s="18" t="n">
        <v>0</v>
      </c>
      <c r="AO321" s="18" t="n">
        <v>75973.29</v>
      </c>
      <c r="AP321" s="18" t="n">
        <v>18000</v>
      </c>
      <c r="AQ321" s="156" t="n">
        <f aca="false" ca="false" dt2D="false" dtr="false" t="normal">57091.46+25343.66+23723.51</f>
        <v>106158.62999999999</v>
      </c>
      <c r="AR321" s="3" t="n">
        <f aca="false" ca="false" dt2D="false" dtr="false" t="normal">N321-AB321</f>
        <v>0</v>
      </c>
    </row>
    <row outlineLevel="0" r="322">
      <c r="A322" s="244" t="n">
        <f aca="false" ca="false" dt2D="false" dtr="false" t="normal">+A321+1</f>
        <v>304</v>
      </c>
      <c r="B322" s="244" t="n">
        <f aca="false" ca="false" dt2D="false" dtr="false" t="normal">+B321+1</f>
        <v>116</v>
      </c>
      <c r="C322" s="245" t="s">
        <v>0</v>
      </c>
      <c r="D322" s="245" t="s">
        <v>599</v>
      </c>
      <c r="E322" s="9" t="s">
        <v>400</v>
      </c>
      <c r="F322" s="9" t="n"/>
      <c r="G322" s="9" t="s">
        <v>4</v>
      </c>
      <c r="H322" s="9" t="s">
        <v>5</v>
      </c>
      <c r="I322" s="9" t="s">
        <v>5</v>
      </c>
      <c r="J322" s="7" t="n">
        <v>799.54</v>
      </c>
      <c r="K322" s="7" t="n">
        <v>733.52</v>
      </c>
      <c r="L322" s="7" t="n">
        <v>0</v>
      </c>
      <c r="M322" s="7" t="n">
        <v>29</v>
      </c>
      <c r="N322" s="16" t="n">
        <f aca="false" ca="false" dt2D="false" dtr="false" t="normal">SUM(P322:T322)</f>
        <v>4371808.87</v>
      </c>
      <c r="O322" s="245" t="n"/>
      <c r="P322" s="100" t="n">
        <v>1006518.21</v>
      </c>
      <c r="Q322" s="18" t="n">
        <v>507855.56</v>
      </c>
      <c r="R322" s="18" t="n">
        <v>461470.002</v>
      </c>
      <c r="S322" s="18" t="n">
        <v>2395965.098</v>
      </c>
      <c r="T322" s="18" t="n"/>
      <c r="U322" s="18" t="n">
        <v>8420.69037638175</v>
      </c>
      <c r="V322" s="18" t="n">
        <v>8420.69037638175</v>
      </c>
      <c r="W322" s="212" t="n">
        <v>2023</v>
      </c>
      <c r="X322" s="1" t="n">
        <v>382910.01</v>
      </c>
      <c r="Y322" s="3" t="n">
        <v>78559.992</v>
      </c>
      <c r="Z322" s="3" t="n">
        <v>2772705.6</v>
      </c>
      <c r="AB322" s="23" t="n">
        <f aca="false" ca="false" dt2D="false" dtr="false" t="normal">SUM(AC322:AQ322)</f>
        <v>4371808.87</v>
      </c>
      <c r="AC322" s="6" t="n"/>
      <c r="AD322" s="18" t="n"/>
      <c r="AE322" s="18" t="n"/>
      <c r="AF322" s="18" t="n"/>
      <c r="AG322" s="18" t="n"/>
      <c r="AH322" s="18" t="n"/>
      <c r="AI322" s="18" t="n"/>
      <c r="AJ322" s="18" t="n"/>
      <c r="AK322" s="18" t="n"/>
      <c r="AL322" s="18" t="n"/>
      <c r="AM322" s="18" t="n">
        <v>4363808.87</v>
      </c>
      <c r="AN322" s="18" t="n"/>
      <c r="AO322" s="18" t="n"/>
      <c r="AP322" s="18" t="n">
        <v>8000</v>
      </c>
      <c r="AQ322" s="24" t="n"/>
      <c r="AR322" s="3" t="n">
        <f aca="false" ca="false" dt2D="false" dtr="false" t="normal">N322-AB322</f>
        <v>0</v>
      </c>
    </row>
    <row outlineLevel="0" r="323">
      <c r="A323" s="244" t="n">
        <f aca="false" ca="false" dt2D="false" dtr="false" t="normal">+A322+1</f>
        <v>305</v>
      </c>
      <c r="B323" s="244" t="n">
        <f aca="false" ca="false" dt2D="false" dtr="false" t="normal">+B322+1</f>
        <v>117</v>
      </c>
      <c r="C323" s="245" t="s">
        <v>0</v>
      </c>
      <c r="D323" s="245" t="s">
        <v>600</v>
      </c>
      <c r="E323" s="9" t="s">
        <v>400</v>
      </c>
      <c r="F323" s="9" t="n"/>
      <c r="G323" s="9" t="s">
        <v>4</v>
      </c>
      <c r="H323" s="9" t="s">
        <v>5</v>
      </c>
      <c r="I323" s="9" t="s">
        <v>5</v>
      </c>
      <c r="J323" s="7" t="n">
        <v>715.4</v>
      </c>
      <c r="K323" s="7" t="n">
        <v>684.9</v>
      </c>
      <c r="L323" s="7" t="n">
        <v>0</v>
      </c>
      <c r="M323" s="7" t="n">
        <v>38</v>
      </c>
      <c r="N323" s="16" t="n">
        <f aca="false" ca="false" dt2D="false" dtr="false" t="normal">SUM(P323:T323)</f>
        <v>4868835.68</v>
      </c>
      <c r="O323" s="245" t="n"/>
      <c r="P323" s="100" t="n">
        <v>1477681.91</v>
      </c>
      <c r="Q323" s="18" t="n">
        <v>507855.56</v>
      </c>
      <c r="R323" s="18" t="n">
        <v>417637.24</v>
      </c>
      <c r="S323" s="18" t="n">
        <v>2465660.97</v>
      </c>
      <c r="T323" s="18" t="n"/>
      <c r="U323" s="18" t="n">
        <v>8421.46459893022</v>
      </c>
      <c r="V323" s="18" t="n">
        <v>8421.46459893022</v>
      </c>
      <c r="W323" s="212" t="n">
        <v>2023</v>
      </c>
      <c r="X323" s="1" t="n">
        <v>344284.45</v>
      </c>
      <c r="Y323" s="3" t="n">
        <v>73352.79</v>
      </c>
      <c r="Z323" s="3" t="n">
        <v>2588922</v>
      </c>
      <c r="AB323" s="23" t="n">
        <f aca="false" ca="false" dt2D="false" dtr="false" t="normal">SUM(AC323:AQ323)</f>
        <v>4868835.68</v>
      </c>
      <c r="AC323" s="6" t="n"/>
      <c r="AD323" s="18" t="n"/>
      <c r="AE323" s="18" t="n"/>
      <c r="AF323" s="18" t="n"/>
      <c r="AG323" s="18" t="n"/>
      <c r="AH323" s="18" t="n"/>
      <c r="AI323" s="18" t="n"/>
      <c r="AJ323" s="18" t="n"/>
      <c r="AK323" s="18" t="n"/>
      <c r="AL323" s="18" t="n"/>
      <c r="AM323" s="18" t="n">
        <v>4860835.68</v>
      </c>
      <c r="AN323" s="18" t="n"/>
      <c r="AO323" s="18" t="n"/>
      <c r="AP323" s="18" t="n">
        <v>8000</v>
      </c>
      <c r="AQ323" s="24" t="n"/>
      <c r="AR323" s="3" t="n">
        <f aca="false" ca="false" dt2D="false" dtr="false" t="normal">N323-AB323</f>
        <v>0</v>
      </c>
    </row>
    <row outlineLevel="0" r="324">
      <c r="A324" s="244" t="n">
        <f aca="false" ca="false" dt2D="false" dtr="false" t="normal">+A323+1</f>
        <v>306</v>
      </c>
      <c r="B324" s="244" t="n">
        <f aca="false" ca="false" dt2D="false" dtr="false" t="normal">+B323+1</f>
        <v>118</v>
      </c>
      <c r="C324" s="245" t="s">
        <v>0</v>
      </c>
      <c r="D324" s="245" t="s">
        <v>601</v>
      </c>
      <c r="E324" s="9" t="s">
        <v>383</v>
      </c>
      <c r="F324" s="9" t="n"/>
      <c r="G324" s="9" t="s">
        <v>4</v>
      </c>
      <c r="H324" s="9" t="s">
        <v>5</v>
      </c>
      <c r="I324" s="9" t="s">
        <v>5</v>
      </c>
      <c r="J324" s="7" t="n">
        <v>670.37</v>
      </c>
      <c r="K324" s="7" t="n">
        <v>618.66</v>
      </c>
      <c r="L324" s="7" t="n">
        <v>0</v>
      </c>
      <c r="M324" s="7" t="n">
        <v>30</v>
      </c>
      <c r="N324" s="16" t="n">
        <f aca="false" ca="false" dt2D="false" dtr="false" t="normal">SUM(P324:T324)</f>
        <v>4279157.95</v>
      </c>
      <c r="O324" s="245" t="n"/>
      <c r="P324" s="100" t="n">
        <v>1139775.23</v>
      </c>
      <c r="Q324" s="18" t="n">
        <v>507855.52</v>
      </c>
      <c r="R324" s="18" t="n">
        <v>407532.256</v>
      </c>
      <c r="S324" s="18" t="n">
        <v>2223994.944</v>
      </c>
      <c r="T324" s="18" t="n"/>
      <c r="U324" s="18" t="n">
        <v>8422.71523545281</v>
      </c>
      <c r="V324" s="18" t="n">
        <v>8422.71523545281</v>
      </c>
      <c r="W324" s="212" t="n">
        <v>2023</v>
      </c>
      <c r="X324" s="1" t="n">
        <v>341273.77</v>
      </c>
      <c r="Y324" s="3" t="n">
        <v>66258.486</v>
      </c>
      <c r="Z324" s="3" t="n">
        <v>2338534.8</v>
      </c>
      <c r="AB324" s="23" t="n">
        <f aca="false" ca="false" dt2D="false" dtr="false" t="normal">SUM(AC324:AQ324)</f>
        <v>4279157.95</v>
      </c>
      <c r="AC324" s="6" t="n"/>
      <c r="AD324" s="18" t="n"/>
      <c r="AE324" s="18" t="n"/>
      <c r="AF324" s="18" t="n"/>
      <c r="AG324" s="18" t="n"/>
      <c r="AH324" s="18" t="n"/>
      <c r="AI324" s="18" t="n"/>
      <c r="AJ324" s="18" t="n"/>
      <c r="AK324" s="18" t="n"/>
      <c r="AL324" s="18" t="n"/>
      <c r="AM324" s="18" t="n">
        <v>4274357.95</v>
      </c>
      <c r="AN324" s="18" t="n"/>
      <c r="AO324" s="18" t="n"/>
      <c r="AP324" s="18" t="n">
        <v>4800</v>
      </c>
      <c r="AQ324" s="24" t="n"/>
      <c r="AR324" s="3" t="n">
        <f aca="false" ca="false" dt2D="false" dtr="false" t="normal">N324-AB324</f>
        <v>0</v>
      </c>
    </row>
    <row outlineLevel="0" r="325">
      <c r="A325" s="244" t="n">
        <f aca="false" ca="false" dt2D="false" dtr="false" t="normal">+A324+1</f>
        <v>307</v>
      </c>
      <c r="B325" s="244" t="n">
        <f aca="false" ca="false" dt2D="false" dtr="false" t="normal">+B324+1</f>
        <v>119</v>
      </c>
      <c r="C325" s="245" t="s">
        <v>42</v>
      </c>
      <c r="D325" s="245" t="s">
        <v>602</v>
      </c>
      <c r="E325" s="9" t="n">
        <v>1975</v>
      </c>
      <c r="F325" s="9" t="n">
        <v>1975</v>
      </c>
      <c r="G325" s="9" t="s">
        <v>4</v>
      </c>
      <c r="H325" s="9" t="n">
        <v>2</v>
      </c>
      <c r="I325" s="9" t="n">
        <v>2</v>
      </c>
      <c r="J325" s="88" t="n">
        <v>785.47</v>
      </c>
      <c r="K325" s="88" t="n">
        <v>729.06</v>
      </c>
      <c r="L325" s="88" t="n">
        <v>0</v>
      </c>
      <c r="M325" s="95" t="n">
        <v>32</v>
      </c>
      <c r="N325" s="16" t="n">
        <f aca="false" ca="false" dt2D="false" dtr="false" t="normal">SUM(P325:T325)</f>
        <v>3709381.200000001</v>
      </c>
      <c r="O325" s="100" t="n"/>
      <c r="P325" s="100" t="n">
        <v>771438.084166001</v>
      </c>
      <c r="Q325" s="18" t="n"/>
      <c r="R325" s="18" t="n">
        <v>436046.95</v>
      </c>
      <c r="S325" s="18" t="n">
        <v>2501896.165834</v>
      </c>
      <c r="T325" s="18" t="n"/>
      <c r="U325" s="18" t="n">
        <v>7950.36419499081</v>
      </c>
      <c r="V325" s="18" t="n">
        <v>1356.283020064</v>
      </c>
      <c r="W325" s="212" t="n">
        <v>2023</v>
      </c>
      <c r="X325" s="103" t="n">
        <v>361682.83</v>
      </c>
      <c r="Y325" s="3" t="n">
        <f aca="false" ca="false" dt2D="false" dtr="false" t="normal">+(K325*10+L325*20)*12*0.85</f>
        <v>74364.12</v>
      </c>
      <c r="Z325" s="3" t="n">
        <f aca="false" ca="false" dt2D="false" dtr="false" t="normal">+(K325*10+L325*20)*12*30</f>
        <v>2624616</v>
      </c>
      <c r="AB325" s="23" t="n">
        <f aca="false" ca="true" dt2D="false" dtr="false" t="normal">SUBTOTAL(9, AC325:AQ325)</f>
        <v>3709381.2</v>
      </c>
      <c r="AC325" s="18" t="n">
        <v>0</v>
      </c>
      <c r="AD325" s="18" t="n">
        <v>0</v>
      </c>
      <c r="AE325" s="18" t="n">
        <v>0</v>
      </c>
      <c r="AF325" s="18" t="n">
        <v>0</v>
      </c>
      <c r="AG325" s="18" t="n">
        <v>0</v>
      </c>
      <c r="AH325" s="18" t="n"/>
      <c r="AI325" s="18" t="n"/>
      <c r="AJ325" s="18" t="n">
        <v>0</v>
      </c>
      <c r="AK325" s="18" t="n">
        <v>0</v>
      </c>
      <c r="AL325" s="18" t="n">
        <v>0</v>
      </c>
      <c r="AM325" s="18" t="n">
        <v>3647660.37</v>
      </c>
      <c r="AN325" s="18" t="n">
        <v>0</v>
      </c>
      <c r="AO325" s="18" t="n">
        <v>37720.83</v>
      </c>
      <c r="AP325" s="18" t="n">
        <v>24000</v>
      </c>
      <c r="AQ325" s="24" t="n"/>
      <c r="AR325" s="3" t="n">
        <f aca="false" ca="false" dt2D="false" dtr="false" t="normal">N325-AB325</f>
        <v>0</v>
      </c>
    </row>
    <row outlineLevel="0" r="326">
      <c r="A326" s="244" t="n">
        <f aca="false" ca="false" dt2D="false" dtr="false" t="normal">+A325+1</f>
        <v>308</v>
      </c>
      <c r="B326" s="244" t="n">
        <f aca="false" ca="false" dt2D="false" dtr="false" t="normal">+B325+1</f>
        <v>120</v>
      </c>
      <c r="C326" s="245" t="s">
        <v>68</v>
      </c>
      <c r="D326" s="245" t="s">
        <v>604</v>
      </c>
      <c r="E326" s="9" t="n">
        <v>1989</v>
      </c>
      <c r="F326" s="9" t="n">
        <v>1989</v>
      </c>
      <c r="G326" s="9" t="s">
        <v>4</v>
      </c>
      <c r="H326" s="139" t="n">
        <v>2</v>
      </c>
      <c r="I326" s="139" t="n">
        <v>2</v>
      </c>
      <c r="J326" s="17" t="n">
        <v>915</v>
      </c>
      <c r="K326" s="17" t="n">
        <v>892.81</v>
      </c>
      <c r="L326" s="17" t="n">
        <v>0</v>
      </c>
      <c r="M326" s="140" t="n">
        <v>32</v>
      </c>
      <c r="N326" s="16" t="n">
        <f aca="false" ca="false" dt2D="false" dtr="false" t="normal">SUM(P326:T326)</f>
        <v>8466256.14</v>
      </c>
      <c r="O326" s="18" t="n"/>
      <c r="P326" s="17" t="n">
        <v>2483086.28</v>
      </c>
      <c r="Q326" s="18" t="n"/>
      <c r="R326" s="18" t="n">
        <v>482392.32</v>
      </c>
      <c r="S326" s="18" t="n">
        <v>3439921.51816</v>
      </c>
      <c r="T326" s="18" t="n">
        <v>2060856.02184</v>
      </c>
      <c r="U326" s="18" t="n">
        <v>8999.60448265588</v>
      </c>
      <c r="V326" s="18" t="n">
        <v>8999.60448265588</v>
      </c>
      <c r="W326" s="212" t="n">
        <v>2023</v>
      </c>
      <c r="X326" s="1" t="n">
        <v>367325.7</v>
      </c>
      <c r="Y326" s="3" t="n">
        <f aca="false" ca="false" dt2D="false" dtr="false" t="normal">+(K326*10+L326*20)*12*0.85</f>
        <v>91066.61999999998</v>
      </c>
      <c r="Z326" s="3" t="n">
        <f aca="false" ca="false" dt2D="false" dtr="false" t="normal">+(K326*10+L326*20)*12*30</f>
        <v>3214115.9999999995</v>
      </c>
      <c r="AB326" s="23" t="n">
        <f aca="false" ca="true" dt2D="false" dtr="false" t="normal">SUBTOTAL(9, AC326:AQ326)</f>
        <v>8466256.14</v>
      </c>
      <c r="AC326" s="18" t="n">
        <v>0</v>
      </c>
      <c r="AD326" s="18" t="n">
        <v>0</v>
      </c>
      <c r="AE326" s="18" t="n">
        <v>0</v>
      </c>
      <c r="AF326" s="18" t="n">
        <v>0</v>
      </c>
      <c r="AG326" s="18" t="n">
        <v>0</v>
      </c>
      <c r="AH326" s="18" t="n"/>
      <c r="AI326" s="18" t="n"/>
      <c r="AJ326" s="18" t="n">
        <v>0</v>
      </c>
      <c r="AK326" s="18" t="n">
        <v>8397877.99</v>
      </c>
      <c r="AL326" s="18" t="n">
        <v>0</v>
      </c>
      <c r="AM326" s="18" t="n">
        <v>0</v>
      </c>
      <c r="AN326" s="18" t="n">
        <v>0</v>
      </c>
      <c r="AO326" s="18" t="n">
        <v>44378.15</v>
      </c>
      <c r="AP326" s="18" t="n">
        <v>24000</v>
      </c>
      <c r="AQ326" s="24" t="n"/>
      <c r="AR326" s="3" t="n">
        <f aca="false" ca="false" dt2D="false" dtr="false" t="normal">N326-AB326</f>
        <v>0</v>
      </c>
    </row>
    <row outlineLevel="0" r="327">
      <c r="A327" s="244" t="n">
        <f aca="false" ca="false" dt2D="false" dtr="false" t="normal">+A326+1</f>
        <v>309</v>
      </c>
      <c r="B327" s="244" t="n">
        <f aca="false" ca="false" dt2D="false" dtr="false" t="normal">+B326+1</f>
        <v>121</v>
      </c>
      <c r="C327" s="245" t="s">
        <v>68</v>
      </c>
      <c r="D327" s="245" t="s">
        <v>606</v>
      </c>
      <c r="E327" s="9" t="n">
        <v>1989</v>
      </c>
      <c r="F327" s="9" t="n">
        <v>1989</v>
      </c>
      <c r="G327" s="9" t="s">
        <v>4</v>
      </c>
      <c r="H327" s="139" t="n">
        <v>3</v>
      </c>
      <c r="I327" s="139" t="n">
        <v>2</v>
      </c>
      <c r="J327" s="17" t="n">
        <v>1225.2</v>
      </c>
      <c r="K327" s="17" t="n">
        <v>861.78</v>
      </c>
      <c r="L327" s="17" t="n">
        <v>363.42</v>
      </c>
      <c r="M327" s="140" t="n">
        <v>38</v>
      </c>
      <c r="N327" s="16" t="n">
        <f aca="false" ca="false" dt2D="false" dtr="false" t="normal">SUM(P327:T327)</f>
        <v>5347241.109999999</v>
      </c>
      <c r="O327" s="18" t="n"/>
      <c r="P327" s="18" t="n">
        <v>1136928.29</v>
      </c>
      <c r="Q327" s="18" t="n"/>
      <c r="R327" s="18" t="n">
        <v>496995.11</v>
      </c>
      <c r="S327" s="18" t="n">
        <v>3713317.71</v>
      </c>
      <c r="T327" s="18" t="n"/>
      <c r="U327" s="18" t="n">
        <v>4507.82227967679</v>
      </c>
      <c r="V327" s="18" t="n">
        <v>4507.82227967679</v>
      </c>
      <c r="W327" s="212" t="n">
        <v>2023</v>
      </c>
      <c r="X327" s="1" t="n">
        <v>334955.87</v>
      </c>
      <c r="Y327" s="3" t="n">
        <f aca="false" ca="false" dt2D="false" dtr="false" t="normal">+(K327*10+L327*20)*12*0.85</f>
        <v>162039.24000000002</v>
      </c>
      <c r="Z327" s="3" t="n">
        <f aca="false" ca="false" dt2D="false" dtr="false" t="normal">+(K327*10+L327*20)*12*30</f>
        <v>5719032.000000001</v>
      </c>
      <c r="AB327" s="23" t="n">
        <f aca="false" ca="true" dt2D="false" dtr="false" t="normal">SUBTOTAL(9, AC327:AQ327)</f>
        <v>5347241.11</v>
      </c>
      <c r="AC327" s="18" t="n">
        <v>0</v>
      </c>
      <c r="AD327" s="18" t="n">
        <v>0</v>
      </c>
      <c r="AE327" s="18" t="n">
        <v>0</v>
      </c>
      <c r="AF327" s="18" t="n">
        <v>0</v>
      </c>
      <c r="AG327" s="18" t="n">
        <v>0</v>
      </c>
      <c r="AH327" s="18" t="n"/>
      <c r="AI327" s="18" t="n"/>
      <c r="AJ327" s="18" t="n">
        <v>0</v>
      </c>
      <c r="AK327" s="18" t="n">
        <v>5277865.75</v>
      </c>
      <c r="AL327" s="18" t="n">
        <v>0</v>
      </c>
      <c r="AM327" s="18" t="n">
        <v>0</v>
      </c>
      <c r="AN327" s="18" t="n">
        <v>0</v>
      </c>
      <c r="AO327" s="18" t="n">
        <v>45375.36</v>
      </c>
      <c r="AP327" s="18" t="n">
        <v>24000</v>
      </c>
      <c r="AQ327" s="24" t="n"/>
      <c r="AR327" s="3" t="n">
        <f aca="false" ca="false" dt2D="false" dtr="false" t="normal">N327-AB327</f>
        <v>0</v>
      </c>
    </row>
    <row outlineLevel="0" r="328">
      <c r="A328" s="244" t="n">
        <f aca="false" ca="false" dt2D="false" dtr="false" t="normal">+A327+1</f>
        <v>310</v>
      </c>
      <c r="B328" s="244" t="n">
        <f aca="false" ca="false" dt2D="false" dtr="false" t="normal">+B327+1</f>
        <v>122</v>
      </c>
      <c r="C328" s="7" t="s">
        <v>68</v>
      </c>
      <c r="D328" s="7" t="s">
        <v>77</v>
      </c>
      <c r="E328" s="9" t="n">
        <v>1976</v>
      </c>
      <c r="F328" s="9" t="n">
        <v>2008</v>
      </c>
      <c r="G328" s="9" t="s">
        <v>4</v>
      </c>
      <c r="H328" s="139" t="n">
        <v>4</v>
      </c>
      <c r="I328" s="139" t="n">
        <v>4</v>
      </c>
      <c r="J328" s="17" t="n">
        <v>4257.32</v>
      </c>
      <c r="K328" s="17" t="n">
        <v>3128.38</v>
      </c>
      <c r="L328" s="17" t="n">
        <v>991.08</v>
      </c>
      <c r="M328" s="140" t="n">
        <v>124</v>
      </c>
      <c r="N328" s="16" t="n">
        <f aca="false" ca="false" dt2D="false" dtr="false" t="normal">SUM(P328:T328)</f>
        <v>2289454.43</v>
      </c>
      <c r="O328" s="17" t="n"/>
      <c r="P328" s="18" t="n"/>
      <c r="Q328" s="18" t="n"/>
      <c r="R328" s="18" t="n">
        <v>0</v>
      </c>
      <c r="S328" s="18" t="n">
        <v>2289454.43</v>
      </c>
      <c r="T328" s="18" t="n"/>
      <c r="U328" s="17" t="n">
        <v>1050.5361310074</v>
      </c>
      <c r="V328" s="17" t="n">
        <v>1050.5361310074</v>
      </c>
      <c r="W328" s="212" t="n">
        <v>2023</v>
      </c>
      <c r="X328" s="12" t="n">
        <f aca="false" ca="false" dt2D="false" dtr="false" t="normal">1377282.4-565094.81-R140</f>
        <v>-521275.0800000001</v>
      </c>
      <c r="Y328" s="3" t="n">
        <f aca="false" ca="false" dt2D="false" dtr="false" t="normal">+(K328*10+L328*20)*12*0.85</f>
        <v>521275.08</v>
      </c>
      <c r="Z328" s="3" t="n">
        <f aca="false" ca="false" dt2D="false" dtr="false" t="normal">+(K328*10+L328*20)*12*30-180969.62-S140</f>
        <v>14316986.094099998</v>
      </c>
      <c r="AB328" s="23" t="n">
        <f aca="false" ca="true" dt2D="false" dtr="false" t="normal">SUBTOTAL(9, AC328:AQ328)</f>
        <v>2289454.43</v>
      </c>
      <c r="AC328" s="18" t="n"/>
      <c r="AD328" s="18" t="n"/>
      <c r="AE328" s="18" t="n">
        <v>0</v>
      </c>
      <c r="AF328" s="18" t="n"/>
      <c r="AG328" s="18" t="n"/>
      <c r="AH328" s="18" t="n"/>
      <c r="AI328" s="18" t="n"/>
      <c r="AJ328" s="18" t="n">
        <v>0</v>
      </c>
      <c r="AK328" s="18" t="n">
        <v>0</v>
      </c>
      <c r="AL328" s="18" t="n">
        <v>2289454.43</v>
      </c>
      <c r="AM328" s="18" t="n">
        <v>0</v>
      </c>
      <c r="AN328" s="18" t="n"/>
      <c r="AO328" s="18" t="n"/>
      <c r="AP328" s="18" t="n"/>
      <c r="AQ328" s="24" t="n"/>
      <c r="AR328" s="3" t="n">
        <f aca="false" ca="false" dt2D="false" dtr="false" t="normal">N328-AB328</f>
        <v>0</v>
      </c>
    </row>
    <row outlineLevel="0" r="329">
      <c r="A329" s="244" t="n">
        <f aca="false" ca="false" dt2D="false" dtr="false" t="normal">+A328+1</f>
        <v>311</v>
      </c>
      <c r="B329" s="244" t="n">
        <f aca="false" ca="false" dt2D="false" dtr="false" t="normal">+B328+1</f>
        <v>123</v>
      </c>
      <c r="C329" s="245" t="s">
        <v>68</v>
      </c>
      <c r="D329" s="245" t="s">
        <v>78</v>
      </c>
      <c r="E329" s="9" t="n">
        <v>1975</v>
      </c>
      <c r="F329" s="9" t="n">
        <v>2008</v>
      </c>
      <c r="G329" s="9" t="s">
        <v>4</v>
      </c>
      <c r="H329" s="139" t="n">
        <v>4</v>
      </c>
      <c r="I329" s="139" t="n">
        <v>4</v>
      </c>
      <c r="J329" s="17" t="n">
        <v>4182.96</v>
      </c>
      <c r="K329" s="17" t="n">
        <v>3048.03</v>
      </c>
      <c r="L329" s="17" t="n">
        <v>978.37</v>
      </c>
      <c r="M329" s="140" t="n">
        <v>135</v>
      </c>
      <c r="N329" s="16" t="n">
        <f aca="false" ca="false" dt2D="false" dtr="false" t="normal">SUM(P329:T329)</f>
        <v>3010833.6999999997</v>
      </c>
      <c r="O329" s="18" t="n"/>
      <c r="P329" s="18" t="n">
        <v>963170.08</v>
      </c>
      <c r="Q329" s="18" t="n"/>
      <c r="R329" s="18" t="n">
        <v>298481.97</v>
      </c>
      <c r="S329" s="18" t="n">
        <v>1749181.65</v>
      </c>
      <c r="T329" s="18" t="n"/>
      <c r="U329" s="17" t="n">
        <v>1849.23882793194</v>
      </c>
      <c r="V329" s="17" t="n">
        <v>1849.23882793194</v>
      </c>
      <c r="W329" s="212" t="n">
        <v>2023</v>
      </c>
      <c r="X329" s="1" t="n">
        <f aca="false" ca="false" dt2D="false" dtr="false" t="normal">1500891.17-445165.35</f>
        <v>1055725.8199999998</v>
      </c>
      <c r="Y329" s="3" t="n">
        <f aca="false" ca="false" dt2D="false" dtr="false" t="normal">+(K329*10+L329*20)*12*0.85</f>
        <v>510486.54</v>
      </c>
      <c r="Z329" s="3" t="n">
        <f aca="false" ca="false" dt2D="false" dtr="false" t="normal">+(K329*10+L329*20)*12*30-179374.89</f>
        <v>17837797.11</v>
      </c>
      <c r="AB329" s="23" t="n">
        <f aca="false" ca="true" dt2D="false" dtr="false" t="normal">SUBTOTAL(9, AC329:AQ329)</f>
        <v>3010833.7</v>
      </c>
      <c r="AC329" s="18" t="n"/>
      <c r="AD329" s="18" t="n"/>
      <c r="AE329" s="18" t="n">
        <v>0</v>
      </c>
      <c r="AF329" s="18" t="n"/>
      <c r="AG329" s="18" t="n"/>
      <c r="AH329" s="18" t="n"/>
      <c r="AI329" s="18" t="n"/>
      <c r="AJ329" s="18" t="n">
        <v>0</v>
      </c>
      <c r="AK329" s="18" t="n">
        <v>0</v>
      </c>
      <c r="AL329" s="18" t="n">
        <v>3010833.7</v>
      </c>
      <c r="AM329" s="18" t="n">
        <v>0</v>
      </c>
      <c r="AN329" s="18" t="n"/>
      <c r="AO329" s="18" t="n"/>
      <c r="AP329" s="18" t="n"/>
      <c r="AQ329" s="24" t="n"/>
      <c r="AR329" s="3" t="n">
        <f aca="false" ca="false" dt2D="false" dtr="false" t="normal">N329-AB329</f>
        <v>0</v>
      </c>
    </row>
    <row outlineLevel="0" r="330">
      <c r="A330" s="244" t="n">
        <f aca="false" ca="false" dt2D="false" dtr="false" t="normal">+A329+1</f>
        <v>312</v>
      </c>
      <c r="B330" s="244" t="n">
        <f aca="false" ca="false" dt2D="false" dtr="false" t="normal">+B329+1</f>
        <v>124</v>
      </c>
      <c r="C330" s="7" t="s">
        <v>82</v>
      </c>
      <c r="D330" s="7" t="s">
        <v>609</v>
      </c>
      <c r="E330" s="9" t="n">
        <v>1969</v>
      </c>
      <c r="F330" s="9" t="n">
        <v>2013</v>
      </c>
      <c r="G330" s="9" t="s">
        <v>4</v>
      </c>
      <c r="H330" s="139" t="n">
        <v>4</v>
      </c>
      <c r="I330" s="139" t="n">
        <v>2</v>
      </c>
      <c r="J330" s="17" t="n">
        <v>1421.6</v>
      </c>
      <c r="K330" s="17" t="n">
        <v>1089.9</v>
      </c>
      <c r="L330" s="17" t="n">
        <v>300.28</v>
      </c>
      <c r="M330" s="140" t="n">
        <v>49</v>
      </c>
      <c r="N330" s="16" t="n">
        <f aca="false" ca="false" dt2D="false" dtr="false" t="normal">SUM(P330:T330)</f>
        <v>1652498.41</v>
      </c>
      <c r="O330" s="17" t="n"/>
      <c r="P330" s="18" t="n"/>
      <c r="Q330" s="18" t="n"/>
      <c r="R330" s="18" t="n">
        <v>657903.44</v>
      </c>
      <c r="S330" s="18" t="n">
        <v>994594.97</v>
      </c>
      <c r="T330" s="243" t="n"/>
      <c r="U330" s="17" t="n">
        <v>1402.41924591711</v>
      </c>
      <c r="V330" s="17" t="n">
        <v>1402.41924591711</v>
      </c>
      <c r="W330" s="212" t="n">
        <v>2023</v>
      </c>
      <c r="X330" s="1" t="n">
        <v>485476.52</v>
      </c>
      <c r="Y330" s="3" t="n">
        <f aca="false" ca="false" dt2D="false" dtr="false" t="normal">+(K330*10+L330*20)*12*0.85</f>
        <v>172426.91999999998</v>
      </c>
      <c r="Z330" s="3" t="n">
        <f aca="false" ca="false" dt2D="false" dtr="false" t="normal">+(K330*10+L330*20)*12*30</f>
        <v>6085655.999999999</v>
      </c>
      <c r="AB330" s="23" t="n">
        <f aca="false" ca="true" dt2D="false" dtr="false" t="normal">SUBTOTAL(9, AC330:AQ330)</f>
        <v>1652498.41</v>
      </c>
      <c r="AC330" s="18" t="n">
        <v>0</v>
      </c>
      <c r="AD330" s="18" t="n">
        <v>0</v>
      </c>
      <c r="AE330" s="18" t="n">
        <v>1652498.41</v>
      </c>
      <c r="AF330" s="18" t="n">
        <v>0</v>
      </c>
      <c r="AG330" s="18" t="n">
        <v>0</v>
      </c>
      <c r="AH330" s="18" t="n"/>
      <c r="AI330" s="18" t="n"/>
      <c r="AJ330" s="18" t="n">
        <v>0</v>
      </c>
      <c r="AK330" s="18" t="n">
        <v>0</v>
      </c>
      <c r="AL330" s="18" t="n">
        <v>0</v>
      </c>
      <c r="AM330" s="18" t="n">
        <v>0</v>
      </c>
      <c r="AN330" s="18" t="n">
        <v>0</v>
      </c>
      <c r="AO330" s="18" t="n"/>
      <c r="AP330" s="18" t="n"/>
      <c r="AQ330" s="24" t="n"/>
      <c r="AR330" s="3" t="n">
        <f aca="false" ca="false" dt2D="false" dtr="false" t="normal">N330-AB330</f>
        <v>0</v>
      </c>
    </row>
    <row outlineLevel="0" r="331">
      <c r="A331" s="244" t="n">
        <f aca="false" ca="false" dt2D="false" dtr="false" t="normal">+A330+1</f>
        <v>313</v>
      </c>
      <c r="B331" s="244" t="n">
        <f aca="false" ca="false" dt2D="false" dtr="false" t="normal">+B330+1</f>
        <v>125</v>
      </c>
      <c r="C331" s="7" t="s">
        <v>82</v>
      </c>
      <c r="D331" s="7" t="s">
        <v>610</v>
      </c>
      <c r="E331" s="9" t="n">
        <v>1970</v>
      </c>
      <c r="F331" s="9" t="n">
        <v>2013</v>
      </c>
      <c r="G331" s="9" t="s">
        <v>4</v>
      </c>
      <c r="H331" s="139" t="n">
        <v>4</v>
      </c>
      <c r="I331" s="139" t="n">
        <v>2</v>
      </c>
      <c r="J331" s="17" t="n">
        <v>1437.6</v>
      </c>
      <c r="K331" s="17" t="n">
        <v>1362.7</v>
      </c>
      <c r="L331" s="17" t="n">
        <v>0</v>
      </c>
      <c r="M331" s="140" t="n">
        <v>55</v>
      </c>
      <c r="N331" s="16" t="n">
        <f aca="false" ca="false" dt2D="false" dtr="false" t="normal">SUM(P331:T331)</f>
        <v>1424229.1800000002</v>
      </c>
      <c r="O331" s="17" t="n"/>
      <c r="P331" s="18" t="n"/>
      <c r="Q331" s="18" t="n"/>
      <c r="R331" s="18" t="n">
        <v>706857.29</v>
      </c>
      <c r="S331" s="18" t="n">
        <v>717371.89</v>
      </c>
      <c r="T331" s="17" t="n"/>
      <c r="U331" s="17" t="n">
        <v>1075.4766070666</v>
      </c>
      <c r="V331" s="17" t="n">
        <v>1075.4766070666</v>
      </c>
      <c r="W331" s="212" t="n">
        <v>2023</v>
      </c>
      <c r="X331" s="1" t="n">
        <v>567861.89</v>
      </c>
      <c r="Y331" s="3" t="n">
        <f aca="false" ca="false" dt2D="false" dtr="false" t="normal">+(K331*10+L331*20)*12*0.85</f>
        <v>138995.4</v>
      </c>
      <c r="Z331" s="3" t="n">
        <f aca="false" ca="false" dt2D="false" dtr="false" t="normal">+(K331*10+L331*20)*12*30</f>
        <v>4905720</v>
      </c>
      <c r="AB331" s="23" t="n">
        <f aca="false" ca="true" dt2D="false" dtr="false" t="normal">SUBTOTAL(9, AC331:AQ331)</f>
        <v>1424229.18</v>
      </c>
      <c r="AC331" s="18" t="n">
        <v>0</v>
      </c>
      <c r="AD331" s="18" t="n">
        <v>0</v>
      </c>
      <c r="AE331" s="18" t="n">
        <v>1424229.18</v>
      </c>
      <c r="AF331" s="18" t="n">
        <v>0</v>
      </c>
      <c r="AG331" s="18" t="n">
        <v>0</v>
      </c>
      <c r="AH331" s="18" t="n"/>
      <c r="AI331" s="18" t="n"/>
      <c r="AJ331" s="18" t="n">
        <v>0</v>
      </c>
      <c r="AK331" s="18" t="n">
        <v>0</v>
      </c>
      <c r="AL331" s="18" t="n">
        <v>0</v>
      </c>
      <c r="AM331" s="18" t="n">
        <v>0</v>
      </c>
      <c r="AN331" s="18" t="n">
        <v>0</v>
      </c>
      <c r="AO331" s="18" t="n"/>
      <c r="AP331" s="18" t="n"/>
      <c r="AQ331" s="24" t="n"/>
      <c r="AR331" s="3" t="n">
        <f aca="false" ca="false" dt2D="false" dtr="false" t="normal">N331-AB331</f>
        <v>0</v>
      </c>
    </row>
    <row outlineLevel="0" r="332">
      <c r="A332" s="244" t="n">
        <f aca="false" ca="false" dt2D="false" dtr="false" t="normal">+A331+1</f>
        <v>314</v>
      </c>
      <c r="B332" s="244" t="n">
        <f aca="false" ca="false" dt2D="false" dtr="false" t="normal">+B331+1</f>
        <v>126</v>
      </c>
      <c r="C332" s="245" t="s">
        <v>350</v>
      </c>
      <c r="D332" s="245" t="s">
        <v>611</v>
      </c>
      <c r="E332" s="9" t="n">
        <v>1977</v>
      </c>
      <c r="F332" s="9" t="n">
        <v>1977</v>
      </c>
      <c r="G332" s="9" t="s">
        <v>4</v>
      </c>
      <c r="H332" s="139" t="n">
        <v>5</v>
      </c>
      <c r="I332" s="139" t="n">
        <v>1</v>
      </c>
      <c r="J332" s="17" t="n">
        <v>1730.3</v>
      </c>
      <c r="K332" s="17" t="n">
        <v>1456.4</v>
      </c>
      <c r="L332" s="17" t="n">
        <v>0</v>
      </c>
      <c r="M332" s="140" t="n">
        <v>49</v>
      </c>
      <c r="N332" s="16" t="n">
        <f aca="false" ca="false" dt2D="false" dtr="false" t="normal">SUM(P332:T332)</f>
        <v>17277398.86</v>
      </c>
      <c r="O332" s="18" t="n"/>
      <c r="P332" s="18" t="n">
        <f aca="false" ca="false" dt2D="false" dtr="false" t="normal">8955461.07+1753973.84-196116.1+3050599.92</f>
        <v>13563918.73</v>
      </c>
      <c r="Q332" s="18" t="n"/>
      <c r="R332" s="18" t="n">
        <v>1315.8</v>
      </c>
      <c r="S332" s="18" t="n">
        <v>3712164.33</v>
      </c>
      <c r="T332" s="17" t="n"/>
      <c r="U332" s="17" t="n">
        <v>12258.2707206344</v>
      </c>
      <c r="V332" s="17" t="n">
        <v>12258.2707206344</v>
      </c>
      <c r="W332" s="212" t="n">
        <v>2023</v>
      </c>
      <c r="X332" s="12" t="n">
        <f aca="false" ca="false" dt2D="false" dtr="false" t="normal">590020.37-R145</f>
        <v>-147237</v>
      </c>
      <c r="Y332" s="3" t="n">
        <f aca="false" ca="false" dt2D="false" dtr="false" t="normal">+(K332*10+L332*20)*12*0.85</f>
        <v>148552.8</v>
      </c>
      <c r="Z332" s="3" t="n">
        <f aca="false" ca="false" dt2D="false" dtr="false" t="normal">+(K332*10+L332*20)*12*30-S145</f>
        <v>3789794.2800000003</v>
      </c>
      <c r="AB332" s="23" t="n">
        <f aca="false" ca="true" dt2D="false" dtr="false" t="normal">SUBTOTAL(9, AC332:AQ332)</f>
        <v>17277398.860000003</v>
      </c>
      <c r="AC332" s="18" t="n">
        <v>5026597.23</v>
      </c>
      <c r="AD332" s="18" t="n">
        <v>1761810.43</v>
      </c>
      <c r="AE332" s="18" t="n">
        <v>2190965.3</v>
      </c>
      <c r="AF332" s="18" t="n">
        <v>962343.08</v>
      </c>
      <c r="AG332" s="18" t="n"/>
      <c r="AH332" s="18" t="n"/>
      <c r="AI332" s="18" t="n"/>
      <c r="AJ332" s="18" t="n"/>
      <c r="AK332" s="18" t="n"/>
      <c r="AL332" s="18" t="n">
        <v>0</v>
      </c>
      <c r="AM332" s="18" t="n"/>
      <c r="AN332" s="18" t="n">
        <v>7229466.91</v>
      </c>
      <c r="AO332" s="18" t="n"/>
      <c r="AP332" s="18" t="n"/>
      <c r="AQ332" s="156" t="n">
        <f aca="false" ca="false" dt2D="false" dtr="false" t="normal">143369.99-37154.08</f>
        <v>106215.90999999999</v>
      </c>
      <c r="AR332" s="3" t="n">
        <f aca="false" ca="false" dt2D="false" dtr="false" t="normal">N332-AB332</f>
        <v>0</v>
      </c>
    </row>
    <row outlineLevel="0" r="333">
      <c r="A333" s="244" t="n">
        <f aca="false" ca="false" dt2D="false" dtr="false" t="normal">+A332+1</f>
        <v>315</v>
      </c>
      <c r="B333" s="244" t="n">
        <f aca="false" ca="false" dt2D="false" dtr="false" t="normal">+B332+1</f>
        <v>127</v>
      </c>
      <c r="C333" s="245" t="s">
        <v>90</v>
      </c>
      <c r="D333" s="245" t="s">
        <v>91</v>
      </c>
      <c r="E333" s="9" t="n">
        <v>1984</v>
      </c>
      <c r="F333" s="9" t="n">
        <v>1984</v>
      </c>
      <c r="G333" s="9" t="s">
        <v>4</v>
      </c>
      <c r="H333" s="139" t="n">
        <v>5</v>
      </c>
      <c r="I333" s="139" t="n">
        <v>4</v>
      </c>
      <c r="J333" s="17" t="n">
        <v>3359.4</v>
      </c>
      <c r="K333" s="17" t="n">
        <v>2391.8</v>
      </c>
      <c r="L333" s="17" t="n">
        <v>553.2</v>
      </c>
      <c r="M333" s="140" t="n">
        <v>62</v>
      </c>
      <c r="N333" s="16" t="n">
        <f aca="false" ca="false" dt2D="false" dtr="false" t="normal">SUM(P333:T333)</f>
        <v>17387080.56</v>
      </c>
      <c r="O333" s="18" t="n"/>
      <c r="P333" s="18" t="n">
        <f aca="false" ca="false" dt2D="false" dtr="false" t="normal">10041027.15+2382250.6+408269.66+234825.18</f>
        <v>13066372.59</v>
      </c>
      <c r="Q333" s="18" t="n"/>
      <c r="R333" s="18" t="n">
        <v>442334.41</v>
      </c>
      <c r="S333" s="18" t="n">
        <v>3878373.56</v>
      </c>
      <c r="T333" s="17" t="n"/>
      <c r="U333" s="17" t="n">
        <v>9447.50199910945</v>
      </c>
      <c r="V333" s="17" t="n">
        <v>9447.50199910945</v>
      </c>
      <c r="W333" s="212" t="n">
        <v>2023</v>
      </c>
      <c r="X333" s="12" t="n">
        <f aca="false" ca="false" dt2D="false" dtr="false" t="normal">1110865.63-R146</f>
        <v>618086.45</v>
      </c>
      <c r="Y333" s="3" t="n">
        <f aca="false" ca="false" dt2D="false" dtr="false" t="normal">+(K333*10+L333*20)*12*0.85</f>
        <v>356816.39999999997</v>
      </c>
      <c r="Z333" s="3" t="n">
        <f aca="false" ca="false" dt2D="false" dtr="false" t="normal">+(K333*10+L333*20)*12*30-3112059.45-S146</f>
        <v>3807576.750000001</v>
      </c>
      <c r="AB333" s="23" t="n">
        <f aca="false" ca="true" dt2D="false" dtr="false" t="normal">SUBTOTAL(9, AC333:AQ333)</f>
        <v>17387080.56</v>
      </c>
      <c r="AC333" s="18" t="n"/>
      <c r="AD333" s="18" t="n"/>
      <c r="AE333" s="18" t="n">
        <v>3897843.76</v>
      </c>
      <c r="AF333" s="18" t="n"/>
      <c r="AG333" s="18" t="n">
        <v>0</v>
      </c>
      <c r="AH333" s="18" t="n"/>
      <c r="AI333" s="18" t="n"/>
      <c r="AJ333" s="18" t="n">
        <v>0</v>
      </c>
      <c r="AK333" s="18" t="n"/>
      <c r="AL333" s="18" t="n">
        <v>0</v>
      </c>
      <c r="AM333" s="18" t="n"/>
      <c r="AN333" s="18" t="n">
        <v>13397912.35</v>
      </c>
      <c r="AO333" s="18" t="n"/>
      <c r="AP333" s="18" t="n"/>
      <c r="AQ333" s="156" t="n">
        <v>91324.45</v>
      </c>
      <c r="AR333" s="3" t="n">
        <f aca="false" ca="false" dt2D="false" dtr="false" t="normal">N333-AB333</f>
        <v>0</v>
      </c>
    </row>
    <row outlineLevel="0" r="334">
      <c r="A334" s="244" t="n">
        <f aca="false" ca="false" dt2D="false" dtr="false" t="normal">+A333+1</f>
        <v>316</v>
      </c>
      <c r="B334" s="244" t="n">
        <f aca="false" ca="false" dt2D="false" dtr="false" t="normal">+B333+1</f>
        <v>128</v>
      </c>
      <c r="C334" s="7" t="s">
        <v>356</v>
      </c>
      <c r="D334" s="7" t="s">
        <v>614</v>
      </c>
      <c r="E334" s="9" t="n">
        <v>1972</v>
      </c>
      <c r="F334" s="9" t="n">
        <v>2013</v>
      </c>
      <c r="G334" s="9" t="s">
        <v>4</v>
      </c>
      <c r="H334" s="139" t="n">
        <v>4</v>
      </c>
      <c r="I334" s="139" t="n">
        <v>3</v>
      </c>
      <c r="J334" s="17" t="n">
        <v>1348.9</v>
      </c>
      <c r="K334" s="17" t="n">
        <v>1047.4</v>
      </c>
      <c r="L334" s="17" t="n">
        <v>182.5</v>
      </c>
      <c r="M334" s="140" t="n">
        <v>50</v>
      </c>
      <c r="N334" s="16" t="n">
        <f aca="false" ca="false" dt2D="false" dtr="false" t="normal">SUM(P334:T334)</f>
        <v>723055.9</v>
      </c>
      <c r="O334" s="17" t="n"/>
      <c r="P334" s="18" t="n"/>
      <c r="Q334" s="18" t="n"/>
      <c r="R334" s="18" t="n">
        <v>425426.039642386</v>
      </c>
      <c r="S334" s="18" t="n">
        <v>297629.860357614</v>
      </c>
      <c r="T334" s="17" t="n"/>
      <c r="U334" s="18" t="n">
        <v>3239.32438031685</v>
      </c>
      <c r="V334" s="18" t="n">
        <v>1362.283020064</v>
      </c>
      <c r="W334" s="212" t="n">
        <v>2023</v>
      </c>
      <c r="X334" s="103" t="n">
        <v>655483.31</v>
      </c>
      <c r="Y334" s="3" t="n">
        <f aca="false" ca="false" dt2D="false" dtr="false" t="normal">+(K334*10.5+L334*21)*12*0.85</f>
        <v>151268.04</v>
      </c>
      <c r="Z334" s="3" t="n">
        <f aca="false" ca="false" dt2D="false" dtr="false" t="normal">+(K334*10.5+L334*21)*12*30</f>
        <v>5338872.000000001</v>
      </c>
      <c r="AB334" s="158" t="n">
        <f aca="false" ca="true" dt2D="false" dtr="false" t="normal">SUBTOTAL(9, AC334:AQ334)</f>
        <v>723055.9</v>
      </c>
      <c r="AC334" s="18" t="n">
        <v>0</v>
      </c>
      <c r="AD334" s="18" t="n">
        <v>0</v>
      </c>
      <c r="AE334" s="18" t="n"/>
      <c r="AF334" s="18" t="n">
        <v>0</v>
      </c>
      <c r="AG334" s="18" t="n">
        <v>0</v>
      </c>
      <c r="AH334" s="18" t="n"/>
      <c r="AI334" s="18" t="n"/>
      <c r="AJ334" s="18" t="n">
        <v>0</v>
      </c>
      <c r="AK334" s="18" t="n">
        <v>0</v>
      </c>
      <c r="AL334" s="18" t="n"/>
      <c r="AM334" s="18" t="n">
        <v>0</v>
      </c>
      <c r="AN334" s="18" t="n">
        <v>723055.9</v>
      </c>
      <c r="AO334" s="18" t="n"/>
      <c r="AP334" s="18" t="n"/>
      <c r="AQ334" s="24" t="n"/>
      <c r="AR334" s="3" t="n">
        <f aca="false" ca="false" dt2D="false" dtr="false" t="normal">N334-AB334</f>
        <v>0</v>
      </c>
    </row>
    <row outlineLevel="0" r="335">
      <c r="A335" s="244" t="n">
        <f aca="false" ca="false" dt2D="false" dtr="false" t="normal">+A334+1</f>
        <v>317</v>
      </c>
      <c r="B335" s="244" t="n">
        <f aca="false" ca="false" dt2D="false" dtr="false" t="normal">+B334+1</f>
        <v>129</v>
      </c>
      <c r="C335" s="7" t="s">
        <v>356</v>
      </c>
      <c r="D335" s="7" t="s">
        <v>616</v>
      </c>
      <c r="E335" s="9" t="n">
        <v>1977</v>
      </c>
      <c r="F335" s="9" t="n">
        <v>1977</v>
      </c>
      <c r="G335" s="9" t="s">
        <v>4</v>
      </c>
      <c r="H335" s="139" t="n">
        <v>4</v>
      </c>
      <c r="I335" s="139" t="n">
        <v>1</v>
      </c>
      <c r="J335" s="17" t="n">
        <v>1434.1</v>
      </c>
      <c r="K335" s="17" t="n">
        <v>1287.6</v>
      </c>
      <c r="L335" s="17" t="n">
        <v>100.6</v>
      </c>
      <c r="M335" s="140" t="n">
        <v>46</v>
      </c>
      <c r="N335" s="16" t="n">
        <f aca="false" ca="false" dt2D="false" dtr="false" t="normal">SUM(P335:T335)</f>
        <v>17170798.84</v>
      </c>
      <c r="O335" s="17" t="n"/>
      <c r="P335" s="246" t="n">
        <v>4825024.43</v>
      </c>
      <c r="Q335" s="18" t="n"/>
      <c r="R335" s="18" t="n">
        <v>755102.63</v>
      </c>
      <c r="S335" s="18" t="n">
        <v>11590671.78</v>
      </c>
      <c r="T335" s="18" t="n"/>
      <c r="U335" s="18" t="n">
        <v>14353.4163000947</v>
      </c>
      <c r="V335" s="18" t="n">
        <v>1374.283020064</v>
      </c>
      <c r="W335" s="212" t="n">
        <v>2023</v>
      </c>
      <c r="X335" s="103" t="n">
        <v>595652.15</v>
      </c>
      <c r="Y335" s="3" t="n">
        <f aca="false" ca="false" dt2D="false" dtr="false" t="normal">+(K335*10.5+L335*21)*12*0.85</f>
        <v>159450.47999999998</v>
      </c>
      <c r="Z335" s="3" t="n">
        <f aca="false" ca="false" dt2D="false" dtr="false" t="normal">+(K335*10.5+L335*21)*12*30</f>
        <v>5627664</v>
      </c>
      <c r="AB335" s="158" t="n">
        <f aca="false" ca="true" dt2D="false" dtr="false" t="normal">SUBTOTAL(9, AC335:AQ335)</f>
        <v>17170798.84</v>
      </c>
      <c r="AC335" s="18" t="n">
        <v>4702523.48</v>
      </c>
      <c r="AD335" s="18" t="n">
        <v>2022696.79</v>
      </c>
      <c r="AE335" s="18" t="n">
        <v>1167206.26</v>
      </c>
      <c r="AF335" s="18" t="n">
        <v>727220.9</v>
      </c>
      <c r="AG335" s="18" t="n">
        <v>0</v>
      </c>
      <c r="AH335" s="18" t="n"/>
      <c r="AI335" s="18" t="n"/>
      <c r="AJ335" s="18" t="n">
        <v>0</v>
      </c>
      <c r="AK335" s="18" t="n">
        <v>8051725.51</v>
      </c>
      <c r="AL335" s="18" t="n"/>
      <c r="AM335" s="18" t="n"/>
      <c r="AN335" s="18" t="n">
        <v>499425.9</v>
      </c>
      <c r="AO335" s="18" t="n"/>
      <c r="AP335" s="18" t="n"/>
      <c r="AQ335" s="24" t="n"/>
      <c r="AR335" s="3" t="n">
        <f aca="false" ca="false" dt2D="false" dtr="false" t="normal">N335-AB335</f>
        <v>0</v>
      </c>
    </row>
    <row customFormat="true" ht="15" outlineLevel="0" r="336" s="184">
      <c r="A336" s="244" t="n">
        <f aca="false" ca="false" dt2D="false" dtr="false" t="normal">+A335+1</f>
        <v>318</v>
      </c>
      <c r="B336" s="244" t="n">
        <f aca="false" ca="false" dt2D="false" dtr="false" t="normal">+B335+1</f>
        <v>130</v>
      </c>
      <c r="C336" s="245" t="s">
        <v>356</v>
      </c>
      <c r="D336" s="245" t="s">
        <v>618</v>
      </c>
      <c r="E336" s="9" t="s">
        <v>164</v>
      </c>
      <c r="F336" s="9" t="n"/>
      <c r="G336" s="9" t="s">
        <v>4</v>
      </c>
      <c r="H336" s="139" t="s">
        <v>165</v>
      </c>
      <c r="I336" s="139" t="s">
        <v>159</v>
      </c>
      <c r="J336" s="17" t="n">
        <v>6010.4</v>
      </c>
      <c r="K336" s="17" t="n">
        <v>4246.1</v>
      </c>
      <c r="L336" s="17" t="n">
        <v>999.9</v>
      </c>
      <c r="M336" s="140" t="n">
        <v>135</v>
      </c>
      <c r="N336" s="16" t="n">
        <f aca="false" ca="false" dt2D="false" dtr="false" t="normal">SUM(P336:T336)</f>
        <v>48104587.04000001</v>
      </c>
      <c r="O336" s="18" t="n">
        <v>0</v>
      </c>
      <c r="P336" s="18" t="n">
        <v>21572351.43</v>
      </c>
      <c r="Q336" s="18" t="n">
        <v>1821800</v>
      </c>
      <c r="R336" s="18" t="n">
        <v>4098343.92</v>
      </c>
      <c r="S336" s="18" t="n">
        <v>20612091.69</v>
      </c>
      <c r="T336" s="18" t="n"/>
      <c r="U336" s="17" t="n">
        <v>10376.1525433728</v>
      </c>
      <c r="V336" s="17" t="n">
        <v>10376.1525433728</v>
      </c>
      <c r="W336" s="212" t="n">
        <v>2023</v>
      </c>
      <c r="X336" s="202" t="n">
        <v>3461262.12</v>
      </c>
      <c r="Y336" s="3" t="n">
        <f aca="false" ca="false" dt2D="false" dtr="false" t="normal">+(K336*10+L336*20)*12*0.85</f>
        <v>637081.7999999999</v>
      </c>
      <c r="Z336" s="3" t="n">
        <f aca="false" ca="false" dt2D="false" dtr="false" t="normal">+(K336*10+L336*20)*12*30</f>
        <v>22485240</v>
      </c>
      <c r="AA336" s="3" t="n"/>
      <c r="AB336" s="23" t="n">
        <f aca="false" ca="true" dt2D="false" dtr="false" t="normal">SUBTOTAL(9, AC336:AQ336)</f>
        <v>48104587.04</v>
      </c>
      <c r="AC336" s="18" t="n">
        <v>7902876.34</v>
      </c>
      <c r="AD336" s="18" t="n">
        <v>4092711.1</v>
      </c>
      <c r="AE336" s="18" t="n">
        <v>4295794.1</v>
      </c>
      <c r="AF336" s="18" t="n"/>
      <c r="AG336" s="18" t="n"/>
      <c r="AH336" s="18" t="n"/>
      <c r="AI336" s="18" t="n"/>
      <c r="AJ336" s="18" t="n"/>
      <c r="AK336" s="18" t="n">
        <v>28212794</v>
      </c>
      <c r="AL336" s="18" t="n"/>
      <c r="AM336" s="18" t="n"/>
      <c r="AN336" s="18" t="n">
        <v>2361500.36</v>
      </c>
      <c r="AO336" s="18" t="n">
        <v>1221768.28</v>
      </c>
      <c r="AP336" s="18" t="n">
        <v>17142.86</v>
      </c>
      <c r="AQ336" s="24" t="n"/>
      <c r="AR336" s="3" t="n">
        <f aca="false" ca="false" dt2D="false" dtr="false" t="normal">N336-AB336</f>
        <v>0</v>
      </c>
      <c r="AT336" s="187" t="n"/>
    </row>
    <row outlineLevel="0" r="337">
      <c r="A337" s="244" t="n">
        <f aca="false" ca="false" dt2D="false" dtr="false" t="normal">+A336+1</f>
        <v>319</v>
      </c>
      <c r="B337" s="244" t="n">
        <f aca="false" ca="false" dt2D="false" dtr="false" t="normal">+B336+1</f>
        <v>131</v>
      </c>
      <c r="C337" s="245" t="s">
        <v>356</v>
      </c>
      <c r="D337" s="245" t="s">
        <v>619</v>
      </c>
      <c r="E337" s="9" t="n">
        <v>1970</v>
      </c>
      <c r="F337" s="9" t="n">
        <v>1970</v>
      </c>
      <c r="G337" s="9" t="s">
        <v>4</v>
      </c>
      <c r="H337" s="139" t="n">
        <v>4</v>
      </c>
      <c r="I337" s="139" t="n">
        <v>1</v>
      </c>
      <c r="J337" s="17" t="n">
        <v>1343.6</v>
      </c>
      <c r="K337" s="17" t="n">
        <v>929.1</v>
      </c>
      <c r="L337" s="17" t="n">
        <v>317.9</v>
      </c>
      <c r="M337" s="140" t="n">
        <v>43</v>
      </c>
      <c r="N337" s="16" t="n">
        <f aca="false" ca="false" dt2D="false" dtr="false" t="normal">SUM(P337:T337)</f>
        <v>12188197.2</v>
      </c>
      <c r="O337" s="18" t="n"/>
      <c r="P337" s="18" t="n">
        <v>5781379.39479801</v>
      </c>
      <c r="Q337" s="18" t="n"/>
      <c r="R337" s="18" t="n">
        <v>973196.25</v>
      </c>
      <c r="S337" s="18" t="n">
        <v>5433621.55520199</v>
      </c>
      <c r="T337" s="18" t="n"/>
      <c r="U337" s="18" t="n">
        <v>17559.7851100856</v>
      </c>
      <c r="V337" s="18" t="n">
        <v>1364.283020064</v>
      </c>
      <c r="W337" s="212" t="n">
        <v>2023</v>
      </c>
      <c r="X337" s="103" t="n">
        <v>805595.46</v>
      </c>
      <c r="Y337" s="3" t="n">
        <f aca="false" ca="false" dt2D="false" dtr="false" t="normal">+(K337*10.5+L337*21)*12*0.85</f>
        <v>167600.79</v>
      </c>
      <c r="Z337" s="3" t="n">
        <f aca="false" ca="false" dt2D="false" dtr="false" t="normal">+(K337*10.5+L337*21)*12*30</f>
        <v>5915322.000000001</v>
      </c>
      <c r="AB337" s="158" t="n">
        <f aca="false" ca="true" dt2D="false" dtr="false" t="normal">SUBTOTAL(9, AC337:AQ337)</f>
        <v>12188197.200000001</v>
      </c>
      <c r="AC337" s="18" t="n">
        <v>2561264.63</v>
      </c>
      <c r="AD337" s="18" t="n">
        <v>1831960.83</v>
      </c>
      <c r="AE337" s="18" t="n">
        <v>1491883.2</v>
      </c>
      <c r="AF337" s="18" t="n">
        <v>879028.5</v>
      </c>
      <c r="AG337" s="18" t="n">
        <v>0</v>
      </c>
      <c r="AH337" s="18" t="n"/>
      <c r="AI337" s="18" t="n"/>
      <c r="AJ337" s="18" t="n"/>
      <c r="AK337" s="18" t="n">
        <v>4643142.23</v>
      </c>
      <c r="AL337" s="18" t="n"/>
      <c r="AM337" s="18" t="n">
        <v>0</v>
      </c>
      <c r="AN337" s="18" t="n">
        <v>780917.81</v>
      </c>
      <c r="AO337" s="18" t="n"/>
      <c r="AP337" s="18" t="n"/>
      <c r="AQ337" s="24" t="n"/>
      <c r="AR337" s="3" t="n">
        <f aca="false" ca="false" dt2D="false" dtr="false" t="normal">N337-AB337</f>
        <v>0</v>
      </c>
    </row>
    <row outlineLevel="0" r="338">
      <c r="A338" s="244" t="n">
        <f aca="false" ca="false" dt2D="false" dtr="false" t="normal">+A337+1</f>
        <v>320</v>
      </c>
      <c r="B338" s="244" t="n">
        <f aca="false" ca="false" dt2D="false" dtr="false" t="normal">+B337+1</f>
        <v>132</v>
      </c>
      <c r="C338" s="7" t="s">
        <v>356</v>
      </c>
      <c r="D338" s="7" t="s">
        <v>495</v>
      </c>
      <c r="E338" s="9" t="n">
        <v>1975</v>
      </c>
      <c r="F338" s="9" t="n">
        <v>1975</v>
      </c>
      <c r="G338" s="9" t="s">
        <v>4</v>
      </c>
      <c r="H338" s="139" t="n">
        <v>5</v>
      </c>
      <c r="I338" s="139" t="n">
        <v>5</v>
      </c>
      <c r="J338" s="17" t="n">
        <v>3670.4</v>
      </c>
      <c r="K338" s="17" t="n">
        <v>2958</v>
      </c>
      <c r="L338" s="17" t="n">
        <v>417.2</v>
      </c>
      <c r="M338" s="140" t="n">
        <v>116</v>
      </c>
      <c r="N338" s="16" t="n">
        <f aca="false" ca="false" dt2D="false" dtr="false" t="normal">SUM(P338:T338)</f>
        <v>13503759.23</v>
      </c>
      <c r="O338" s="17" t="n"/>
      <c r="P338" s="18" t="n"/>
      <c r="Q338" s="18" t="n"/>
      <c r="R338" s="18" t="n">
        <v>1002672.83</v>
      </c>
      <c r="S338" s="18" t="n">
        <v>12501086.4</v>
      </c>
      <c r="T338" s="18" t="n"/>
      <c r="U338" s="18" t="n">
        <v>17616.2217731655</v>
      </c>
      <c r="V338" s="18" t="n">
        <v>1375.283020064</v>
      </c>
      <c r="W338" s="212" t="n">
        <v>2023</v>
      </c>
      <c r="X338" s="103" t="n">
        <v>1791489.77</v>
      </c>
      <c r="Y338" s="3" t="n">
        <f aca="false" ca="false" dt2D="false" dtr="false" t="normal">+(K338*10.5+L338*21)*12*0.85</f>
        <v>406166.04</v>
      </c>
      <c r="Z338" s="3" t="n">
        <f aca="false" ca="false" dt2D="false" dtr="false" t="normal">+(K338*10.5+L338*21)*12*30</f>
        <v>14335271.999999998</v>
      </c>
      <c r="AB338" s="158" t="n">
        <f aca="false" ca="true" dt2D="false" dtr="false" t="normal">SUBTOTAL(9, AC338:AQ338)</f>
        <v>13503759.23</v>
      </c>
      <c r="AC338" s="18" t="n">
        <v>10796865.48</v>
      </c>
      <c r="AD338" s="18" t="n"/>
      <c r="AE338" s="18" t="n">
        <v>2146766.74</v>
      </c>
      <c r="AF338" s="18" t="n"/>
      <c r="AG338" s="18" t="n">
        <v>0</v>
      </c>
      <c r="AH338" s="18" t="n"/>
      <c r="AI338" s="18" t="n"/>
      <c r="AJ338" s="18" t="n">
        <v>0</v>
      </c>
      <c r="AK338" s="18" t="n"/>
      <c r="AL338" s="18" t="n">
        <v>0</v>
      </c>
      <c r="AM338" s="18" t="n"/>
      <c r="AN338" s="18" t="n">
        <v>560127.01</v>
      </c>
      <c r="AO338" s="18" t="n"/>
      <c r="AP338" s="18" t="n"/>
      <c r="AQ338" s="24" t="n"/>
      <c r="AR338" s="3" t="n">
        <f aca="false" ca="false" dt2D="false" dtr="false" t="normal">N338-AB338</f>
        <v>0</v>
      </c>
    </row>
    <row outlineLevel="0" r="339">
      <c r="A339" s="244" t="n">
        <f aca="false" ca="false" dt2D="false" dtr="false" t="normal">+A338+1</f>
        <v>321</v>
      </c>
      <c r="B339" s="244" t="n">
        <f aca="false" ca="false" dt2D="false" dtr="false" t="normal">+B338+1</f>
        <v>133</v>
      </c>
      <c r="C339" s="7" t="s">
        <v>356</v>
      </c>
      <c r="D339" s="7" t="s">
        <v>620</v>
      </c>
      <c r="E339" s="9" t="n">
        <v>2002</v>
      </c>
      <c r="F339" s="9" t="n">
        <v>2002</v>
      </c>
      <c r="G339" s="9" t="s">
        <v>4</v>
      </c>
      <c r="H339" s="139" t="n">
        <v>9</v>
      </c>
      <c r="I339" s="139" t="n">
        <v>2</v>
      </c>
      <c r="J339" s="17" t="n">
        <v>5167.9</v>
      </c>
      <c r="K339" s="17" t="n">
        <v>4391.9</v>
      </c>
      <c r="L339" s="17" t="n">
        <v>0</v>
      </c>
      <c r="M339" s="140" t="n">
        <v>172</v>
      </c>
      <c r="N339" s="16" t="n">
        <f aca="false" ca="false" dt2D="false" dtr="false" t="normal">SUM(P339:T339)</f>
        <v>5375027</v>
      </c>
      <c r="O339" s="17" t="n"/>
      <c r="P339" s="18" t="n"/>
      <c r="Q339" s="18" t="n">
        <v>718272</v>
      </c>
      <c r="R339" s="18" t="n">
        <v>3024815.9802</v>
      </c>
      <c r="S339" s="18" t="n">
        <v>1631939.0198</v>
      </c>
      <c r="T339" s="18" t="n"/>
      <c r="U339" s="17" t="n">
        <v>1635.44707302079</v>
      </c>
      <c r="V339" s="17" t="n">
        <v>1635.44707302079</v>
      </c>
      <c r="W339" s="212" t="n">
        <v>2023</v>
      </c>
      <c r="X339" s="1" t="n">
        <v>2429458.8</v>
      </c>
      <c r="Y339" s="3" t="n">
        <f aca="false" ca="false" dt2D="false" dtr="false" t="normal">+(K339*13.29+L339*22.52)*12*0.85</f>
        <v>595357.1801999998</v>
      </c>
      <c r="Z339" s="3" t="n">
        <f aca="false" ca="false" dt2D="false" dtr="false" t="normal">+(K339*13.29+L339*22.52)*12*30</f>
        <v>21012606.359999996</v>
      </c>
      <c r="AB339" s="23" t="n">
        <f aca="false" ca="true" dt2D="false" dtr="false" t="normal">SUBTOTAL(9, AC339:AQ339)</f>
        <v>5375027</v>
      </c>
      <c r="AC339" s="213" t="n"/>
      <c r="AD339" s="18" t="n"/>
      <c r="AE339" s="18" t="n"/>
      <c r="AF339" s="18" t="n"/>
      <c r="AG339" s="18" t="n"/>
      <c r="AH339" s="18" t="n"/>
      <c r="AI339" s="18" t="n"/>
      <c r="AJ339" s="18" t="n">
        <v>5252854.22</v>
      </c>
      <c r="AK339" s="18" t="n"/>
      <c r="AL339" s="18" t="n"/>
      <c r="AM339" s="18" t="n"/>
      <c r="AN339" s="18" t="n"/>
      <c r="AO339" s="18" t="n">
        <v>103820.17</v>
      </c>
      <c r="AP339" s="18" t="n">
        <v>18352.61</v>
      </c>
      <c r="AQ339" s="24" t="n"/>
      <c r="AR339" s="3" t="n">
        <f aca="false" ca="false" dt2D="false" dtr="false" t="normal">N339-AB339</f>
        <v>0</v>
      </c>
    </row>
    <row outlineLevel="0" r="340">
      <c r="A340" s="244" t="n">
        <f aca="false" ca="false" dt2D="false" dtr="false" t="normal">+A339+1</f>
        <v>322</v>
      </c>
      <c r="B340" s="244" t="n">
        <f aca="false" ca="false" dt2D="false" dtr="false" t="normal">+B339+1</f>
        <v>134</v>
      </c>
      <c r="C340" s="7" t="s">
        <v>356</v>
      </c>
      <c r="D340" s="7" t="s">
        <v>498</v>
      </c>
      <c r="E340" s="9" t="n">
        <v>1970</v>
      </c>
      <c r="F340" s="9" t="n">
        <v>1970</v>
      </c>
      <c r="G340" s="9" t="s">
        <v>4</v>
      </c>
      <c r="H340" s="139" t="n">
        <v>4</v>
      </c>
      <c r="I340" s="139" t="n">
        <v>4</v>
      </c>
      <c r="J340" s="17" t="n">
        <v>1365.1</v>
      </c>
      <c r="K340" s="17" t="n">
        <v>1195.16</v>
      </c>
      <c r="L340" s="17" t="n">
        <v>66.4</v>
      </c>
      <c r="M340" s="140" t="n">
        <v>42</v>
      </c>
      <c r="N340" s="16" t="n">
        <f aca="false" ca="false" dt2D="false" dtr="false" t="normal">SUM(P340:T340)</f>
        <v>4053363.43</v>
      </c>
      <c r="O340" s="17" t="n"/>
      <c r="P340" s="18" t="n"/>
      <c r="Q340" s="18" t="n"/>
      <c r="R340" s="18" t="n">
        <v>558986.376</v>
      </c>
      <c r="S340" s="18" t="n">
        <v>3494377.054</v>
      </c>
      <c r="T340" s="18" t="n"/>
      <c r="U340" s="18" t="n">
        <v>4957.532395306</v>
      </c>
      <c r="V340" s="18" t="n">
        <v>1366.283020064</v>
      </c>
      <c r="W340" s="212" t="n">
        <v>2023</v>
      </c>
      <c r="X340" s="1" t="n">
        <f aca="false" ca="false" dt2D="false" dtr="false" t="normal">578197.03-161435.17</f>
        <v>416761.86</v>
      </c>
      <c r="Y340" s="3" t="n">
        <f aca="false" ca="false" dt2D="false" dtr="false" t="normal">+(K340*10.5+L340*21)*12*0.85</f>
        <v>142224.516</v>
      </c>
      <c r="Z340" s="3" t="n">
        <f aca="false" ca="false" dt2D="false" dtr="false" t="normal">+(K340*10.5+L340*21)*12*30-1010645.26</f>
        <v>4009043.54</v>
      </c>
      <c r="AB340" s="158" t="n">
        <f aca="false" ca="true" dt2D="false" dtr="false" t="normal">SUBTOTAL(9, AC340:AQ340)</f>
        <v>4053363.43</v>
      </c>
      <c r="AC340" s="18" t="n"/>
      <c r="AD340" s="18" t="n"/>
      <c r="AE340" s="18" t="n"/>
      <c r="AF340" s="18" t="n"/>
      <c r="AG340" s="18" t="n">
        <v>0</v>
      </c>
      <c r="AH340" s="18" t="n"/>
      <c r="AI340" s="18" t="n"/>
      <c r="AJ340" s="18" t="n">
        <v>0</v>
      </c>
      <c r="AK340" s="18" t="n">
        <v>4053363.43</v>
      </c>
      <c r="AL340" s="18" t="n">
        <v>0</v>
      </c>
      <c r="AM340" s="18" t="n"/>
      <c r="AN340" s="18" t="n"/>
      <c r="AO340" s="18" t="n"/>
      <c r="AP340" s="18" t="n"/>
      <c r="AQ340" s="24" t="n"/>
      <c r="AR340" s="3" t="n">
        <f aca="false" ca="false" dt2D="false" dtr="false" t="normal">N340-AB340</f>
        <v>0</v>
      </c>
    </row>
    <row outlineLevel="0" r="341">
      <c r="A341" s="244" t="n">
        <f aca="false" ca="false" dt2D="false" dtr="false" t="normal">+A340+1</f>
        <v>323</v>
      </c>
      <c r="B341" s="244" t="n">
        <f aca="false" ca="false" dt2D="false" dtr="false" t="normal">+B340+1</f>
        <v>135</v>
      </c>
      <c r="C341" s="245" t="s">
        <v>356</v>
      </c>
      <c r="D341" s="245" t="s">
        <v>500</v>
      </c>
      <c r="E341" s="9" t="n">
        <v>1965</v>
      </c>
      <c r="F341" s="9" t="n">
        <v>1965</v>
      </c>
      <c r="G341" s="9" t="s">
        <v>4</v>
      </c>
      <c r="H341" s="139" t="n">
        <v>3</v>
      </c>
      <c r="I341" s="139" t="n">
        <v>2</v>
      </c>
      <c r="J341" s="17" t="n">
        <v>987.3</v>
      </c>
      <c r="K341" s="17" t="n">
        <v>918.1</v>
      </c>
      <c r="L341" s="17" t="n">
        <v>68.1</v>
      </c>
      <c r="M341" s="140" t="n">
        <v>38</v>
      </c>
      <c r="N341" s="16" t="n">
        <f aca="false" ca="false" dt2D="false" dtr="false" t="normal">SUM(P341:T341)</f>
        <v>11760430.97</v>
      </c>
      <c r="O341" s="18" t="n"/>
      <c r="P341" s="18" t="n">
        <v>9279245.73</v>
      </c>
      <c r="Q341" s="18" t="n"/>
      <c r="R341" s="18" t="n">
        <v>516779.02</v>
      </c>
      <c r="S341" s="18" t="n">
        <v>1964406.22</v>
      </c>
      <c r="T341" s="18" t="n"/>
      <c r="U341" s="18" t="n">
        <v>30592.0731245017</v>
      </c>
      <c r="V341" s="18" t="n">
        <v>1367.283020064</v>
      </c>
      <c r="W341" s="212" t="n">
        <v>2023</v>
      </c>
      <c r="X341" s="103" t="n">
        <v>403863.49</v>
      </c>
      <c r="Y341" s="3" t="n">
        <f aca="false" ca="false" dt2D="false" dtr="false" t="normal">+(K341*10.5+L341*21)*12*0.85</f>
        <v>112915.53000000001</v>
      </c>
      <c r="Z341" s="3" t="n">
        <f aca="false" ca="false" dt2D="false" dtr="false" t="normal">+(K341*10.5+L341*21)*12*30</f>
        <v>3985254.0000000005</v>
      </c>
      <c r="AB341" s="158" t="n">
        <f aca="false" ca="true" dt2D="false" dtr="false" t="normal">SUBTOTAL(9, AC341:AQ341)</f>
        <v>11760430.97</v>
      </c>
      <c r="AC341" s="18" t="n"/>
      <c r="AD341" s="18" t="n"/>
      <c r="AE341" s="18" t="n"/>
      <c r="AF341" s="18" t="n"/>
      <c r="AG341" s="18" t="n"/>
      <c r="AH341" s="18" t="n"/>
      <c r="AI341" s="18" t="n"/>
      <c r="AJ341" s="18" t="n">
        <v>0</v>
      </c>
      <c r="AK341" s="18" t="n">
        <v>10962284.21</v>
      </c>
      <c r="AL341" s="18" t="n">
        <v>0</v>
      </c>
      <c r="AM341" s="18" t="n"/>
      <c r="AN341" s="18" t="n">
        <v>798146.76</v>
      </c>
      <c r="AO341" s="18" t="n"/>
      <c r="AP341" s="18" t="n"/>
      <c r="AQ341" s="24" t="n"/>
      <c r="AR341" s="3" t="n">
        <f aca="false" ca="false" dt2D="false" dtr="false" t="normal">N341-AB341</f>
        <v>0</v>
      </c>
    </row>
    <row outlineLevel="0" r="342">
      <c r="A342" s="244" t="n">
        <f aca="false" ca="false" dt2D="false" dtr="false" t="normal">+A341+1</f>
        <v>324</v>
      </c>
      <c r="B342" s="244" t="n">
        <f aca="false" ca="false" dt2D="false" dtr="false" t="normal">+B341+1</f>
        <v>136</v>
      </c>
      <c r="C342" s="7" t="s">
        <v>356</v>
      </c>
      <c r="D342" s="7" t="s">
        <v>502</v>
      </c>
      <c r="E342" s="9" t="n">
        <v>1964</v>
      </c>
      <c r="F342" s="9" t="n">
        <v>1964</v>
      </c>
      <c r="G342" s="9" t="s">
        <v>4</v>
      </c>
      <c r="H342" s="139" t="n">
        <v>3</v>
      </c>
      <c r="I342" s="139" t="n">
        <v>1</v>
      </c>
      <c r="J342" s="17" t="n">
        <v>998.5</v>
      </c>
      <c r="K342" s="17" t="n">
        <v>928.6</v>
      </c>
      <c r="L342" s="17" t="n">
        <v>69.9</v>
      </c>
      <c r="M342" s="140" t="n">
        <v>43</v>
      </c>
      <c r="N342" s="16" t="n">
        <f aca="false" ca="false" dt2D="false" dtr="false" t="normal">SUM(P342:T342)</f>
        <v>5428761.31</v>
      </c>
      <c r="O342" s="17" t="n"/>
      <c r="P342" s="18" t="n"/>
      <c r="Q342" s="18" t="n"/>
      <c r="R342" s="18" t="n">
        <v>597721.75</v>
      </c>
      <c r="S342" s="18" t="n">
        <v>4831039.56</v>
      </c>
      <c r="T342" s="18" t="n"/>
      <c r="U342" s="18" t="n">
        <v>30578.2000321602</v>
      </c>
      <c r="V342" s="18" t="n">
        <v>1368.283020064</v>
      </c>
      <c r="W342" s="212" t="n">
        <v>2023</v>
      </c>
      <c r="X342" s="103" t="n">
        <v>483296.11</v>
      </c>
      <c r="Y342" s="3" t="n">
        <f aca="false" ca="false" dt2D="false" dtr="false" t="normal">+(K342*10.5+L342*21)*12*0.85</f>
        <v>114425.64000000001</v>
      </c>
      <c r="Z342" s="3" t="n">
        <f aca="false" ca="false" dt2D="false" dtr="false" t="normal">+(K342*10.5+L342*21)*12*30</f>
        <v>4038552.000000001</v>
      </c>
      <c r="AB342" s="158" t="n">
        <f aca="false" ca="true" dt2D="false" dtr="false" t="normal">SUBTOTAL(9, AC342:AQ342)</f>
        <v>5428761.3100000005</v>
      </c>
      <c r="AC342" s="18" t="n"/>
      <c r="AD342" s="18" t="n"/>
      <c r="AE342" s="18" t="n"/>
      <c r="AF342" s="18" t="n"/>
      <c r="AG342" s="18" t="n"/>
      <c r="AH342" s="18" t="n"/>
      <c r="AI342" s="18" t="n"/>
      <c r="AJ342" s="18" t="n">
        <v>0</v>
      </c>
      <c r="AK342" s="18" t="n">
        <v>4587330.62</v>
      </c>
      <c r="AL342" s="18" t="n">
        <v>0</v>
      </c>
      <c r="AM342" s="18" t="n"/>
      <c r="AN342" s="18" t="n">
        <v>841430.69</v>
      </c>
      <c r="AO342" s="18" t="n"/>
      <c r="AP342" s="18" t="n"/>
      <c r="AQ342" s="24" t="n"/>
      <c r="AR342" s="3" t="n">
        <f aca="false" ca="false" dt2D="false" dtr="false" t="normal">N342-AB342</f>
        <v>0</v>
      </c>
    </row>
    <row outlineLevel="0" r="343">
      <c r="A343" s="244" t="n">
        <f aca="false" ca="false" dt2D="false" dtr="false" t="normal">+A342+1</f>
        <v>325</v>
      </c>
      <c r="B343" s="244" t="n">
        <f aca="false" ca="false" dt2D="false" dtr="false" t="normal">+B342+1</f>
        <v>137</v>
      </c>
      <c r="C343" s="7" t="s">
        <v>356</v>
      </c>
      <c r="D343" s="7" t="s">
        <v>622</v>
      </c>
      <c r="E343" s="9" t="n">
        <v>1976</v>
      </c>
      <c r="F343" s="9" t="n">
        <v>1976</v>
      </c>
      <c r="G343" s="9" t="s">
        <v>4</v>
      </c>
      <c r="H343" s="139" t="n">
        <v>5</v>
      </c>
      <c r="I343" s="139" t="n">
        <v>5</v>
      </c>
      <c r="J343" s="17" t="n">
        <v>3760.4</v>
      </c>
      <c r="K343" s="17" t="n">
        <v>2861.4</v>
      </c>
      <c r="L343" s="17" t="n">
        <v>798.2</v>
      </c>
      <c r="M343" s="140" t="n">
        <v>103</v>
      </c>
      <c r="N343" s="16" t="n">
        <f aca="false" ca="false" dt2D="false" dtr="false" t="normal">SUM(P343:T343)</f>
        <v>1345945.45</v>
      </c>
      <c r="O343" s="17" t="n"/>
      <c r="P343" s="18" t="n"/>
      <c r="Q343" s="18" t="n"/>
      <c r="R343" s="18" t="n">
        <v>294555.73</v>
      </c>
      <c r="S343" s="18" t="n">
        <v>1051389.72</v>
      </c>
      <c r="T343" s="18" t="n"/>
      <c r="U343" s="18" t="n">
        <v>12570.0152707284</v>
      </c>
      <c r="V343" s="18" t="n">
        <v>1376.283020064</v>
      </c>
      <c r="W343" s="212" t="n">
        <v>2023</v>
      </c>
      <c r="X343" s="103" t="n">
        <v>1678565.67</v>
      </c>
      <c r="Y343" s="3" t="n">
        <f aca="false" ca="false" dt2D="false" dtr="false" t="normal">+(K343*10.5+L343*21)*12*0.85</f>
        <v>477430.38</v>
      </c>
      <c r="Z343" s="3" t="n">
        <f aca="false" ca="false" dt2D="false" dtr="false" t="normal">+(K343*10.5+L343*21)*12*30</f>
        <v>16850484</v>
      </c>
      <c r="AB343" s="158" t="n">
        <f aca="false" ca="true" dt2D="false" dtr="false" t="normal">SUBTOTAL(9, AC343:AQ343)</f>
        <v>1345945.45</v>
      </c>
      <c r="AC343" s="18" t="n"/>
      <c r="AD343" s="18" t="n"/>
      <c r="AE343" s="18" t="n"/>
      <c r="AF343" s="18" t="n"/>
      <c r="AG343" s="18" t="n">
        <v>0</v>
      </c>
      <c r="AH343" s="18" t="n"/>
      <c r="AI343" s="18" t="n"/>
      <c r="AJ343" s="18" t="n">
        <v>0</v>
      </c>
      <c r="AK343" s="18" t="n"/>
      <c r="AL343" s="18" t="n"/>
      <c r="AM343" s="18" t="n"/>
      <c r="AN343" s="18" t="n">
        <v>1345945.45</v>
      </c>
      <c r="AO343" s="18" t="n"/>
      <c r="AP343" s="18" t="n"/>
      <c r="AQ343" s="24" t="n"/>
      <c r="AR343" s="3" t="n">
        <f aca="false" ca="false" dt2D="false" dtr="false" t="normal">N343-AB343</f>
        <v>0</v>
      </c>
    </row>
    <row outlineLevel="0" r="344">
      <c r="A344" s="244" t="n">
        <f aca="false" ca="false" dt2D="false" dtr="false" t="normal">+A343+1</f>
        <v>326</v>
      </c>
      <c r="B344" s="244" t="n">
        <f aca="false" ca="false" dt2D="false" dtr="false" t="normal">+B343+1</f>
        <v>138</v>
      </c>
      <c r="C344" s="245" t="s">
        <v>356</v>
      </c>
      <c r="D344" s="245" t="s">
        <v>509</v>
      </c>
      <c r="E344" s="9" t="n">
        <v>1967</v>
      </c>
      <c r="F344" s="9" t="n">
        <v>1967</v>
      </c>
      <c r="G344" s="9" t="s">
        <v>4</v>
      </c>
      <c r="H344" s="139" t="n">
        <v>3</v>
      </c>
      <c r="I344" s="139" t="n">
        <v>2</v>
      </c>
      <c r="J344" s="17" t="n">
        <v>994.3</v>
      </c>
      <c r="K344" s="17" t="n">
        <v>775.2</v>
      </c>
      <c r="L344" s="17" t="n">
        <v>168.7</v>
      </c>
      <c r="M344" s="140" t="n">
        <v>26</v>
      </c>
      <c r="N344" s="16" t="n">
        <f aca="false" ca="false" dt2D="false" dtr="false" t="normal">SUM(P344:T344)</f>
        <v>17534237.759999998</v>
      </c>
      <c r="O344" s="18" t="n"/>
      <c r="P344" s="18" t="n">
        <v>6263171.39</v>
      </c>
      <c r="Q344" s="18" t="n"/>
      <c r="R344" s="18" t="n">
        <v>283126.35</v>
      </c>
      <c r="S344" s="18" t="n">
        <v>10987940.02</v>
      </c>
      <c r="T344" s="18" t="n"/>
      <c r="U344" s="17" t="n">
        <v>20448.4354222008</v>
      </c>
      <c r="V344" s="17" t="n">
        <v>20448.4354222008</v>
      </c>
      <c r="W344" s="212" t="n">
        <v>2023</v>
      </c>
      <c r="X344" s="1" t="n">
        <v>373291.08</v>
      </c>
      <c r="Y344" s="3" t="n">
        <f aca="false" ca="false" dt2D="false" dtr="false" t="normal">+(K344*10+L344*20)*12*0.85</f>
        <v>113485.2</v>
      </c>
      <c r="Z344" s="3" t="n">
        <f aca="false" ca="false" dt2D="false" dtr="false" t="normal">+(K344*10+L344*20)*12*30</f>
        <v>4005360</v>
      </c>
      <c r="AB344" s="23" t="n">
        <f aca="false" ca="true" dt2D="false" dtr="false" t="normal">SUBTOTAL(9, AC344:AQ344)</f>
        <v>17534237.759999998</v>
      </c>
      <c r="AC344" s="18" t="n"/>
      <c r="AD344" s="18" t="n"/>
      <c r="AE344" s="18" t="n"/>
      <c r="AF344" s="18" t="n"/>
      <c r="AG344" s="18" t="n">
        <v>0</v>
      </c>
      <c r="AH344" s="18" t="n"/>
      <c r="AI344" s="18" t="n"/>
      <c r="AJ344" s="18" t="n">
        <v>0</v>
      </c>
      <c r="AK344" s="18" t="n">
        <v>8787135.97</v>
      </c>
      <c r="AL344" s="18" t="n">
        <v>0</v>
      </c>
      <c r="AM344" s="18" t="n">
        <v>8747101.79</v>
      </c>
      <c r="AN344" s="18" t="n"/>
      <c r="AO344" s="18" t="n"/>
      <c r="AP344" s="18" t="n"/>
      <c r="AQ344" s="24" t="n"/>
      <c r="AR344" s="3" t="n">
        <f aca="false" ca="false" dt2D="false" dtr="false" t="normal">N344-AB344</f>
        <v>0</v>
      </c>
    </row>
    <row outlineLevel="0" r="345">
      <c r="A345" s="244" t="n">
        <f aca="false" ca="false" dt2D="false" dtr="false" t="normal">+A344+1</f>
        <v>327</v>
      </c>
      <c r="B345" s="244" t="n">
        <f aca="false" ca="false" dt2D="false" dtr="false" t="normal">+B344+1</f>
        <v>139</v>
      </c>
      <c r="C345" s="245" t="s">
        <v>356</v>
      </c>
      <c r="D345" s="245" t="s">
        <v>510</v>
      </c>
      <c r="E345" s="9" t="n">
        <v>1970</v>
      </c>
      <c r="F345" s="9" t="n">
        <v>1970</v>
      </c>
      <c r="G345" s="9" t="s">
        <v>4</v>
      </c>
      <c r="H345" s="139" t="n">
        <v>3</v>
      </c>
      <c r="I345" s="139" t="n">
        <v>3</v>
      </c>
      <c r="J345" s="17" t="n">
        <v>1002.4</v>
      </c>
      <c r="K345" s="17" t="n">
        <v>930.4</v>
      </c>
      <c r="L345" s="17" t="n">
        <v>71.8</v>
      </c>
      <c r="M345" s="140" t="n">
        <v>40</v>
      </c>
      <c r="N345" s="16" t="n">
        <f aca="false" ca="false" dt2D="false" dtr="false" t="normal">SUM(P345:T345)</f>
        <v>12625636.219999999</v>
      </c>
      <c r="O345" s="18" t="n"/>
      <c r="P345" s="18" t="n">
        <v>7402149.08</v>
      </c>
      <c r="Q345" s="18" t="n"/>
      <c r="R345" s="18" t="n">
        <v>618572.46</v>
      </c>
      <c r="S345" s="18" t="n">
        <v>4604914.68</v>
      </c>
      <c r="T345" s="18" t="n"/>
      <c r="U345" s="18" t="n">
        <v>30704.5547820676</v>
      </c>
      <c r="V345" s="18" t="n">
        <v>1370.283020064</v>
      </c>
      <c r="W345" s="212" t="n">
        <v>2023</v>
      </c>
      <c r="X345" s="103" t="n">
        <v>503547.06</v>
      </c>
      <c r="Y345" s="3" t="n">
        <f aca="false" ca="false" dt2D="false" dtr="false" t="normal">+(K345*10.5+L345*21)*12*0.85</f>
        <v>115025.39999999997</v>
      </c>
      <c r="Z345" s="3" t="n">
        <f aca="false" ca="false" dt2D="false" dtr="false" t="normal">+(K345*10.5+L345*21)*12*30</f>
        <v>4059719.999999999</v>
      </c>
      <c r="AB345" s="158" t="n">
        <f aca="false" ca="true" dt2D="false" dtr="false" t="normal">SUBTOTAL(9, AC345:AQ345)</f>
        <v>12625636.22</v>
      </c>
      <c r="AC345" s="18" t="n"/>
      <c r="AD345" s="18" t="n"/>
      <c r="AE345" s="18" t="n"/>
      <c r="AF345" s="18" t="n"/>
      <c r="AG345" s="18" t="n">
        <v>0</v>
      </c>
      <c r="AH345" s="18" t="n"/>
      <c r="AI345" s="18" t="n"/>
      <c r="AJ345" s="18" t="n">
        <v>0</v>
      </c>
      <c r="AK345" s="18" t="n">
        <v>11687466.91</v>
      </c>
      <c r="AL345" s="18" t="n">
        <v>0</v>
      </c>
      <c r="AM345" s="18" t="n"/>
      <c r="AN345" s="18" t="n">
        <v>938169.31</v>
      </c>
      <c r="AO345" s="18" t="n"/>
      <c r="AP345" s="18" t="n"/>
      <c r="AQ345" s="24" t="n"/>
      <c r="AR345" s="3" t="n">
        <f aca="false" ca="false" dt2D="false" dtr="false" t="normal">N345-AB345</f>
        <v>0</v>
      </c>
    </row>
    <row outlineLevel="0" r="346">
      <c r="A346" s="244" t="n">
        <f aca="false" ca="false" dt2D="false" dtr="false" t="normal">+A345+1</f>
        <v>328</v>
      </c>
      <c r="B346" s="244" t="n">
        <f aca="false" ca="false" dt2D="false" dtr="false" t="normal">+B345+1</f>
        <v>140</v>
      </c>
      <c r="C346" s="245" t="s">
        <v>356</v>
      </c>
      <c r="D346" s="245" t="s">
        <v>623</v>
      </c>
      <c r="E346" s="9" t="n">
        <v>1975</v>
      </c>
      <c r="F346" s="9" t="n">
        <v>1975</v>
      </c>
      <c r="G346" s="9" t="s">
        <v>4</v>
      </c>
      <c r="H346" s="139" t="n">
        <v>4</v>
      </c>
      <c r="I346" s="139" t="n">
        <v>1</v>
      </c>
      <c r="J346" s="17" t="n">
        <v>1425.2</v>
      </c>
      <c r="K346" s="17" t="n">
        <v>1131.8</v>
      </c>
      <c r="L346" s="17" t="n">
        <v>129.9</v>
      </c>
      <c r="M346" s="140" t="n">
        <v>56</v>
      </c>
      <c r="N346" s="16" t="n">
        <f aca="false" ca="false" dt2D="false" dtr="false" t="normal">SUM(P346:T346)</f>
        <v>14985012.03</v>
      </c>
      <c r="O346" s="18" t="n"/>
      <c r="P346" s="18" t="n">
        <v>8246837.02849671</v>
      </c>
      <c r="Q346" s="18" t="n"/>
      <c r="R346" s="18" t="n">
        <v>873157.21</v>
      </c>
      <c r="S346" s="18" t="n">
        <v>5865017.79150329</v>
      </c>
      <c r="T346" s="18" t="n"/>
      <c r="U346" s="18" t="n">
        <v>12907.6391731851</v>
      </c>
      <c r="V346" s="18" t="n">
        <v>1379.283020064</v>
      </c>
      <c r="W346" s="212" t="n">
        <v>2023</v>
      </c>
      <c r="X346" s="103" t="n">
        <v>575076.49</v>
      </c>
      <c r="Y346" s="3" t="n">
        <f aca="false" ca="false" dt2D="false" dtr="false" t="normal">+(K346*10.5+L346*21)*12*0.85</f>
        <v>149040.36</v>
      </c>
      <c r="Z346" s="3" t="n">
        <f aca="false" ca="false" dt2D="false" dtr="false" t="normal">+(K346*10.5+L346*21)*12*30</f>
        <v>5260247.999999999</v>
      </c>
      <c r="AB346" s="158" t="n">
        <f aca="false" ca="true" dt2D="false" dtr="false" t="normal">SUBTOTAL(9, AC346:AQ346)</f>
        <v>14985012.030000001</v>
      </c>
      <c r="AC346" s="18" t="n">
        <v>3850862.68</v>
      </c>
      <c r="AD346" s="18" t="n">
        <v>1527090.45</v>
      </c>
      <c r="AE346" s="18" t="n">
        <v>1632419.86</v>
      </c>
      <c r="AF346" s="18" t="n">
        <v>1086100.56</v>
      </c>
      <c r="AG346" s="18" t="n">
        <v>0</v>
      </c>
      <c r="AH346" s="18" t="n"/>
      <c r="AI346" s="18" t="n"/>
      <c r="AJ346" s="18" t="n">
        <v>0</v>
      </c>
      <c r="AK346" s="18" t="n">
        <v>5722546.32</v>
      </c>
      <c r="AL346" s="18" t="n"/>
      <c r="AM346" s="18" t="n"/>
      <c r="AN346" s="18" t="n">
        <v>1165992.16</v>
      </c>
      <c r="AO346" s="18" t="n"/>
      <c r="AP346" s="18" t="n"/>
      <c r="AQ346" s="24" t="n"/>
      <c r="AR346" s="3" t="n">
        <f aca="false" ca="false" dt2D="false" dtr="false" t="normal">N346-AB346</f>
        <v>0</v>
      </c>
    </row>
    <row outlineLevel="0" r="347">
      <c r="A347" s="244" t="n">
        <f aca="false" ca="false" dt2D="false" dtr="false" t="normal">+A346+1</f>
        <v>329</v>
      </c>
      <c r="B347" s="244" t="n">
        <f aca="false" ca="false" dt2D="false" dtr="false" t="normal">+B346+1</f>
        <v>141</v>
      </c>
      <c r="C347" s="245" t="s">
        <v>356</v>
      </c>
      <c r="D347" s="245" t="s">
        <v>364</v>
      </c>
      <c r="E347" s="9" t="n">
        <v>1962</v>
      </c>
      <c r="F347" s="9" t="n">
        <v>1962</v>
      </c>
      <c r="G347" s="9" t="s">
        <v>4</v>
      </c>
      <c r="H347" s="139" t="n">
        <v>3</v>
      </c>
      <c r="I347" s="139" t="n">
        <v>2</v>
      </c>
      <c r="J347" s="17" t="n">
        <v>937.1</v>
      </c>
      <c r="K347" s="17" t="n">
        <v>723.7</v>
      </c>
      <c r="L347" s="17" t="n">
        <v>213.4</v>
      </c>
      <c r="M347" s="140" t="n">
        <v>26</v>
      </c>
      <c r="N347" s="16" t="n">
        <f aca="false" ca="false" dt2D="false" dtr="false" t="normal">SUM(P347:T347)</f>
        <v>9645371.620000001</v>
      </c>
      <c r="O347" s="18" t="n"/>
      <c r="P347" s="18" t="n">
        <v>5649280.01</v>
      </c>
      <c r="Q347" s="18" t="n"/>
      <c r="R347" s="18" t="n">
        <v>218510.12</v>
      </c>
      <c r="S347" s="18" t="n">
        <v>3777581.49</v>
      </c>
      <c r="T347" s="18" t="n"/>
      <c r="U347" s="17" t="n">
        <v>10649.2456602796</v>
      </c>
      <c r="V347" s="17" t="n">
        <v>10649.2456602796</v>
      </c>
      <c r="W347" s="212" t="n">
        <v>2023</v>
      </c>
      <c r="X347" s="12" t="n">
        <f aca="false" ca="false" dt2D="false" dtr="false" t="normal">294416.56-R152</f>
        <v>101159.12</v>
      </c>
      <c r="Y347" s="3" t="n">
        <f aca="false" ca="false" dt2D="false" dtr="false" t="normal">+(K347*10+L347*20)*12*0.85</f>
        <v>117351</v>
      </c>
      <c r="Z347" s="3" t="n">
        <f aca="false" ca="false" dt2D="false" dtr="false" t="normal">+(K347*10+L347*20)*12*30-S152</f>
        <v>3568730.1160512</v>
      </c>
      <c r="AB347" s="23" t="n">
        <f aca="false" ca="true" dt2D="false" dtr="false" t="normal">SUBTOTAL(9, AC347:AQ347)</f>
        <v>9645371.620000001</v>
      </c>
      <c r="AC347" s="18" t="n"/>
      <c r="AD347" s="18" t="n"/>
      <c r="AE347" s="18" t="n">
        <v>1203384.4</v>
      </c>
      <c r="AF347" s="18" t="n"/>
      <c r="AG347" s="18" t="n">
        <v>0</v>
      </c>
      <c r="AH347" s="18" t="n"/>
      <c r="AI347" s="18" t="n"/>
      <c r="AJ347" s="18" t="n">
        <v>0</v>
      </c>
      <c r="AK347" s="18" t="n"/>
      <c r="AL347" s="18" t="n">
        <v>0</v>
      </c>
      <c r="AM347" s="18" t="n">
        <v>8441987.22</v>
      </c>
      <c r="AN347" s="18" t="n"/>
      <c r="AO347" s="18" t="n"/>
      <c r="AP347" s="18" t="n"/>
      <c r="AQ347" s="24" t="n"/>
      <c r="AR347" s="3" t="n">
        <f aca="false" ca="false" dt2D="false" dtr="false" t="normal">N347-AB347</f>
        <v>0</v>
      </c>
    </row>
    <row outlineLevel="0" r="348">
      <c r="A348" s="244" t="n">
        <f aca="false" ca="false" dt2D="false" dtr="false" t="normal">+A347+1</f>
        <v>330</v>
      </c>
      <c r="B348" s="244" t="n">
        <f aca="false" ca="false" dt2D="false" dtr="false" t="normal">+B347+1</f>
        <v>142</v>
      </c>
      <c r="C348" s="245" t="s">
        <v>356</v>
      </c>
      <c r="D348" s="245" t="s">
        <v>625</v>
      </c>
      <c r="E348" s="9" t="n">
        <v>1973</v>
      </c>
      <c r="F348" s="9" t="n">
        <v>1973</v>
      </c>
      <c r="G348" s="9" t="s">
        <v>4</v>
      </c>
      <c r="H348" s="139" t="n">
        <v>4</v>
      </c>
      <c r="I348" s="139" t="n">
        <v>1</v>
      </c>
      <c r="J348" s="17" t="n">
        <v>1419.3</v>
      </c>
      <c r="K348" s="17" t="n">
        <v>1084.2</v>
      </c>
      <c r="L348" s="17" t="n">
        <v>165.8</v>
      </c>
      <c r="M348" s="140" t="n">
        <v>48</v>
      </c>
      <c r="N348" s="16" t="n">
        <f aca="false" ca="false" dt2D="false" dtr="false" t="normal">SUM(P348:T348)</f>
        <v>8377348.359999999</v>
      </c>
      <c r="O348" s="18" t="n"/>
      <c r="P348" s="18" t="n">
        <v>3311910.56</v>
      </c>
      <c r="Q348" s="18" t="n"/>
      <c r="R348" s="18" t="n">
        <v>829165.08</v>
      </c>
      <c r="S348" s="18" t="n">
        <v>4236272.72</v>
      </c>
      <c r="T348" s="18" t="n"/>
      <c r="U348" s="18" t="n">
        <v>11413.8305499995</v>
      </c>
      <c r="V348" s="18" t="n">
        <v>1373.283020064</v>
      </c>
      <c r="W348" s="212" t="n">
        <v>2023</v>
      </c>
      <c r="X348" s="103" t="n">
        <v>677532.9</v>
      </c>
      <c r="Y348" s="3" t="n">
        <f aca="false" ca="false" dt2D="false" dtr="false" t="normal">+(K348*10.5+L348*21)*12*0.85</f>
        <v>151632.18000000002</v>
      </c>
      <c r="Z348" s="3" t="n">
        <f aca="false" ca="false" dt2D="false" dtr="false" t="normal">+(K348*10.5+L348*21)*12*30</f>
        <v>5351724.000000001</v>
      </c>
      <c r="AB348" s="158" t="n">
        <f aca="false" ca="true" dt2D="false" dtr="false" t="normal">SUBTOTAL(9, AC348:AQ348)</f>
        <v>8377348.360000001</v>
      </c>
      <c r="AC348" s="18" t="n"/>
      <c r="AD348" s="18" t="n"/>
      <c r="AE348" s="18" t="n">
        <v>1619194.32</v>
      </c>
      <c r="AF348" s="18" t="n"/>
      <c r="AG348" s="18" t="n">
        <v>0</v>
      </c>
      <c r="AH348" s="18" t="n"/>
      <c r="AI348" s="18" t="n"/>
      <c r="AJ348" s="18" t="n">
        <v>0</v>
      </c>
      <c r="AK348" s="18" t="n">
        <v>5914808.48</v>
      </c>
      <c r="AL348" s="18" t="n">
        <v>0</v>
      </c>
      <c r="AM348" s="18" t="n">
        <v>0</v>
      </c>
      <c r="AN348" s="18" t="n">
        <v>843345.56</v>
      </c>
      <c r="AO348" s="18" t="n"/>
      <c r="AP348" s="18" t="n"/>
      <c r="AQ348" s="24" t="n"/>
      <c r="AR348" s="3" t="n">
        <f aca="false" ca="false" dt2D="false" dtr="false" t="normal">N348-AB348</f>
        <v>0</v>
      </c>
    </row>
    <row outlineLevel="0" r="349">
      <c r="A349" s="244" t="n">
        <f aca="false" ca="false" dt2D="false" dtr="false" t="normal">+A348+1</f>
        <v>331</v>
      </c>
      <c r="B349" s="244" t="n">
        <f aca="false" ca="false" dt2D="false" dtr="false" t="normal">+B348+1</f>
        <v>143</v>
      </c>
      <c r="C349" s="245" t="s">
        <v>93</v>
      </c>
      <c r="D349" s="245" t="s">
        <v>94</v>
      </c>
      <c r="E349" s="9" t="n">
        <v>1994</v>
      </c>
      <c r="F349" s="9" t="n">
        <v>2015</v>
      </c>
      <c r="G349" s="9" t="s">
        <v>4</v>
      </c>
      <c r="H349" s="139" t="n">
        <v>9</v>
      </c>
      <c r="I349" s="139" t="n">
        <v>4</v>
      </c>
      <c r="J349" s="17" t="n">
        <v>9059.3</v>
      </c>
      <c r="K349" s="17" t="n">
        <v>7958.2</v>
      </c>
      <c r="L349" s="17" t="n">
        <v>49</v>
      </c>
      <c r="M349" s="140" t="n">
        <v>376</v>
      </c>
      <c r="N349" s="16" t="n">
        <f aca="false" ca="false" dt2D="false" dtr="false" t="normal">SUM(P349:T349)</f>
        <v>7075919.609999999</v>
      </c>
      <c r="O349" s="18" t="n"/>
      <c r="P349" s="18" t="n">
        <v>4245695.27</v>
      </c>
      <c r="Q349" s="18" t="n"/>
      <c r="R349" s="18" t="n">
        <v>251488.14</v>
      </c>
      <c r="S349" s="18" t="n">
        <v>2578736.2</v>
      </c>
      <c r="T349" s="18" t="n"/>
      <c r="U349" s="18" t="n">
        <v>11258.2479020311</v>
      </c>
      <c r="V349" s="18" t="n">
        <v>1384.283020064</v>
      </c>
      <c r="W349" s="212" t="n">
        <v>2023</v>
      </c>
      <c r="X349" s="103" t="n">
        <f aca="false" ca="false" dt2D="false" dtr="false" t="normal">5650783.47-5939473.29</f>
        <v>-288689.8200000003</v>
      </c>
      <c r="Y349" s="3" t="n">
        <f aca="false" ca="false" dt2D="false" dtr="false" t="normal">+(K349*13.95+L349*23.65)*12*0.85</f>
        <v>1144192.548</v>
      </c>
      <c r="Z349" s="3" t="n">
        <f aca="false" ca="false" dt2D="false" dtr="false" t="normal">+(K349*13.95+L349*23.65)*12*30</f>
        <v>40383266.4</v>
      </c>
      <c r="AB349" s="158" t="n">
        <f aca="false" ca="true" dt2D="false" dtr="false" t="normal">SUBTOTAL(9, AC349:AQ349)</f>
        <v>7075919.609999999</v>
      </c>
      <c r="AC349" s="18" t="n"/>
      <c r="AD349" s="18" t="n"/>
      <c r="AE349" s="18" t="n">
        <v>6760576.64</v>
      </c>
      <c r="AF349" s="18" t="n"/>
      <c r="AG349" s="18" t="n">
        <v>0</v>
      </c>
      <c r="AH349" s="18" t="n"/>
      <c r="AI349" s="18" t="n"/>
      <c r="AJ349" s="18" t="n"/>
      <c r="AK349" s="18" t="n">
        <v>0</v>
      </c>
      <c r="AL349" s="18" t="n">
        <v>0</v>
      </c>
      <c r="AM349" s="18" t="n"/>
      <c r="AN349" s="18" t="n">
        <v>0</v>
      </c>
      <c r="AO349" s="18" t="n">
        <v>312485.83</v>
      </c>
      <c r="AP349" s="18" t="n">
        <v>2857.14</v>
      </c>
      <c r="AQ349" s="24" t="n"/>
      <c r="AR349" s="3" t="n">
        <f aca="false" ca="false" dt2D="false" dtr="false" t="normal">N349-AB349</f>
        <v>0</v>
      </c>
    </row>
    <row outlineLevel="0" r="350">
      <c r="A350" s="244" t="n">
        <f aca="false" ca="false" dt2D="false" dtr="false" t="normal">+A349+1</f>
        <v>332</v>
      </c>
      <c r="B350" s="244" t="n">
        <f aca="false" ca="false" dt2D="false" dtr="false" t="normal">+B349+1</f>
        <v>144</v>
      </c>
      <c r="C350" s="245" t="s">
        <v>93</v>
      </c>
      <c r="D350" s="245" t="s">
        <v>103</v>
      </c>
      <c r="E350" s="9" t="n">
        <v>1986</v>
      </c>
      <c r="F350" s="9" t="n">
        <v>2015</v>
      </c>
      <c r="G350" s="9" t="s">
        <v>4</v>
      </c>
      <c r="H350" s="139" t="n">
        <v>9</v>
      </c>
      <c r="I350" s="139" t="n">
        <v>1</v>
      </c>
      <c r="J350" s="17" t="n">
        <v>2147.3</v>
      </c>
      <c r="K350" s="17" t="n">
        <v>1765</v>
      </c>
      <c r="L350" s="17" t="n">
        <v>118.1</v>
      </c>
      <c r="M350" s="140" t="n">
        <v>71</v>
      </c>
      <c r="N350" s="16" t="n">
        <f aca="false" ca="false" dt2D="false" dtr="false" t="normal">SUM(P350:T350)</f>
        <v>2729687.92</v>
      </c>
      <c r="O350" s="18" t="n"/>
      <c r="P350" s="18" t="n">
        <v>1467769.69</v>
      </c>
      <c r="Q350" s="18" t="n"/>
      <c r="R350" s="18" t="n"/>
      <c r="S350" s="18" t="n">
        <v>1261918.23</v>
      </c>
      <c r="T350" s="18" t="n"/>
      <c r="U350" s="17" t="n">
        <v>10650.4915964548</v>
      </c>
      <c r="V350" s="17" t="n">
        <v>10650.4915964548</v>
      </c>
      <c r="W350" s="212" t="n">
        <v>2023</v>
      </c>
      <c r="X350" s="1" t="n">
        <v>1032655.91</v>
      </c>
      <c r="Y350" s="3" t="n">
        <f aca="false" ca="false" dt2D="false" dtr="false" t="normal">+(K350*13.29+L350*22.52)*12*0.85</f>
        <v>266387.9124</v>
      </c>
      <c r="Z350" s="3" t="n">
        <f aca="false" ca="false" dt2D="false" dtr="false" t="normal">+(K350*13.29+L350*22.52)*12*30</f>
        <v>9401926.32</v>
      </c>
      <c r="AB350" s="23" t="n">
        <f aca="false" ca="true" dt2D="false" dtr="false" t="normal">SUBTOTAL(9, AC350:AQ350)</f>
        <v>2729687.92</v>
      </c>
      <c r="AC350" s="18" t="n"/>
      <c r="AD350" s="18" t="n"/>
      <c r="AE350" s="18" t="n"/>
      <c r="AF350" s="18" t="n"/>
      <c r="AG350" s="18" t="n">
        <v>0</v>
      </c>
      <c r="AH350" s="18" t="n"/>
      <c r="AI350" s="18" t="n"/>
      <c r="AJ350" s="18" t="n">
        <v>0</v>
      </c>
      <c r="AK350" s="18" t="n"/>
      <c r="AL350" s="18" t="n">
        <v>0</v>
      </c>
      <c r="AM350" s="18" t="n">
        <v>0</v>
      </c>
      <c r="AN350" s="18" t="n">
        <v>2729687.92</v>
      </c>
      <c r="AO350" s="18" t="n"/>
      <c r="AP350" s="18" t="n"/>
      <c r="AQ350" s="24" t="n"/>
      <c r="AR350" s="3" t="n">
        <f aca="false" ca="false" dt2D="false" dtr="false" t="normal">N350-AB350</f>
        <v>0</v>
      </c>
    </row>
    <row outlineLevel="0" r="351">
      <c r="A351" s="244" t="n">
        <f aca="false" ca="false" dt2D="false" dtr="false" t="normal">+A350+1</f>
        <v>333</v>
      </c>
      <c r="B351" s="244" t="n">
        <f aca="false" ca="false" dt2D="false" dtr="false" t="normal">+B350+1</f>
        <v>145</v>
      </c>
      <c r="C351" s="245" t="s">
        <v>93</v>
      </c>
      <c r="D351" s="245" t="s">
        <v>106</v>
      </c>
      <c r="E351" s="9" t="n">
        <v>1991</v>
      </c>
      <c r="F351" s="9" t="n">
        <v>2015</v>
      </c>
      <c r="G351" s="9" t="s">
        <v>4</v>
      </c>
      <c r="H351" s="139" t="n">
        <v>9</v>
      </c>
      <c r="I351" s="139" t="n">
        <v>3</v>
      </c>
      <c r="J351" s="17" t="n">
        <v>6893.1</v>
      </c>
      <c r="K351" s="17" t="n">
        <v>6102.4</v>
      </c>
      <c r="L351" s="17" t="n">
        <v>65.5</v>
      </c>
      <c r="M351" s="140" t="n">
        <v>255</v>
      </c>
      <c r="N351" s="16" t="n">
        <f aca="false" ca="false" dt2D="false" dtr="false" t="normal">SUM(P351:T351)</f>
        <v>9222273.99</v>
      </c>
      <c r="O351" s="18" t="n"/>
      <c r="P351" s="18" t="n">
        <v>447896.65</v>
      </c>
      <c r="Q351" s="18" t="n"/>
      <c r="R351" s="18" t="n">
        <v>628802.37</v>
      </c>
      <c r="S351" s="18" t="n">
        <v>8145574.97</v>
      </c>
      <c r="T351" s="18" t="n"/>
      <c r="U351" s="17" t="n">
        <v>6681.58481325895</v>
      </c>
      <c r="V351" s="17" t="n">
        <v>6681.58481325895</v>
      </c>
      <c r="W351" s="212" t="n">
        <v>2023</v>
      </c>
      <c r="X351" s="12" t="n">
        <f aca="false" ca="false" dt2D="false" dtr="false" t="normal">3490024.25</f>
        <v>3490024.25</v>
      </c>
      <c r="Y351" s="3" t="n">
        <f aca="false" ca="false" dt2D="false" dtr="false" t="normal">+(K351*13.29+L351*22.52)*12*0.85</f>
        <v>842274.7511999998</v>
      </c>
      <c r="Z351" s="3" t="n">
        <f aca="false" ca="false" dt2D="false" dtr="false" t="normal">+(K351*13.29+L351*22.52)*12*30</f>
        <v>29727344.159999996</v>
      </c>
      <c r="AB351" s="23" t="n">
        <f aca="false" ca="true" dt2D="false" dtr="false" t="normal">SUBTOTAL(9, AC351:AQ351)</f>
        <v>9222273.99</v>
      </c>
      <c r="AC351" s="18" t="n"/>
      <c r="AE351" s="18" t="n"/>
      <c r="AF351" s="18" t="n"/>
      <c r="AG351" s="18" t="n"/>
      <c r="AH351" s="18" t="n"/>
      <c r="AI351" s="18" t="n"/>
      <c r="AJ351" s="18" t="n">
        <v>0</v>
      </c>
      <c r="AK351" s="18" t="n"/>
      <c r="AL351" s="18" t="n">
        <v>0</v>
      </c>
      <c r="AM351" s="18" t="n"/>
      <c r="AN351" s="18" t="n">
        <v>9222273.99</v>
      </c>
      <c r="AO351" s="18" t="n"/>
      <c r="AP351" s="18" t="n"/>
      <c r="AQ351" s="24" t="n"/>
      <c r="AR351" s="3" t="n">
        <f aca="false" ca="false" dt2D="false" dtr="false" t="normal">N351-AB351</f>
        <v>0</v>
      </c>
    </row>
    <row outlineLevel="0" r="352">
      <c r="A352" s="244" t="n">
        <f aca="false" ca="false" dt2D="false" dtr="false" t="normal">+A351+1</f>
        <v>334</v>
      </c>
      <c r="B352" s="244" t="n">
        <f aca="false" ca="false" dt2D="false" dtr="false" t="normal">+B351+1</f>
        <v>146</v>
      </c>
      <c r="C352" s="7" t="s">
        <v>93</v>
      </c>
      <c r="D352" s="7" t="s">
        <v>387</v>
      </c>
      <c r="E352" s="9" t="n">
        <v>1992</v>
      </c>
      <c r="F352" s="9" t="n">
        <v>2015</v>
      </c>
      <c r="G352" s="9" t="s">
        <v>4</v>
      </c>
      <c r="H352" s="139" t="n">
        <v>9</v>
      </c>
      <c r="I352" s="139" t="n">
        <v>3</v>
      </c>
      <c r="J352" s="17" t="n">
        <v>6872</v>
      </c>
      <c r="K352" s="17" t="n">
        <v>6094.4</v>
      </c>
      <c r="L352" s="17" t="n">
        <v>0</v>
      </c>
      <c r="M352" s="140" t="n">
        <v>259</v>
      </c>
      <c r="N352" s="16" t="n">
        <f aca="false" ca="false" dt2D="false" dtr="false" t="normal">SUM(P352:T352)</f>
        <v>7376207.09</v>
      </c>
      <c r="O352" s="17" t="n"/>
      <c r="P352" s="18" t="n"/>
      <c r="Q352" s="18" t="n"/>
      <c r="R352" s="18" t="n">
        <v>1484681.69</v>
      </c>
      <c r="S352" s="18" t="n">
        <v>5891525.4</v>
      </c>
      <c r="T352" s="18" t="n">
        <v>0</v>
      </c>
      <c r="U352" s="17" t="n">
        <v>1247.63598164277</v>
      </c>
      <c r="V352" s="17" t="n">
        <v>1247.63598164277</v>
      </c>
      <c r="W352" s="212" t="n">
        <v>2023</v>
      </c>
      <c r="X352" s="12" t="n">
        <f aca="false" ca="false" dt2D="false" dtr="false" t="normal">3336709.09-263343.45-R164</f>
        <v>3073365.6399999997</v>
      </c>
      <c r="Y352" s="3" t="n">
        <f aca="false" ca="false" dt2D="false" dtr="false" t="normal">+(K352*13.29+L352*22.52)*12*0.85</f>
        <v>826144.6751999998</v>
      </c>
      <c r="Z352" s="3" t="n">
        <f aca="false" ca="false" dt2D="false" dtr="false" t="normal">+(K352*13.29+L352*22.52)*12*30-1442656.44</f>
        <v>27715390.91999999</v>
      </c>
      <c r="AB352" s="23" t="n">
        <f aca="false" ca="true" dt2D="false" dtr="false" t="normal">SUBTOTAL(9, AC352:AQ352)</f>
        <v>7376207.09</v>
      </c>
      <c r="AC352" s="18" t="n">
        <v>7298871.85</v>
      </c>
      <c r="AD352" s="18" t="n"/>
      <c r="AE352" s="18" t="n"/>
      <c r="AF352" s="18" t="n"/>
      <c r="AG352" s="18" t="n"/>
      <c r="AH352" s="18" t="n"/>
      <c r="AI352" s="18" t="n"/>
      <c r="AJ352" s="18" t="n">
        <v>0</v>
      </c>
      <c r="AK352" s="18" t="n">
        <v>0</v>
      </c>
      <c r="AL352" s="18" t="n">
        <v>0</v>
      </c>
      <c r="AM352" s="18" t="n">
        <v>0</v>
      </c>
      <c r="AN352" s="18" t="n"/>
      <c r="AO352" s="18" t="n"/>
      <c r="AP352" s="18" t="n"/>
      <c r="AQ352" s="156" t="n">
        <v>77335.24</v>
      </c>
      <c r="AR352" s="3" t="n">
        <f aca="false" ca="false" dt2D="false" dtr="false" t="normal">N352-AB352</f>
        <v>0</v>
      </c>
    </row>
    <row outlineLevel="0" r="353">
      <c r="A353" s="5" t="n">
        <f aca="false" ca="false" dt2D="false" dtr="false" t="normal">+A352+1</f>
        <v>335</v>
      </c>
      <c r="B353" s="159" t="n">
        <f aca="false" ca="false" dt2D="false" dtr="false" t="normal">+B352+1</f>
        <v>147</v>
      </c>
      <c r="C353" s="6" t="s">
        <v>93</v>
      </c>
      <c r="D353" s="6" t="s">
        <v>386</v>
      </c>
      <c r="E353" s="139" t="n">
        <v>1989</v>
      </c>
      <c r="F353" s="139" t="n">
        <v>2015</v>
      </c>
      <c r="G353" s="139" t="s">
        <v>4</v>
      </c>
      <c r="H353" s="139" t="n">
        <v>9</v>
      </c>
      <c r="I353" s="139" t="n">
        <v>4</v>
      </c>
      <c r="J353" s="17" t="n">
        <v>9199.3</v>
      </c>
      <c r="K353" s="17" t="n">
        <v>8072</v>
      </c>
      <c r="L353" s="17" t="n">
        <v>65.6</v>
      </c>
      <c r="M353" s="140" t="n">
        <v>366</v>
      </c>
      <c r="N353" s="16" t="n">
        <f aca="false" ca="false" dt2D="false" dtr="false" t="normal">SUM(P353:T353)</f>
        <v>28409546.35</v>
      </c>
      <c r="O353" s="18" t="n"/>
      <c r="P353" s="18" t="n">
        <v>9810640.42</v>
      </c>
      <c r="Q353" s="18" t="n"/>
      <c r="R353" s="18" t="n">
        <v>4700408.8284</v>
      </c>
      <c r="S353" s="18" t="n">
        <v>13898497.1016</v>
      </c>
      <c r="T353" s="18" t="n"/>
      <c r="U353" s="17" t="n">
        <v>4310.75770242135</v>
      </c>
      <c r="V353" s="17" t="n">
        <v>4310.75770242135</v>
      </c>
      <c r="W353" s="212" t="n">
        <v>2023</v>
      </c>
      <c r="X353" s="1" t="n">
        <v>4641267.93</v>
      </c>
      <c r="Y353" s="3" t="n">
        <f aca="false" ca="false" dt2D="false" dtr="false" t="normal">+(K353*13.29+L353*22.52)*12*0.85</f>
        <v>1109292.7584</v>
      </c>
      <c r="Z353" s="3" t="n">
        <f aca="false" ca="false" dt2D="false" dtr="false" t="normal">+(K353*13.29+L353*22.52)*12*30-Z163</f>
        <v>14473887.709999997</v>
      </c>
      <c r="AB353" s="23" t="n">
        <f aca="false" ca="true" dt2D="false" dtr="false" t="normal">SUBTOTAL(9, AC353:AQ353)</f>
        <v>28409546.349999998</v>
      </c>
      <c r="AC353" s="18" t="n">
        <v>16253478.92</v>
      </c>
      <c r="AD353" s="18" t="n"/>
      <c r="AE353" s="18" t="n">
        <v>5982768.16</v>
      </c>
      <c r="AF353" s="18" t="n">
        <v>6173299.27</v>
      </c>
      <c r="AG353" s="18" t="n">
        <v>0</v>
      </c>
      <c r="AH353" s="18" t="n"/>
      <c r="AI353" s="18" t="n"/>
      <c r="AJ353" s="18" t="n">
        <v>0</v>
      </c>
      <c r="AK353" s="18" t="n">
        <v>0</v>
      </c>
      <c r="AL353" s="18" t="n">
        <v>0</v>
      </c>
      <c r="AM353" s="18" t="n">
        <v>0</v>
      </c>
      <c r="AN353" s="18" t="n"/>
      <c r="AO353" s="18" t="n"/>
      <c r="AP353" s="18" t="n"/>
      <c r="AQ353" s="24" t="n"/>
      <c r="AR353" s="3" t="n">
        <f aca="false" ca="false" dt2D="false" dtr="false" t="normal">N353-AB353</f>
        <v>0</v>
      </c>
    </row>
    <row outlineLevel="0" r="354">
      <c r="A354" s="5" t="n">
        <f aca="false" ca="false" dt2D="false" dtr="false" t="normal">+A353+1</f>
        <v>336</v>
      </c>
      <c r="B354" s="159" t="n">
        <f aca="false" ca="false" dt2D="false" dtr="false" t="normal">+B353+1</f>
        <v>148</v>
      </c>
      <c r="C354" s="138" t="s">
        <v>93</v>
      </c>
      <c r="D354" s="138" t="s">
        <v>112</v>
      </c>
      <c r="E354" s="139" t="n">
        <v>1993</v>
      </c>
      <c r="F354" s="139" t="n">
        <v>2014</v>
      </c>
      <c r="G354" s="139" t="s">
        <v>4</v>
      </c>
      <c r="H354" s="139" t="n">
        <v>9</v>
      </c>
      <c r="I354" s="139" t="n">
        <v>1</v>
      </c>
      <c r="J354" s="17" t="n">
        <v>2553.4</v>
      </c>
      <c r="K354" s="17" t="n">
        <v>2128.8</v>
      </c>
      <c r="L354" s="17" t="n">
        <v>0</v>
      </c>
      <c r="M354" s="140" t="n">
        <v>78</v>
      </c>
      <c r="N354" s="16" t="n">
        <f aca="false" ca="false" dt2D="false" dtr="false" t="normal">SUM(P354:T354)</f>
        <v>2120543.06</v>
      </c>
      <c r="O354" s="17" t="n"/>
      <c r="P354" s="18" t="n"/>
      <c r="Q354" s="18" t="n"/>
      <c r="R354" s="18" t="n">
        <v>597799.18</v>
      </c>
      <c r="S354" s="18" t="n">
        <v>1522743.88</v>
      </c>
      <c r="T354" s="18" t="n"/>
      <c r="U354" s="17" t="n">
        <v>10063.5427054129</v>
      </c>
      <c r="V354" s="17" t="n">
        <v>10063.5427054129</v>
      </c>
      <c r="W354" s="212" t="n">
        <v>2023</v>
      </c>
      <c r="X354" s="1" t="n">
        <f aca="false" ca="false" dt2D="false" dtr="false" t="normal">1103126.79-79353.74-714183.7328</f>
        <v>309589.31720000005</v>
      </c>
      <c r="Y354" s="3" t="n">
        <f aca="false" ca="false" dt2D="false" dtr="false" t="normal">+(K354*13.29+L354*22.52)*12*0.85</f>
        <v>288575.87039999996</v>
      </c>
      <c r="Z354" s="3" t="n">
        <f aca="false" ca="false" dt2D="false" dtr="false" t="normal">+(K354*13.95+L354*23.65)*12*30-300950.5-2600695.91</f>
        <v>7789187.1899999995</v>
      </c>
      <c r="AB354" s="23" t="n">
        <f aca="false" ca="true" dt2D="false" dtr="false" t="normal">SUBTOTAL(9, AC354:AQ354)</f>
        <v>2120543.06</v>
      </c>
      <c r="AC354" s="18" t="n"/>
      <c r="AD354" s="18" t="n"/>
      <c r="AE354" s="18" t="n"/>
      <c r="AF354" s="18" t="n"/>
      <c r="AG354" s="18" t="n"/>
      <c r="AH354" s="18" t="n"/>
      <c r="AI354" s="18" t="n"/>
      <c r="AJ354" s="18" t="n">
        <v>0</v>
      </c>
      <c r="AK354" s="18" t="n">
        <v>0</v>
      </c>
      <c r="AL354" s="18" t="n">
        <v>0</v>
      </c>
      <c r="AM354" s="18" t="n">
        <v>2120543.06</v>
      </c>
      <c r="AN354" s="18" t="n"/>
      <c r="AO354" s="18" t="n"/>
      <c r="AP354" s="18" t="n"/>
      <c r="AQ354" s="24" t="n"/>
      <c r="AR354" s="3" t="n">
        <f aca="false" ca="false" dt2D="false" dtr="false" t="normal">N354-AB354</f>
        <v>0</v>
      </c>
    </row>
    <row outlineLevel="0" r="355">
      <c r="A355" s="5" t="n">
        <f aca="false" ca="false" dt2D="false" dtr="false" t="normal">+A354+1</f>
        <v>337</v>
      </c>
      <c r="B355" s="159" t="n">
        <f aca="false" ca="false" dt2D="false" dtr="false" t="normal">+B354+1</f>
        <v>149</v>
      </c>
      <c r="C355" s="6" t="s">
        <v>114</v>
      </c>
      <c r="D355" s="6" t="s">
        <v>115</v>
      </c>
      <c r="E355" s="139" t="n">
        <v>1987</v>
      </c>
      <c r="F355" s="139" t="n">
        <v>1987</v>
      </c>
      <c r="G355" s="139" t="s">
        <v>4</v>
      </c>
      <c r="H355" s="139" t="n">
        <v>5</v>
      </c>
      <c r="I355" s="139" t="n">
        <v>4</v>
      </c>
      <c r="J355" s="17" t="n">
        <v>4891.4</v>
      </c>
      <c r="K355" s="17" t="n">
        <v>4293.1</v>
      </c>
      <c r="L355" s="17" t="n">
        <v>598.3</v>
      </c>
      <c r="M355" s="140" t="n">
        <v>199</v>
      </c>
      <c r="N355" s="16" t="n">
        <f aca="false" ca="false" dt2D="false" dtr="false" t="normal">SUM(P355:T355)</f>
        <v>9484647.870000001</v>
      </c>
      <c r="O355" s="18" t="n"/>
      <c r="P355" s="18" t="n">
        <v>2103466.32</v>
      </c>
      <c r="Q355" s="18" t="n"/>
      <c r="R355" s="18" t="n">
        <v>1451302.02</v>
      </c>
      <c r="S355" s="18" t="n">
        <v>5929879.53</v>
      </c>
      <c r="T355" s="18" t="n"/>
      <c r="U355" s="17" t="n">
        <v>5890.98496186998</v>
      </c>
      <c r="V355" s="17" t="n">
        <v>5890.98496186998</v>
      </c>
      <c r="W355" s="212" t="n">
        <v>2023</v>
      </c>
      <c r="X355" s="1" t="n">
        <v>2008581.69</v>
      </c>
      <c r="Y355" s="3" t="n">
        <f aca="false" ca="false" dt2D="false" dtr="false" t="normal">+(K355*10+L355*20)*12*0.85</f>
        <v>559949.4</v>
      </c>
      <c r="Z355" s="3" t="n">
        <f aca="false" ca="false" dt2D="false" dtr="false" t="normal">+(K355*10+L355*20)*12*30</f>
        <v>19762920</v>
      </c>
      <c r="AB355" s="23" t="n">
        <f aca="false" ca="true" dt2D="false" dtr="false" t="normal">SUBTOTAL(9, AC355:AQ355)</f>
        <v>9484647.87</v>
      </c>
      <c r="AC355" s="18" t="n"/>
      <c r="AD355" s="18" t="n"/>
      <c r="AE355" s="18" t="n"/>
      <c r="AF355" s="18" t="n"/>
      <c r="AG355" s="18" t="n"/>
      <c r="AH355" s="18" t="n"/>
      <c r="AI355" s="18" t="n"/>
      <c r="AJ355" s="18" t="n">
        <v>0</v>
      </c>
      <c r="AK355" s="18" t="n">
        <v>9484647.87</v>
      </c>
      <c r="AL355" s="18" t="n">
        <v>0</v>
      </c>
      <c r="AM355" s="18" t="n">
        <v>0</v>
      </c>
      <c r="AN355" s="18" t="n">
        <v>0</v>
      </c>
      <c r="AO355" s="18" t="n"/>
      <c r="AP355" s="18" t="n"/>
      <c r="AQ355" s="24" t="n"/>
      <c r="AR355" s="3" t="n">
        <f aca="false" ca="false" dt2D="false" dtr="false" t="normal">N355-AB355</f>
        <v>0</v>
      </c>
    </row>
    <row outlineLevel="0" r="356">
      <c r="A356" s="5" t="n">
        <f aca="false" ca="false" dt2D="false" dtr="false" t="normal">+A355+1</f>
        <v>338</v>
      </c>
      <c r="B356" s="159" t="n">
        <f aca="false" ca="false" dt2D="false" dtr="false" t="normal">+B355+1</f>
        <v>150</v>
      </c>
      <c r="C356" s="6" t="s">
        <v>133</v>
      </c>
      <c r="D356" s="6" t="s">
        <v>537</v>
      </c>
      <c r="E356" s="139" t="n">
        <v>1992</v>
      </c>
      <c r="F356" s="139" t="n">
        <v>2013</v>
      </c>
      <c r="G356" s="139" t="s">
        <v>4</v>
      </c>
      <c r="H356" s="139" t="n">
        <v>5</v>
      </c>
      <c r="I356" s="139" t="n">
        <v>3</v>
      </c>
      <c r="J356" s="17" t="n">
        <v>3334.6</v>
      </c>
      <c r="K356" s="17" t="n">
        <v>2949.9</v>
      </c>
      <c r="L356" s="17" t="n">
        <v>0</v>
      </c>
      <c r="M356" s="140" t="n">
        <v>91</v>
      </c>
      <c r="N356" s="16" t="n">
        <f aca="false" ca="false" dt2D="false" dtr="false" t="normal">SUM(P356:T356)</f>
        <v>1830078.26</v>
      </c>
      <c r="O356" s="18" t="n"/>
      <c r="P356" s="18" t="n">
        <v>931184.89</v>
      </c>
      <c r="Q356" s="18" t="n"/>
      <c r="R356" s="18" t="n">
        <v>243415.1</v>
      </c>
      <c r="S356" s="18" t="n">
        <v>655478.27</v>
      </c>
      <c r="T356" s="18" t="n"/>
      <c r="U356" s="17" t="n">
        <v>6090.189213932</v>
      </c>
      <c r="V356" s="17" t="n">
        <v>6090.189213932</v>
      </c>
      <c r="W356" s="212" t="n">
        <v>2023</v>
      </c>
      <c r="X356" s="1" t="n">
        <v>1192628.99</v>
      </c>
      <c r="Y356" s="3" t="n">
        <f aca="false" ca="false" dt2D="false" dtr="false" t="normal">+(K356*10+L356*20)*12*0.85</f>
        <v>300889.8</v>
      </c>
      <c r="Z356" s="3" t="n">
        <f aca="false" ca="false" dt2D="false" dtr="false" t="normal">+(K356*10+L356*20)*12*30</f>
        <v>10619640</v>
      </c>
      <c r="AB356" s="23" t="n">
        <f aca="false" ca="true" dt2D="false" dtr="false" t="normal">SUBTOTAL(9, AC356:AQ356)</f>
        <v>1830078.26</v>
      </c>
      <c r="AC356" s="18" t="n"/>
      <c r="AD356" s="18" t="n"/>
      <c r="AE356" s="18" t="n">
        <v>1830078.26</v>
      </c>
      <c r="AF356" s="18" t="n"/>
      <c r="AG356" s="18" t="n">
        <v>0</v>
      </c>
      <c r="AH356" s="18" t="n"/>
      <c r="AI356" s="18" t="n"/>
      <c r="AJ356" s="18" t="n">
        <v>0</v>
      </c>
      <c r="AK356" s="18" t="n">
        <v>0</v>
      </c>
      <c r="AL356" s="18" t="n">
        <v>0</v>
      </c>
      <c r="AM356" s="18" t="n"/>
      <c r="AN356" s="18" t="n">
        <v>0</v>
      </c>
      <c r="AO356" s="18" t="n"/>
      <c r="AP356" s="18" t="n"/>
      <c r="AQ356" s="24" t="n"/>
      <c r="AR356" s="3" t="n">
        <f aca="false" ca="false" dt2D="false" dtr="false" t="normal">N356-AB356</f>
        <v>0</v>
      </c>
    </row>
    <row customFormat="true" ht="15" outlineLevel="0" r="357" s="184">
      <c r="A357" s="5" t="n">
        <f aca="false" ca="false" dt2D="false" dtr="false" t="normal">+A356+1</f>
        <v>339</v>
      </c>
      <c r="B357" s="159" t="n">
        <f aca="false" ca="false" dt2D="false" dtr="false" t="normal">+B356+1</f>
        <v>151</v>
      </c>
      <c r="C357" s="138" t="s">
        <v>541</v>
      </c>
      <c r="D357" s="138" t="s">
        <v>635</v>
      </c>
      <c r="E357" s="139" t="s">
        <v>187</v>
      </c>
      <c r="F357" s="139" t="s">
        <v>187</v>
      </c>
      <c r="G357" s="139" t="s">
        <v>4</v>
      </c>
      <c r="H357" s="139" t="s">
        <v>159</v>
      </c>
      <c r="I357" s="139" t="s">
        <v>159</v>
      </c>
      <c r="J357" s="17" t="n">
        <v>2120.65</v>
      </c>
      <c r="K357" s="17" t="n">
        <v>1602.1</v>
      </c>
      <c r="L357" s="17" t="n">
        <v>58.3</v>
      </c>
      <c r="M357" s="140" t="n">
        <v>76</v>
      </c>
      <c r="N357" s="16" t="n">
        <f aca="false" ca="false" dt2D="false" dtr="false" t="normal">SUM(P357:T357)</f>
        <v>2603999.18</v>
      </c>
      <c r="O357" s="17" t="n">
        <v>0</v>
      </c>
      <c r="P357" s="18" t="n"/>
      <c r="Q357" s="18" t="n">
        <v>0</v>
      </c>
      <c r="R357" s="18" t="n">
        <v>871473.58</v>
      </c>
      <c r="S357" s="18" t="n">
        <v>1732525.6</v>
      </c>
      <c r="T357" s="18" t="n"/>
      <c r="U357" s="18" t="n">
        <v>3846.18432113346</v>
      </c>
      <c r="V357" s="18" t="n">
        <v>1413.283020064</v>
      </c>
      <c r="W357" s="212" t="n">
        <v>2023</v>
      </c>
      <c r="X357" s="103" t="n">
        <v>687400.81</v>
      </c>
      <c r="Y357" s="3" t="n">
        <f aca="false" ca="false" dt2D="false" dtr="false" t="normal">+(K357*10.5+L357*21)*12*0.85</f>
        <v>184072.77</v>
      </c>
      <c r="Z357" s="3" t="n">
        <f aca="false" ca="false" dt2D="false" dtr="false" t="normal">+(K357*10.5+L357*21)*12*30</f>
        <v>6496685.999999999</v>
      </c>
      <c r="AA357" s="3" t="n"/>
      <c r="AB357" s="23" t="n">
        <f aca="false" ca="true" dt2D="false" dtr="false" t="normal">SUBTOTAL(9, AC357:AQ357)</f>
        <v>2603999.18</v>
      </c>
      <c r="AC357" s="18" t="n"/>
      <c r="AD357" s="18" t="n">
        <v>751912.8</v>
      </c>
      <c r="AE357" s="18" t="n">
        <v>1650658.8</v>
      </c>
      <c r="AF357" s="18" t="n"/>
      <c r="AG357" s="18" t="n">
        <v>0</v>
      </c>
      <c r="AH357" s="18" t="n"/>
      <c r="AI357" s="18" t="n"/>
      <c r="AJ357" s="18" t="n"/>
      <c r="AK357" s="18" t="n"/>
      <c r="AL357" s="18" t="n"/>
      <c r="AM357" s="18" t="n"/>
      <c r="AN357" s="18" t="n"/>
      <c r="AO357" s="18" t="n">
        <v>196427.58</v>
      </c>
      <c r="AP357" s="18" t="n">
        <v>5000</v>
      </c>
      <c r="AQ357" s="24" t="n"/>
      <c r="AR357" s="3" t="n">
        <f aca="false" ca="false" dt2D="false" dtr="false" t="normal">N357-AB357</f>
        <v>0</v>
      </c>
      <c r="AT357" s="187" t="n"/>
    </row>
    <row customFormat="true" ht="15" outlineLevel="0" r="358" s="184">
      <c r="A358" s="5" t="n">
        <f aca="false" ca="false" dt2D="false" dtr="false" t="normal">+A357+1</f>
        <v>340</v>
      </c>
      <c r="B358" s="159" t="n">
        <f aca="false" ca="false" dt2D="false" dtr="false" t="normal">+B357+1</f>
        <v>152</v>
      </c>
      <c r="C358" s="6" t="s">
        <v>541</v>
      </c>
      <c r="D358" s="6" t="s">
        <v>637</v>
      </c>
      <c r="E358" s="139" t="s">
        <v>187</v>
      </c>
      <c r="F358" s="139" t="s">
        <v>187</v>
      </c>
      <c r="G358" s="139" t="s">
        <v>4</v>
      </c>
      <c r="H358" s="139" t="s">
        <v>159</v>
      </c>
      <c r="I358" s="139" t="s">
        <v>159</v>
      </c>
      <c r="J358" s="17" t="n">
        <v>2747.6</v>
      </c>
      <c r="K358" s="17" t="n">
        <v>2270.63</v>
      </c>
      <c r="L358" s="17" t="n">
        <v>217.6</v>
      </c>
      <c r="M358" s="140" t="n">
        <v>95</v>
      </c>
      <c r="N358" s="16" t="n">
        <f aca="false" ca="false" dt2D="false" dtr="false" t="normal">SUM(P358:T358)</f>
        <v>6615764.220000001</v>
      </c>
      <c r="O358" s="18" t="n">
        <v>0</v>
      </c>
      <c r="P358" s="18" t="n">
        <v>914621.28</v>
      </c>
      <c r="Q358" s="18" t="n">
        <v>0</v>
      </c>
      <c r="R358" s="18" t="n">
        <v>1168307.843</v>
      </c>
      <c r="S358" s="18" t="n">
        <v>4532835.097</v>
      </c>
      <c r="T358" s="18" t="n"/>
      <c r="U358" s="18" t="n">
        <v>3258.73462377116</v>
      </c>
      <c r="V358" s="18" t="n">
        <v>1414.283020064</v>
      </c>
      <c r="W358" s="212" t="n">
        <v>2023</v>
      </c>
      <c r="X358" s="103" t="n">
        <v>878513.45</v>
      </c>
      <c r="Y358" s="3" t="n">
        <f aca="false" ca="false" dt2D="false" dtr="false" t="normal">+(K358*10.5+L358*21)*12*0.85</f>
        <v>289794.393</v>
      </c>
      <c r="Z358" s="3" t="n">
        <f aca="false" ca="false" dt2D="false" dtr="false" t="normal">+(K358*10.5+L358*21)*12*30</f>
        <v>10228037.4</v>
      </c>
      <c r="AA358" s="3" t="n"/>
      <c r="AB358" s="23" t="n">
        <f aca="false" ca="true" dt2D="false" dtr="false" t="normal">SUBTOTAL(9, AC358:AQ358)</f>
        <v>6615764.22</v>
      </c>
      <c r="AC358" s="18" t="n">
        <v>3671016.16</v>
      </c>
      <c r="AD358" s="18" t="n">
        <v>553302</v>
      </c>
      <c r="AE358" s="18" t="n">
        <v>1993290</v>
      </c>
      <c r="AF358" s="18" t="n"/>
      <c r="AG358" s="18" t="n"/>
      <c r="AH358" s="18" t="n"/>
      <c r="AI358" s="18" t="n"/>
      <c r="AJ358" s="18" t="n"/>
      <c r="AK358" s="18" t="n"/>
      <c r="AL358" s="18" t="n"/>
      <c r="AM358" s="18" t="n"/>
      <c r="AN358" s="18" t="n"/>
      <c r="AO358" s="18" t="n">
        <v>390656.06</v>
      </c>
      <c r="AP358" s="18" t="n">
        <v>7500</v>
      </c>
      <c r="AQ358" s="24" t="n"/>
      <c r="AR358" s="3" t="n">
        <f aca="false" ca="false" dt2D="false" dtr="false" t="normal">N358-AB358</f>
        <v>0</v>
      </c>
      <c r="AT358" s="187" t="n"/>
    </row>
    <row customFormat="true" ht="15" outlineLevel="0" r="359" s="184">
      <c r="A359" s="5" t="n">
        <f aca="false" ca="false" dt2D="false" dtr="false" t="normal">+A358+1</f>
        <v>341</v>
      </c>
      <c r="B359" s="159" t="n">
        <f aca="false" ca="false" dt2D="false" dtr="false" t="normal">+B358+1</f>
        <v>153</v>
      </c>
      <c r="C359" s="6" t="s">
        <v>541</v>
      </c>
      <c r="D359" s="6" t="s">
        <v>639</v>
      </c>
      <c r="E359" s="139" t="s">
        <v>471</v>
      </c>
      <c r="F359" s="139" t="s">
        <v>471</v>
      </c>
      <c r="G359" s="139" t="s">
        <v>4</v>
      </c>
      <c r="H359" s="139" t="s">
        <v>159</v>
      </c>
      <c r="I359" s="139" t="s">
        <v>159</v>
      </c>
      <c r="J359" s="17" t="n">
        <v>2879</v>
      </c>
      <c r="K359" s="17" t="n">
        <v>2169.3</v>
      </c>
      <c r="L359" s="17" t="n">
        <v>217.3</v>
      </c>
      <c r="M359" s="140" t="n">
        <v>116</v>
      </c>
      <c r="N359" s="16" t="n">
        <f aca="false" ca="false" dt2D="false" dtr="false" t="normal">SUM(P359:T359)</f>
        <v>17328320.75</v>
      </c>
      <c r="O359" s="18" t="n">
        <v>0</v>
      </c>
      <c r="P359" s="18" t="n">
        <f aca="false" ca="false" dt2D="false" dtr="false" t="normal">3458722.26+2937997.16</f>
        <v>6396719.42</v>
      </c>
      <c r="Q359" s="18" t="n">
        <v>0</v>
      </c>
      <c r="R359" s="18" t="n">
        <v>1102859.33</v>
      </c>
      <c r="S359" s="18" t="n">
        <v>9828742</v>
      </c>
      <c r="T359" s="18" t="n"/>
      <c r="U359" s="18" t="n">
        <v>11963.0686847177</v>
      </c>
      <c r="V359" s="18" t="n">
        <v>1415.283020064</v>
      </c>
      <c r="W359" s="212" t="n">
        <v>2023</v>
      </c>
      <c r="X359" s="103" t="n">
        <v>823981.64</v>
      </c>
      <c r="Y359" s="3" t="n">
        <f aca="false" ca="false" dt2D="false" dtr="false" t="normal">+(K359*10.5+L359*21)*12*0.85</f>
        <v>278877.69</v>
      </c>
      <c r="Z359" s="3" t="n">
        <f aca="false" ca="false" dt2D="false" dtr="false" t="normal">+(K359*10.5+L359*21)*12*30</f>
        <v>9842742</v>
      </c>
      <c r="AA359" s="3" t="n"/>
      <c r="AB359" s="23" t="n">
        <f aca="false" ca="true" dt2D="false" dtr="false" t="normal">SUBTOTAL(9, AC359:AQ359)</f>
        <v>17328320.75</v>
      </c>
      <c r="AC359" s="18" t="n">
        <v>4837764.19</v>
      </c>
      <c r="AD359" s="18" t="n">
        <v>1918622.4</v>
      </c>
      <c r="AE359" s="18" t="n">
        <v>1933540.8</v>
      </c>
      <c r="AF359" s="18" t="n"/>
      <c r="AG359" s="18" t="n"/>
      <c r="AH359" s="18" t="n"/>
      <c r="AI359" s="18" t="n"/>
      <c r="AJ359" s="18" t="n"/>
      <c r="AK359" s="18" t="n"/>
      <c r="AL359" s="18" t="n"/>
      <c r="AM359" s="18" t="n"/>
      <c r="AN359" s="18" t="n">
        <v>8046351.6</v>
      </c>
      <c r="AO359" s="18" t="n">
        <v>582041.76</v>
      </c>
      <c r="AP359" s="18" t="n">
        <v>10000</v>
      </c>
      <c r="AQ359" s="24" t="n"/>
      <c r="AR359" s="3" t="n">
        <f aca="false" ca="false" dt2D="false" dtr="false" t="normal">N359-AB359</f>
        <v>0</v>
      </c>
      <c r="AT359" s="187" t="n"/>
    </row>
    <row customFormat="true" ht="15" outlineLevel="0" r="360" s="184">
      <c r="A360" s="5" t="n">
        <f aca="false" ca="false" dt2D="false" dtr="false" t="normal">+A359+1</f>
        <v>342</v>
      </c>
      <c r="B360" s="159" t="n">
        <f aca="false" ca="false" dt2D="false" dtr="false" t="normal">+B359+1</f>
        <v>154</v>
      </c>
      <c r="C360" s="6" t="s">
        <v>541</v>
      </c>
      <c r="D360" s="6" t="s">
        <v>542</v>
      </c>
      <c r="E360" s="139" t="s">
        <v>181</v>
      </c>
      <c r="F360" s="139" t="s">
        <v>181</v>
      </c>
      <c r="G360" s="139" t="s">
        <v>4</v>
      </c>
      <c r="H360" s="139" t="s">
        <v>165</v>
      </c>
      <c r="I360" s="139" t="s">
        <v>159</v>
      </c>
      <c r="J360" s="17" t="n">
        <v>3412.5</v>
      </c>
      <c r="K360" s="17" t="n">
        <v>2249.4</v>
      </c>
      <c r="L360" s="17" t="n">
        <v>936.2</v>
      </c>
      <c r="M360" s="140" t="n">
        <v>105</v>
      </c>
      <c r="N360" s="16" t="n">
        <f aca="false" ca="false" dt2D="false" dtr="false" t="normal">SUM(P360:T360)</f>
        <v>18898820.960000046</v>
      </c>
      <c r="O360" s="18" t="n">
        <v>0</v>
      </c>
      <c r="P360" s="18" t="n">
        <v>4350097.22</v>
      </c>
      <c r="Q360" s="18" t="n">
        <v>0</v>
      </c>
      <c r="R360" s="18" t="n">
        <v>509739.716107144</v>
      </c>
      <c r="S360" s="18" t="n">
        <v>14038984.0238929</v>
      </c>
      <c r="T360" s="192" t="n"/>
      <c r="U360" s="18" t="n">
        <v>11384.4345519022</v>
      </c>
      <c r="V360" s="18" t="n">
        <v>1416.283020064</v>
      </c>
      <c r="W360" s="212" t="n">
        <v>2023</v>
      </c>
      <c r="X360" s="103" t="n">
        <v>906295.96</v>
      </c>
      <c r="Y360" s="3" t="n">
        <f aca="false" ca="false" dt2D="false" dtr="false" t="normal">+(K360*10.5+L360*21)*12*0.85</f>
        <v>441444.78</v>
      </c>
      <c r="Z360" s="3" t="n">
        <f aca="false" ca="false" dt2D="false" dtr="false" t="normal">+(K360*10.5+L360*21)*12*30</f>
        <v>15580404.000000002</v>
      </c>
      <c r="AA360" s="3" t="n"/>
      <c r="AB360" s="23" t="n">
        <f aca="false" ca="true" dt2D="false" dtr="false" t="normal">SUBTOTAL(9, AC360:AQ360)</f>
        <v>18898820.96</v>
      </c>
      <c r="AC360" s="18" t="n">
        <v>3853039.2</v>
      </c>
      <c r="AD360" s="18" t="n">
        <v>1198699.2</v>
      </c>
      <c r="AE360" s="18" t="n">
        <v>1829712</v>
      </c>
      <c r="AF360" s="18" t="n"/>
      <c r="AG360" s="18" t="n"/>
      <c r="AH360" s="18" t="n"/>
      <c r="AI360" s="18" t="n"/>
      <c r="AJ360" s="18" t="n"/>
      <c r="AK360" s="18" t="n"/>
      <c r="AL360" s="18" t="n"/>
      <c r="AM360" s="18" t="n"/>
      <c r="AN360" s="18" t="n">
        <v>11256530.4</v>
      </c>
      <c r="AO360" s="18" t="n">
        <v>751240.16</v>
      </c>
      <c r="AP360" s="18" t="n">
        <v>9600</v>
      </c>
      <c r="AQ360" s="24" t="n"/>
      <c r="AR360" s="3" t="n"/>
      <c r="AT360" s="187" t="n"/>
    </row>
    <row customFormat="true" ht="15" outlineLevel="0" r="361" s="184">
      <c r="A361" s="5" t="n">
        <f aca="false" ca="false" dt2D="false" dtr="false" t="normal">+A360+1</f>
        <v>343</v>
      </c>
      <c r="B361" s="159" t="n">
        <f aca="false" ca="false" dt2D="false" dtr="false" t="normal">+B360+1</f>
        <v>155</v>
      </c>
      <c r="C361" s="6" t="s">
        <v>541</v>
      </c>
      <c r="D361" s="6" t="s">
        <v>642</v>
      </c>
      <c r="E361" s="139" t="s">
        <v>184</v>
      </c>
      <c r="F361" s="139" t="s">
        <v>184</v>
      </c>
      <c r="G361" s="139" t="s">
        <v>4</v>
      </c>
      <c r="H361" s="139" t="s">
        <v>165</v>
      </c>
      <c r="I361" s="139" t="s">
        <v>5</v>
      </c>
      <c r="J361" s="17" t="n">
        <v>1792.2</v>
      </c>
      <c r="K361" s="17" t="n">
        <v>1275</v>
      </c>
      <c r="L361" s="17" t="n">
        <v>170.8</v>
      </c>
      <c r="M361" s="140" t="n">
        <v>51</v>
      </c>
      <c r="N361" s="16" t="n">
        <f aca="false" ca="false" dt2D="false" dtr="false" t="normal">SUM(P361:T361)</f>
        <v>8140752.16</v>
      </c>
      <c r="O361" s="18" t="n">
        <v>0</v>
      </c>
      <c r="P361" s="18" t="n">
        <v>1966186.66</v>
      </c>
      <c r="Q361" s="18" t="n">
        <v>0</v>
      </c>
      <c r="R361" s="18" t="n">
        <v>709963.21</v>
      </c>
      <c r="S361" s="18" t="n">
        <v>5464602.29</v>
      </c>
      <c r="T361" s="18" t="n"/>
      <c r="U361" s="18" t="n">
        <v>6590.29534901961</v>
      </c>
      <c r="V361" s="18" t="n">
        <v>1417.283020064</v>
      </c>
      <c r="W361" s="212" t="n">
        <v>2023</v>
      </c>
      <c r="X361" s="103" t="n">
        <v>536825.35</v>
      </c>
      <c r="Y361" s="3" t="n">
        <f aca="false" ca="false" dt2D="false" dtr="false" t="normal">+(K361*10.5+L361*21)*12*0.85</f>
        <v>173137.86</v>
      </c>
      <c r="Z361" s="3" t="n">
        <f aca="false" ca="false" dt2D="false" dtr="false" t="normal">+(K361*10.5+L361*21)*12*30</f>
        <v>6110747.999999999</v>
      </c>
      <c r="AA361" s="3" t="n"/>
      <c r="AB361" s="23" t="n">
        <f aca="false" ca="true" dt2D="false" dtr="false" t="normal">SUBTOTAL(9, AC361:AQ361)</f>
        <v>8140752.16</v>
      </c>
      <c r="AC361" s="18" t="n"/>
      <c r="AD361" s="18" t="n"/>
      <c r="AE361" s="18" t="n"/>
      <c r="AF361" s="18" t="n"/>
      <c r="AG361" s="18" t="n"/>
      <c r="AH361" s="18" t="n"/>
      <c r="AI361" s="18" t="n"/>
      <c r="AJ361" s="18" t="n"/>
      <c r="AK361" s="18" t="n">
        <v>7901132.4</v>
      </c>
      <c r="AL361" s="18" t="n"/>
      <c r="AM361" s="18" t="n"/>
      <c r="AN361" s="18" t="n"/>
      <c r="AO361" s="18" t="n">
        <v>231619.76</v>
      </c>
      <c r="AP361" s="18" t="n">
        <v>8000</v>
      </c>
      <c r="AQ361" s="24" t="n"/>
      <c r="AR361" s="3" t="n">
        <f aca="false" ca="false" dt2D="false" dtr="false" t="normal">N361-AB361</f>
        <v>0</v>
      </c>
      <c r="AT361" s="187" t="n"/>
    </row>
    <row customFormat="true" ht="15" outlineLevel="0" r="362" s="184">
      <c r="A362" s="5" t="n">
        <f aca="false" ca="false" dt2D="false" dtr="false" t="normal">+A361+1</f>
        <v>344</v>
      </c>
      <c r="B362" s="159" t="n">
        <f aca="false" ca="false" dt2D="false" dtr="false" t="normal">+B361+1</f>
        <v>156</v>
      </c>
      <c r="C362" s="6" t="s">
        <v>541</v>
      </c>
      <c r="D362" s="6" t="s">
        <v>544</v>
      </c>
      <c r="E362" s="139" t="s">
        <v>545</v>
      </c>
      <c r="F362" s="139" t="s">
        <v>545</v>
      </c>
      <c r="G362" s="139" t="s">
        <v>4</v>
      </c>
      <c r="H362" s="139" t="n">
        <v>5</v>
      </c>
      <c r="I362" s="139" t="s">
        <v>219</v>
      </c>
      <c r="J362" s="17" t="n">
        <v>2036.3</v>
      </c>
      <c r="K362" s="17" t="n">
        <v>1337.75</v>
      </c>
      <c r="L362" s="17" t="n">
        <v>476.4</v>
      </c>
      <c r="M362" s="140" t="n">
        <v>93</v>
      </c>
      <c r="N362" s="16" t="n">
        <f aca="false" ca="false" dt2D="false" dtr="false" t="normal">SUM(P362:T362)</f>
        <v>24916959.259999998</v>
      </c>
      <c r="O362" s="18" t="n">
        <v>0</v>
      </c>
      <c r="P362" s="18" t="n">
        <v>11204690.85</v>
      </c>
      <c r="Q362" s="18" t="n">
        <v>0</v>
      </c>
      <c r="R362" s="18" t="n">
        <v>767419.945</v>
      </c>
      <c r="S362" s="18" t="n">
        <v>12944848.465</v>
      </c>
      <c r="T362" s="18" t="n"/>
      <c r="U362" s="18" t="n">
        <v>16083.6585049523</v>
      </c>
      <c r="V362" s="18" t="n">
        <v>1418.283020064</v>
      </c>
      <c r="W362" s="212" t="n">
        <v>2023</v>
      </c>
      <c r="X362" s="103" t="n">
        <v>522102.04</v>
      </c>
      <c r="Y362" s="3" t="n">
        <f aca="false" ca="false" dt2D="false" dtr="false" t="normal">+(K362*10.5+L362*21)*12*0.85</f>
        <v>245317.90500000003</v>
      </c>
      <c r="Z362" s="3" t="n">
        <f aca="false" ca="false" dt2D="false" dtr="false" t="normal">+(K362*10.5+L362*21)*12*30</f>
        <v>8658279.000000002</v>
      </c>
      <c r="AA362" s="3" t="n"/>
      <c r="AB362" s="23" t="n">
        <f aca="false" ca="true" dt2D="false" dtr="false" t="normal">SUBTOTAL(9, AC362:AQ362)</f>
        <v>24916959.259999998</v>
      </c>
      <c r="AC362" s="18" t="n">
        <v>2354587.2</v>
      </c>
      <c r="AD362" s="18" t="n">
        <v>1865384.4</v>
      </c>
      <c r="AE362" s="18" t="n">
        <v>2468315.46</v>
      </c>
      <c r="AF362" s="18" t="n"/>
      <c r="AG362" s="18" t="n"/>
      <c r="AH362" s="18" t="n"/>
      <c r="AI362" s="18" t="n"/>
      <c r="AJ362" s="18" t="n"/>
      <c r="AK362" s="18" t="n">
        <v>6202495.2</v>
      </c>
      <c r="AL362" s="18" t="n"/>
      <c r="AM362" s="18" t="n">
        <v>11009160.29</v>
      </c>
      <c r="AN362" s="18" t="n"/>
      <c r="AO362" s="18" t="n">
        <v>1007016.71</v>
      </c>
      <c r="AP362" s="18" t="n">
        <v>10000</v>
      </c>
      <c r="AQ362" s="24" t="n"/>
      <c r="AR362" s="3" t="n">
        <f aca="false" ca="false" dt2D="false" dtr="false" t="normal">N362-AB362</f>
        <v>0</v>
      </c>
      <c r="AT362" s="187" t="n"/>
    </row>
    <row customFormat="true" ht="15" outlineLevel="0" r="363" s="184">
      <c r="A363" s="5" t="n">
        <f aca="false" ca="false" dt2D="false" dtr="false" t="normal">+A362+1</f>
        <v>345</v>
      </c>
      <c r="B363" s="159" t="n">
        <f aca="false" ca="false" dt2D="false" dtr="false" t="normal">+B362+1</f>
        <v>157</v>
      </c>
      <c r="C363" s="138" t="s">
        <v>405</v>
      </c>
      <c r="D363" s="138" t="s">
        <v>644</v>
      </c>
      <c r="E363" s="139" t="s">
        <v>187</v>
      </c>
      <c r="F363" s="139" t="s">
        <v>187</v>
      </c>
      <c r="G363" s="139" t="s">
        <v>4</v>
      </c>
      <c r="H363" s="139" t="s">
        <v>165</v>
      </c>
      <c r="I363" s="139" t="s">
        <v>159</v>
      </c>
      <c r="J363" s="17" t="n">
        <v>3929.7</v>
      </c>
      <c r="K363" s="17" t="n">
        <v>2523.6</v>
      </c>
      <c r="L363" s="17" t="n">
        <v>522.65</v>
      </c>
      <c r="M363" s="140" t="n">
        <v>69</v>
      </c>
      <c r="N363" s="16" t="n">
        <f aca="false" ca="false" dt2D="false" dtr="false" t="normal">SUM(P363:T363)</f>
        <v>7749923.509999995</v>
      </c>
      <c r="O363" s="17" t="n">
        <v>0</v>
      </c>
      <c r="P363" s="18" t="n"/>
      <c r="Q363" s="18" t="n">
        <v>0</v>
      </c>
      <c r="R363" s="18" t="n">
        <v>975572.597990575</v>
      </c>
      <c r="S363" s="18" t="n">
        <v>6774350.91200942</v>
      </c>
      <c r="T363" s="151" t="n"/>
      <c r="U363" s="18" t="n">
        <v>3349.0698517523</v>
      </c>
      <c r="V363" s="18" t="n">
        <v>1419.283020064</v>
      </c>
      <c r="W363" s="212" t="n">
        <v>2023</v>
      </c>
      <c r="X363" s="184" t="n">
        <f aca="false" ca="false" dt2D="false" dtr="false" t="normal">2118935.66-998484.23</f>
        <v>1120451.4300000002</v>
      </c>
      <c r="Y363" s="3" t="n">
        <f aca="false" ca="false" dt2D="false" dtr="false" t="normal">+(K363*10.5+L363*21)*12*0.85</f>
        <v>382229.18999999994</v>
      </c>
      <c r="Z363" s="3" t="n">
        <f aca="false" ca="false" dt2D="false" dtr="false" t="normal">+(K363*10.5+L363*21)*12*30-2437490.96</f>
        <v>11052951.04</v>
      </c>
      <c r="AA363" s="3" t="n"/>
      <c r="AB363" s="158" t="n">
        <f aca="false" ca="true" dt2D="false" dtr="false" t="normal">SUBTOTAL(9, AC363:AQ363)</f>
        <v>7749923.51</v>
      </c>
      <c r="AC363" s="18" t="n"/>
      <c r="AD363" s="18" t="n"/>
      <c r="AE363" s="18" t="n"/>
      <c r="AF363" s="18" t="n"/>
      <c r="AG363" s="18" t="n"/>
      <c r="AH363" s="18" t="n"/>
      <c r="AI363" s="18" t="n"/>
      <c r="AJ363" s="18" t="n"/>
      <c r="AK363" s="18" t="n"/>
      <c r="AL363" s="18" t="n"/>
      <c r="AM363" s="18" t="n"/>
      <c r="AN363" s="18" t="n">
        <v>7460881.2</v>
      </c>
      <c r="AO363" s="18" t="n">
        <v>265042.31</v>
      </c>
      <c r="AP363" s="18" t="n">
        <v>24000</v>
      </c>
      <c r="AQ363" s="24" t="n"/>
      <c r="AR363" s="3" t="n">
        <f aca="false" ca="false" dt2D="false" dtr="false" t="normal">N363-AB363</f>
        <v>0</v>
      </c>
      <c r="AT363" s="187" t="n"/>
    </row>
    <row customFormat="true" ht="15" outlineLevel="0" r="364" s="184">
      <c r="A364" s="5" t="n">
        <f aca="false" ca="false" dt2D="false" dtr="false" t="normal">+A363+1</f>
        <v>346</v>
      </c>
      <c r="B364" s="159" t="n">
        <f aca="false" ca="false" dt2D="false" dtr="false" t="normal">+B363+1</f>
        <v>158</v>
      </c>
      <c r="C364" s="138" t="s">
        <v>405</v>
      </c>
      <c r="D364" s="138" t="s">
        <v>646</v>
      </c>
      <c r="E364" s="139" t="s">
        <v>181</v>
      </c>
      <c r="F364" s="139" t="s">
        <v>181</v>
      </c>
      <c r="G364" s="139" t="s">
        <v>4</v>
      </c>
      <c r="H364" s="139" t="s">
        <v>165</v>
      </c>
      <c r="I364" s="139" t="s">
        <v>159</v>
      </c>
      <c r="J364" s="17" t="n">
        <v>3705.9</v>
      </c>
      <c r="K364" s="17" t="n">
        <v>2552.3</v>
      </c>
      <c r="L364" s="17" t="n">
        <v>0</v>
      </c>
      <c r="M364" s="140" t="n">
        <v>82</v>
      </c>
      <c r="N364" s="16" t="n">
        <f aca="false" ca="false" dt2D="false" dtr="false" t="normal">SUM(P364:T364)</f>
        <v>6034759.850000001</v>
      </c>
      <c r="O364" s="17" t="n">
        <v>0</v>
      </c>
      <c r="P364" s="18" t="n"/>
      <c r="Q364" s="18" t="n">
        <v>0</v>
      </c>
      <c r="R364" s="18" t="n">
        <v>1256520.67413137</v>
      </c>
      <c r="S364" s="18" t="n">
        <v>4778239.17586863</v>
      </c>
      <c r="T364" s="151" t="n"/>
      <c r="U364" s="18" t="n">
        <v>2948.22617462074</v>
      </c>
      <c r="V364" s="18" t="n">
        <v>1420.283020064</v>
      </c>
      <c r="W364" s="212" t="n">
        <v>2023</v>
      </c>
      <c r="X364" s="103" t="n">
        <v>1021583.37</v>
      </c>
      <c r="Y364" s="3" t="n">
        <f aca="false" ca="false" dt2D="false" dtr="false" t="normal">+(K364*10.5+L364*21)*12*0.85</f>
        <v>273351.33</v>
      </c>
      <c r="Z364" s="3" t="n">
        <f aca="false" ca="false" dt2D="false" dtr="false" t="normal">+(K364*10.5+L364*21)*12*30</f>
        <v>9647694.000000002</v>
      </c>
      <c r="AA364" s="3" t="n"/>
      <c r="AB364" s="158" t="n">
        <f aca="false" ca="true" dt2D="false" dtr="false" t="normal">SUBTOTAL(9, AC364:AQ364)</f>
        <v>6034759.850000001</v>
      </c>
      <c r="AC364" s="18" t="n"/>
      <c r="AD364" s="18" t="n"/>
      <c r="AE364" s="18" t="n"/>
      <c r="AF364" s="18" t="n"/>
      <c r="AG364" s="18" t="n"/>
      <c r="AH364" s="18" t="n"/>
      <c r="AI364" s="18" t="n"/>
      <c r="AJ364" s="18" t="n"/>
      <c r="AK364" s="18" t="n"/>
      <c r="AL364" s="18" t="n"/>
      <c r="AM364" s="18" t="n"/>
      <c r="AN364" s="18" t="n">
        <v>5755369.2</v>
      </c>
      <c r="AO364" s="18" t="n">
        <v>255390.65</v>
      </c>
      <c r="AP364" s="18" t="n">
        <v>24000</v>
      </c>
      <c r="AQ364" s="24" t="n"/>
      <c r="AR364" s="3" t="n">
        <f aca="false" ca="false" dt2D="false" dtr="false" t="normal">N364-AB364</f>
        <v>0</v>
      </c>
      <c r="AT364" s="187" t="n"/>
    </row>
    <row outlineLevel="0" r="365">
      <c r="A365" s="5" t="n">
        <f aca="false" ca="false" dt2D="false" dtr="false" t="normal">+A364+1</f>
        <v>347</v>
      </c>
      <c r="B365" s="159" t="n">
        <f aca="false" ca="false" dt2D="false" dtr="false" t="normal">+B364+1</f>
        <v>159</v>
      </c>
      <c r="C365" s="6" t="s">
        <v>405</v>
      </c>
      <c r="D365" s="6" t="s">
        <v>547</v>
      </c>
      <c r="E365" s="139" t="n">
        <v>1974</v>
      </c>
      <c r="F365" s="139" t="n">
        <v>1980</v>
      </c>
      <c r="G365" s="139" t="s">
        <v>4</v>
      </c>
      <c r="H365" s="139" t="n">
        <v>4</v>
      </c>
      <c r="I365" s="139" t="n">
        <v>4</v>
      </c>
      <c r="J365" s="17" t="n">
        <v>3718.5</v>
      </c>
      <c r="K365" s="17" t="n">
        <v>2628.2</v>
      </c>
      <c r="L365" s="17" t="n">
        <v>61.4</v>
      </c>
      <c r="M365" s="140" t="n">
        <v>99</v>
      </c>
      <c r="N365" s="16" t="n">
        <f aca="false" ca="false" dt2D="false" dtr="false" t="normal">SUM(P365:T365)</f>
        <v>8204171.48</v>
      </c>
      <c r="O365" s="18" t="n"/>
      <c r="P365" s="18" t="n">
        <v>3595408.55</v>
      </c>
      <c r="Q365" s="18" t="n"/>
      <c r="R365" s="18" t="n">
        <v>1380937.2</v>
      </c>
      <c r="S365" s="18" t="n">
        <v>3227825.73</v>
      </c>
      <c r="T365" s="18" t="n">
        <v>0</v>
      </c>
      <c r="U365" s="17" t="n">
        <v>7331.11015415857</v>
      </c>
      <c r="V365" s="17" t="n">
        <v>7331.11015415857</v>
      </c>
      <c r="W365" s="212" t="n">
        <v>2023</v>
      </c>
      <c r="X365" s="1" t="n">
        <v>1100335.2</v>
      </c>
      <c r="Y365" s="3" t="n">
        <f aca="false" ca="false" dt2D="false" dtr="false" t="normal">+(K365*10+L365*20)*12*0.85</f>
        <v>280602</v>
      </c>
      <c r="Z365" s="3" t="n">
        <f aca="false" ca="false" dt2D="false" dtr="false" t="normal">+(K365*10+L365*20)*12*30</f>
        <v>9903600</v>
      </c>
      <c r="AB365" s="23" t="n">
        <f aca="false" ca="true" dt2D="false" dtr="false" t="normal">SUBTOTAL(9, AC365:AQ365)</f>
        <v>8204171.4799999995</v>
      </c>
      <c r="AC365" s="18" t="n"/>
      <c r="AD365" s="18" t="n"/>
      <c r="AE365" s="18" t="n">
        <v>1019979.61</v>
      </c>
      <c r="AF365" s="18" t="n"/>
      <c r="AG365" s="18" t="n">
        <v>0</v>
      </c>
      <c r="AH365" s="18" t="n"/>
      <c r="AI365" s="18" t="n"/>
      <c r="AJ365" s="18" t="n">
        <v>0</v>
      </c>
      <c r="AK365" s="18" t="n">
        <v>6953406.85</v>
      </c>
      <c r="AL365" s="18" t="n">
        <v>0</v>
      </c>
      <c r="AM365" s="18" t="n">
        <v>0</v>
      </c>
      <c r="AN365" s="18" t="n">
        <v>0</v>
      </c>
      <c r="AO365" s="18" t="n">
        <v>200943.02</v>
      </c>
      <c r="AP365" s="18" t="n">
        <v>29842</v>
      </c>
      <c r="AQ365" s="24" t="n"/>
      <c r="AR365" s="3" t="n">
        <f aca="false" ca="false" dt2D="false" dtr="false" t="normal">N365-AB365</f>
        <v>0</v>
      </c>
    </row>
    <row outlineLevel="0" r="366">
      <c r="A366" s="5" t="n">
        <f aca="false" ca="false" dt2D="false" dtr="false" t="normal">+A365+1</f>
        <v>348</v>
      </c>
      <c r="B366" s="159" t="n">
        <f aca="false" ca="false" dt2D="false" dtr="false" t="normal">+B365+1</f>
        <v>160</v>
      </c>
      <c r="C366" s="6" t="s">
        <v>552</v>
      </c>
      <c r="D366" s="6" t="s">
        <v>558</v>
      </c>
      <c r="E366" s="164" t="n">
        <v>1982</v>
      </c>
      <c r="F366" s="164" t="n">
        <v>1982</v>
      </c>
      <c r="G366" s="164" t="s">
        <v>460</v>
      </c>
      <c r="H366" s="164" t="n">
        <v>2</v>
      </c>
      <c r="I366" s="164" t="n">
        <v>3</v>
      </c>
      <c r="J366" s="18" t="n">
        <v>1277.5</v>
      </c>
      <c r="K366" s="18" t="n">
        <v>1102.3</v>
      </c>
      <c r="L366" s="18" t="n">
        <v>0</v>
      </c>
      <c r="M366" s="165" t="n">
        <v>34</v>
      </c>
      <c r="N366" s="16" t="n">
        <f aca="false" ca="false" dt2D="false" dtr="false" t="normal">SUM(P366:T366)</f>
        <v>2212764.58</v>
      </c>
      <c r="O366" s="18" t="n"/>
      <c r="P366" s="18" t="n">
        <v>1904728.57</v>
      </c>
      <c r="Q366" s="18" t="n"/>
      <c r="R366" s="18" t="n">
        <v>118809.601939817</v>
      </c>
      <c r="S366" s="18" t="n">
        <v>189226.408060183</v>
      </c>
      <c r="T366" s="18" t="n"/>
      <c r="U366" s="18" t="n">
        <v>6498.55449858717</v>
      </c>
      <c r="V366" s="18" t="n">
        <v>1423.283020064</v>
      </c>
      <c r="W366" s="212" t="n">
        <v>2023</v>
      </c>
      <c r="X366" s="12" t="n"/>
      <c r="Y366" s="3" t="n">
        <f aca="false" ca="false" dt2D="false" dtr="false" t="normal">+(K366*7.46+L366*20.48)*12*0.85</f>
        <v>83876.2116</v>
      </c>
      <c r="Z366" s="247" t="n">
        <f aca="false" ca="false" dt2D="false" dtr="false" t="normal">+(K366*8.21+L366*22.53)*12*10-'[1]Лист1'!$AQ$243</f>
        <v>34933.02000000002</v>
      </c>
      <c r="AA366" s="247" t="n"/>
      <c r="AB366" s="158" t="n">
        <f aca="false" ca="true" dt2D="false" dtr="false" t="normal">SUBTOTAL(9, AC366:AQ366)</f>
        <v>2212764.58</v>
      </c>
      <c r="AC366" s="18" t="n"/>
      <c r="AD366" s="18" t="n">
        <v>0</v>
      </c>
      <c r="AE366" s="18" t="n"/>
      <c r="AF366" s="18" t="n"/>
      <c r="AG366" s="18" t="n">
        <v>0</v>
      </c>
      <c r="AH366" s="18" t="n"/>
      <c r="AI366" s="18" t="n"/>
      <c r="AJ366" s="18" t="n">
        <v>0</v>
      </c>
      <c r="AK366" s="18" t="n">
        <v>2212764.58</v>
      </c>
      <c r="AL366" s="18" t="n">
        <v>0</v>
      </c>
      <c r="AM366" s="18" t="n"/>
      <c r="AN366" s="18" t="n"/>
      <c r="AO366" s="18" t="n"/>
      <c r="AP366" s="18" t="n"/>
      <c r="AQ366" s="24" t="n"/>
      <c r="AR366" s="3" t="n">
        <f aca="false" ca="false" dt2D="false" dtr="false" t="normal">N366-AB366</f>
        <v>0</v>
      </c>
    </row>
    <row outlineLevel="0" r="367">
      <c r="A367" s="5" t="n">
        <f aca="false" ca="false" dt2D="false" dtr="false" t="normal">+A366+1</f>
        <v>349</v>
      </c>
      <c r="B367" s="159" t="n">
        <f aca="false" ca="false" dt2D="false" dtr="false" t="normal">+B366+1</f>
        <v>161</v>
      </c>
      <c r="C367" s="6" t="s">
        <v>138</v>
      </c>
      <c r="D367" s="6" t="s">
        <v>650</v>
      </c>
      <c r="E367" s="139" t="n">
        <v>1981</v>
      </c>
      <c r="F367" s="139" t="n"/>
      <c r="G367" s="139" t="s">
        <v>4</v>
      </c>
      <c r="H367" s="139" t="n">
        <v>2</v>
      </c>
      <c r="I367" s="139" t="n">
        <v>1</v>
      </c>
      <c r="J367" s="17" t="n">
        <v>660</v>
      </c>
      <c r="K367" s="17" t="n">
        <v>592.7</v>
      </c>
      <c r="L367" s="17" t="n">
        <v>0</v>
      </c>
      <c r="M367" s="140" t="n">
        <v>13</v>
      </c>
      <c r="N367" s="16" t="n">
        <f aca="false" ca="false" dt2D="false" dtr="false" t="normal">SUM(P367:T367)</f>
        <v>2847700.4199999953</v>
      </c>
      <c r="O367" s="18" t="n"/>
      <c r="P367" s="18" t="n">
        <v>429373.41</v>
      </c>
      <c r="Q367" s="18" t="n"/>
      <c r="R367" s="18" t="n">
        <v>416647.160568365</v>
      </c>
      <c r="S367" s="18" t="n">
        <v>2001679.84943163</v>
      </c>
      <c r="T367" s="18" t="n"/>
      <c r="U367" s="18" t="n">
        <v>7184.1916224</v>
      </c>
      <c r="V367" s="18" t="n">
        <v>1434.283020064</v>
      </c>
      <c r="W367" s="212" t="n">
        <v>2023</v>
      </c>
      <c r="X367" s="103" t="n">
        <v>365168.99</v>
      </c>
      <c r="Y367" s="3" t="n">
        <f aca="false" ca="false" dt2D="false" dtr="false" t="normal">+(K367*10.5+L367*21)*12*0.85</f>
        <v>63478.170000000006</v>
      </c>
      <c r="Z367" s="3" t="n">
        <f aca="false" ca="false" dt2D="false" dtr="false" t="normal">+(K367*10.5+L367*21)*12*30</f>
        <v>2240406.0000000005</v>
      </c>
      <c r="AB367" s="158" t="n">
        <f aca="false" ca="true" dt2D="false" dtr="false" t="normal">SUBTOTAL(9, AC367:AQ367)</f>
        <v>2847700.42</v>
      </c>
      <c r="AC367" s="18" t="n">
        <v>0</v>
      </c>
      <c r="AD367" s="18" t="n">
        <v>0</v>
      </c>
      <c r="AE367" s="18" t="n"/>
      <c r="AF367" s="18" t="n"/>
      <c r="AG367" s="18" t="n"/>
      <c r="AH367" s="18" t="n"/>
      <c r="AI367" s="18" t="n"/>
      <c r="AJ367" s="18" t="n">
        <v>0</v>
      </c>
      <c r="AK367" s="18" t="n">
        <v>0</v>
      </c>
      <c r="AL367" s="18" t="n">
        <v>0</v>
      </c>
      <c r="AM367" s="18" t="n">
        <v>0</v>
      </c>
      <c r="AN367" s="18" t="n">
        <v>2719951.1</v>
      </c>
      <c r="AO367" s="18" t="n">
        <v>103749.32</v>
      </c>
      <c r="AP367" s="18" t="n">
        <v>24000</v>
      </c>
      <c r="AQ367" s="24" t="n"/>
      <c r="AR367" s="3" t="n">
        <f aca="false" ca="false" dt2D="false" dtr="false" t="normal">N367-AB367</f>
        <v>0</v>
      </c>
    </row>
    <row customFormat="true" ht="15" outlineLevel="0" r="368" s="184">
      <c r="A368" s="5" t="n">
        <f aca="false" ca="false" dt2D="false" dtr="false" t="normal">+A367+1</f>
        <v>350</v>
      </c>
      <c r="B368" s="159" t="n">
        <f aca="false" ca="false" dt2D="false" dtr="false" t="normal">+B367+1</f>
        <v>162</v>
      </c>
      <c r="C368" s="138" t="s">
        <v>652</v>
      </c>
      <c r="D368" s="138" t="s">
        <v>653</v>
      </c>
      <c r="E368" s="139" t="s">
        <v>164</v>
      </c>
      <c r="F368" s="139" t="s">
        <v>164</v>
      </c>
      <c r="G368" s="139" t="s">
        <v>4</v>
      </c>
      <c r="H368" s="139" t="s">
        <v>165</v>
      </c>
      <c r="I368" s="139" t="s">
        <v>159</v>
      </c>
      <c r="J368" s="17" t="n">
        <v>4959.9</v>
      </c>
      <c r="K368" s="17" t="n">
        <v>4332.9</v>
      </c>
      <c r="L368" s="17" t="n">
        <v>85.1</v>
      </c>
      <c r="M368" s="140" t="n">
        <v>166</v>
      </c>
      <c r="N368" s="16" t="n">
        <f aca="false" ca="false" dt2D="false" dtr="false" t="normal">SUM(P368:T368)</f>
        <v>10053149.61</v>
      </c>
      <c r="O368" s="18" t="n">
        <v>0</v>
      </c>
      <c r="P368" s="18" t="n"/>
      <c r="Q368" s="18" t="n">
        <v>0</v>
      </c>
      <c r="R368" s="18" t="n">
        <v>2543640.43</v>
      </c>
      <c r="S368" s="18" t="n">
        <v>7509509.18</v>
      </c>
      <c r="T368" s="151" t="n"/>
      <c r="U368" s="18" t="n">
        <v>2525.50646447366</v>
      </c>
      <c r="V368" s="18" t="n">
        <v>1435.283020064</v>
      </c>
      <c r="W368" s="212" t="n">
        <v>2023</v>
      </c>
      <c r="X368" s="103" t="n">
        <v>2639671.19</v>
      </c>
      <c r="Y368" s="3" t="n">
        <f aca="false" ca="false" dt2D="false" dtr="false" t="normal">+(K368*10.5+L368*21)*12*0.85</f>
        <v>482282.00999999995</v>
      </c>
      <c r="Z368" s="3" t="n">
        <f aca="false" ca="false" dt2D="false" dtr="false" t="normal">+(K368*10.5+L368*21)*12*30</f>
        <v>17021718</v>
      </c>
      <c r="AA368" s="3" t="n"/>
      <c r="AB368" s="158" t="n">
        <f aca="false" ca="true" dt2D="false" dtr="false" t="normal">SUBTOTAL(9, AC368:AQ368)</f>
        <v>10053149.61</v>
      </c>
      <c r="AC368" s="18" t="n"/>
      <c r="AD368" s="18" t="n"/>
      <c r="AE368" s="18" t="n"/>
      <c r="AF368" s="18" t="n"/>
      <c r="AG368" s="18" t="n"/>
      <c r="AH368" s="18" t="n"/>
      <c r="AI368" s="18" t="n"/>
      <c r="AJ368" s="18" t="n"/>
      <c r="AK368" s="18" t="n"/>
      <c r="AL368" s="18" t="n"/>
      <c r="AM368" s="18" t="n"/>
      <c r="AN368" s="18" t="n">
        <v>9759955.27</v>
      </c>
      <c r="AO368" s="18" t="n">
        <v>269194.34</v>
      </c>
      <c r="AP368" s="18" t="n">
        <v>24000</v>
      </c>
      <c r="AQ368" s="24" t="n"/>
      <c r="AR368" s="3" t="n">
        <f aca="false" ca="false" dt2D="false" dtr="false" t="normal">N368-AB368</f>
        <v>0</v>
      </c>
      <c r="AT368" s="187" t="n"/>
    </row>
    <row outlineLevel="0" r="369">
      <c r="A369" s="5" t="n">
        <f aca="false" ca="false" dt2D="false" dtr="false" t="normal">+A368+1</f>
        <v>351</v>
      </c>
      <c r="B369" s="159" t="n">
        <f aca="false" ca="false" dt2D="false" dtr="false" t="normal">+B368+1</f>
        <v>163</v>
      </c>
      <c r="C369" s="138" t="s">
        <v>138</v>
      </c>
      <c r="D369" s="138" t="s">
        <v>655</v>
      </c>
      <c r="E369" s="139" t="n">
        <v>1997</v>
      </c>
      <c r="F369" s="139" t="n">
        <v>2012</v>
      </c>
      <c r="G369" s="139" t="s">
        <v>4</v>
      </c>
      <c r="H369" s="139" t="n">
        <v>5</v>
      </c>
      <c r="I369" s="139" t="n">
        <v>4</v>
      </c>
      <c r="J369" s="17" t="n">
        <v>3981.21</v>
      </c>
      <c r="K369" s="17" t="n">
        <v>3474.7</v>
      </c>
      <c r="L369" s="17" t="n">
        <v>88.61</v>
      </c>
      <c r="M369" s="140" t="n">
        <v>114</v>
      </c>
      <c r="N369" s="16" t="n">
        <f aca="false" ca="false" dt2D="false" dtr="false" t="normal">SUM(P369:T369)</f>
        <v>1611028.9</v>
      </c>
      <c r="O369" s="18" t="n"/>
      <c r="P369" s="18" t="n"/>
      <c r="Q369" s="18" t="n"/>
      <c r="R369" s="18" t="n">
        <v>1611028.9</v>
      </c>
      <c r="S369" s="18" t="n"/>
      <c r="T369" s="18" t="n"/>
      <c r="U369" s="18" t="n">
        <v>458.638345747757</v>
      </c>
      <c r="V369" s="18" t="n">
        <v>458.638345747757</v>
      </c>
      <c r="W369" s="212" t="n">
        <v>2023</v>
      </c>
      <c r="X369" s="1" t="n">
        <v>1742724.96</v>
      </c>
      <c r="Y369" s="3" t="n">
        <f aca="false" ca="false" dt2D="false" dtr="false" t="normal">+(K369*10+L369*20)*12*0.85</f>
        <v>372495.83999999997</v>
      </c>
      <c r="Z369" s="3" t="n">
        <f aca="false" ca="false" dt2D="false" dtr="false" t="normal">+(K369*10+L369*20)*12*30</f>
        <v>13146911.999999998</v>
      </c>
      <c r="AB369" s="23" t="n">
        <f aca="false" ca="true" dt2D="false" dtr="false" t="normal">SUBTOTAL(9, AC369:AQ369)</f>
        <v>1611028.9</v>
      </c>
      <c r="AC369" s="18" t="n">
        <v>0</v>
      </c>
      <c r="AD369" s="18" t="n">
        <v>0</v>
      </c>
      <c r="AE369" s="18" t="n">
        <v>0</v>
      </c>
      <c r="AF369" s="18" t="n">
        <v>0</v>
      </c>
      <c r="AG369" s="18" t="n">
        <v>1611028.9</v>
      </c>
      <c r="AH369" s="18" t="n"/>
      <c r="AI369" s="18" t="n"/>
      <c r="AJ369" s="18" t="n">
        <v>0</v>
      </c>
      <c r="AK369" s="18" t="n">
        <v>0</v>
      </c>
      <c r="AL369" s="18" t="n">
        <v>0</v>
      </c>
      <c r="AM369" s="18" t="n">
        <v>0</v>
      </c>
      <c r="AN369" s="18" t="n">
        <v>0</v>
      </c>
      <c r="AO369" s="18" t="n"/>
      <c r="AP369" s="18" t="n"/>
      <c r="AQ369" s="24" t="n"/>
      <c r="AR369" s="3" t="n">
        <f aca="false" ca="false" dt2D="false" dtr="false" t="normal">N369-AB369</f>
        <v>0</v>
      </c>
    </row>
    <row outlineLevel="0" r="370">
      <c r="A370" s="5" t="n">
        <f aca="false" ca="false" dt2D="false" dtr="false" t="normal">+A369+1</f>
        <v>352</v>
      </c>
      <c r="B370" s="159" t="n">
        <f aca="false" ca="false" dt2D="false" dtr="false" t="normal">+B369+1</f>
        <v>164</v>
      </c>
      <c r="C370" s="6" t="s">
        <v>138</v>
      </c>
      <c r="D370" s="6" t="s">
        <v>657</v>
      </c>
      <c r="E370" s="139" t="n">
        <v>1992</v>
      </c>
      <c r="F370" s="139" t="n">
        <v>2010</v>
      </c>
      <c r="G370" s="139" t="s">
        <v>4</v>
      </c>
      <c r="H370" s="139" t="n">
        <v>2</v>
      </c>
      <c r="I370" s="139" t="n">
        <v>2</v>
      </c>
      <c r="J370" s="17" t="n">
        <v>1132.6</v>
      </c>
      <c r="K370" s="17" t="n">
        <v>869.3</v>
      </c>
      <c r="L370" s="17" t="n">
        <v>263.3</v>
      </c>
      <c r="M370" s="140" t="n">
        <v>31</v>
      </c>
      <c r="N370" s="16" t="n">
        <f aca="false" ca="false" dt2D="false" dtr="false" t="normal">SUM(P370:T370)</f>
        <v>2853099.65</v>
      </c>
      <c r="O370" s="18" t="n"/>
      <c r="P370" s="18" t="n">
        <v>2566400.56</v>
      </c>
      <c r="Q370" s="18" t="n"/>
      <c r="R370" s="18" t="n">
        <v>286699.09</v>
      </c>
      <c r="S370" s="18" t="n"/>
      <c r="T370" s="18" t="n"/>
      <c r="U370" s="18" t="n">
        <v>4638.58261564028</v>
      </c>
      <c r="V370" s="18" t="n">
        <v>4638.58261564028</v>
      </c>
      <c r="W370" s="212" t="n">
        <v>2023</v>
      </c>
      <c r="X370" s="1" t="n">
        <f aca="false" ca="false" dt2D="false" dtr="false" t="normal">467298.54-180991.88</f>
        <v>286306.66</v>
      </c>
      <c r="Y370" s="3" t="n">
        <f aca="false" ca="false" dt2D="false" dtr="false" t="normal">+(K370*10+L370*20)*12*0.85</f>
        <v>142381.8</v>
      </c>
      <c r="Z370" s="3" t="n">
        <f aca="false" ca="false" dt2D="false" dtr="false" t="normal">+(K370*10+L370*20)*12*30-1001.27</f>
        <v>5024238.73</v>
      </c>
      <c r="AB370" s="23" t="n">
        <f aca="false" ca="true" dt2D="false" dtr="false" t="normal">SUBTOTAL(9, AC370:AQ370)</f>
        <v>2853099.65</v>
      </c>
      <c r="AC370" s="18" t="n">
        <v>0</v>
      </c>
      <c r="AD370" s="18" t="n">
        <v>0</v>
      </c>
      <c r="AE370" s="18" t="n">
        <v>0</v>
      </c>
      <c r="AF370" s="18" t="n">
        <v>0</v>
      </c>
      <c r="AG370" s="18" t="n">
        <v>316916.15</v>
      </c>
      <c r="AH370" s="18" t="n"/>
      <c r="AI370" s="18" t="n"/>
      <c r="AJ370" s="18" t="n">
        <v>0</v>
      </c>
      <c r="AK370" s="18" t="n">
        <v>0</v>
      </c>
      <c r="AL370" s="18" t="n">
        <v>0</v>
      </c>
      <c r="AM370" s="18" t="n">
        <v>0</v>
      </c>
      <c r="AN370" s="18" t="n">
        <v>2536183.5</v>
      </c>
      <c r="AO370" s="18" t="n"/>
      <c r="AP370" s="18" t="n"/>
      <c r="AQ370" s="24" t="n"/>
      <c r="AR370" s="3" t="n">
        <f aca="false" ca="false" dt2D="false" dtr="false" t="normal">N370-AB370</f>
        <v>0</v>
      </c>
    </row>
    <row outlineLevel="0" r="371">
      <c r="A371" s="5" t="n">
        <f aca="false" ca="false" dt2D="false" dtr="false" t="normal">+A370+1</f>
        <v>353</v>
      </c>
      <c r="B371" s="159" t="n">
        <f aca="false" ca="false" dt2D="false" dtr="false" t="normal">+B370+1</f>
        <v>165</v>
      </c>
      <c r="C371" s="6" t="s">
        <v>138</v>
      </c>
      <c r="D371" s="6" t="s">
        <v>659</v>
      </c>
      <c r="E371" s="139" t="n">
        <v>1993</v>
      </c>
      <c r="F371" s="139" t="n">
        <v>2009</v>
      </c>
      <c r="G371" s="139" t="s">
        <v>4</v>
      </c>
      <c r="H371" s="139" t="n">
        <v>2</v>
      </c>
      <c r="I371" s="139" t="n">
        <v>2</v>
      </c>
      <c r="J371" s="17" t="n">
        <v>1119.8</v>
      </c>
      <c r="K371" s="17" t="n">
        <v>862.9</v>
      </c>
      <c r="L371" s="17" t="n">
        <v>256.9</v>
      </c>
      <c r="M371" s="140" t="n">
        <v>33</v>
      </c>
      <c r="N371" s="16" t="n">
        <f aca="false" ca="false" dt2D="false" dtr="false" t="normal">SUM(P371:T371)</f>
        <v>2778863.9</v>
      </c>
      <c r="O371" s="18" t="n"/>
      <c r="P371" s="18" t="n">
        <v>2460480.84</v>
      </c>
      <c r="Q371" s="18" t="n"/>
      <c r="R371" s="18" t="n">
        <v>318383.06</v>
      </c>
      <c r="S371" s="18" t="n"/>
      <c r="T371" s="18" t="n"/>
      <c r="U371" s="18" t="n">
        <v>4704.40183634887</v>
      </c>
      <c r="V371" s="18" t="n">
        <v>4704.40183634887</v>
      </c>
      <c r="W371" s="212" t="n">
        <v>2023</v>
      </c>
      <c r="X371" s="1" t="n">
        <f aca="false" ca="false" dt2D="false" dtr="false" t="normal">384509.89-236084.3854</f>
        <v>148425.50460000001</v>
      </c>
      <c r="Y371" s="3" t="n">
        <f aca="false" ca="false" dt2D="false" dtr="false" t="normal">+(K371*10+L371*20)*12*0.85</f>
        <v>140423.4</v>
      </c>
      <c r="Z371" s="3" t="n">
        <f aca="false" ca="false" dt2D="false" dtr="false" t="normal">+(K371*10+L371*20)*12*30-325085.89</f>
        <v>4631034.11</v>
      </c>
      <c r="AB371" s="23" t="n">
        <f aca="false" ca="true" dt2D="false" dtr="false" t="normal">SUBTOTAL(9, AC371:AQ371)</f>
        <v>2778863.9</v>
      </c>
      <c r="AC371" s="18" t="n">
        <v>0</v>
      </c>
      <c r="AD371" s="18" t="n">
        <v>0</v>
      </c>
      <c r="AE371" s="18" t="n">
        <v>0</v>
      </c>
      <c r="AF371" s="18" t="n">
        <v>0</v>
      </c>
      <c r="AG371" s="18" t="n">
        <v>375448.21</v>
      </c>
      <c r="AH371" s="18" t="n"/>
      <c r="AI371" s="18" t="n"/>
      <c r="AJ371" s="18" t="n">
        <v>0</v>
      </c>
      <c r="AK371" s="18" t="n">
        <v>0</v>
      </c>
      <c r="AL371" s="18" t="n">
        <v>0</v>
      </c>
      <c r="AM371" s="18" t="n">
        <v>0</v>
      </c>
      <c r="AN371" s="18" t="n">
        <v>2403415.69</v>
      </c>
      <c r="AO371" s="18" t="n"/>
      <c r="AP371" s="18" t="n"/>
      <c r="AQ371" s="24" t="n"/>
      <c r="AR371" s="3" t="n">
        <f aca="false" ca="false" dt2D="false" dtr="false" t="normal">N371-AB371</f>
        <v>0</v>
      </c>
    </row>
    <row outlineLevel="0" r="372">
      <c r="A372" s="5" t="n">
        <f aca="false" ca="false" dt2D="false" dtr="false" t="normal">+A371+1</f>
        <v>354</v>
      </c>
      <c r="B372" s="159" t="n">
        <f aca="false" ca="false" dt2D="false" dtr="false" t="normal">+B371+1</f>
        <v>166</v>
      </c>
      <c r="C372" s="138" t="s">
        <v>141</v>
      </c>
      <c r="D372" s="138" t="s">
        <v>662</v>
      </c>
      <c r="E372" s="139" t="n">
        <v>1974</v>
      </c>
      <c r="F372" s="139" t="n">
        <v>2011</v>
      </c>
      <c r="G372" s="139" t="s">
        <v>4</v>
      </c>
      <c r="H372" s="139" t="n">
        <v>5</v>
      </c>
      <c r="I372" s="139" t="n">
        <v>4</v>
      </c>
      <c r="J372" s="17" t="n">
        <v>3194.1</v>
      </c>
      <c r="K372" s="17" t="n">
        <v>1856.9</v>
      </c>
      <c r="L372" s="17" t="n">
        <v>1224.7</v>
      </c>
      <c r="M372" s="140" t="n">
        <v>88</v>
      </c>
      <c r="N372" s="16" t="n">
        <f aca="false" ca="false" dt2D="false" dtr="false" t="normal">SUM(P372:T372)</f>
        <v>1097350.65</v>
      </c>
      <c r="O372" s="18" t="n"/>
      <c r="P372" s="18" t="n"/>
      <c r="Q372" s="18" t="n"/>
      <c r="R372" s="18" t="n">
        <v>527720.56</v>
      </c>
      <c r="S372" s="18" t="n">
        <v>569630.09</v>
      </c>
      <c r="T372" s="18" t="n"/>
      <c r="U372" s="18" t="n">
        <v>404.787922276454</v>
      </c>
      <c r="V372" s="18" t="n">
        <v>404.787922276454</v>
      </c>
      <c r="W372" s="212" t="n">
        <v>2023</v>
      </c>
      <c r="X372" s="1" t="n">
        <f aca="false" ca="false" dt2D="false" dtr="false" t="normal">1878287.66-954525.39</f>
        <v>923762.2699999999</v>
      </c>
      <c r="Y372" s="3" t="n">
        <f aca="false" ca="false" dt2D="false" dtr="false" t="normal">+(K372*10+L372*20)*12*0.85</f>
        <v>439242.6</v>
      </c>
      <c r="Z372" s="3" t="n">
        <f aca="false" ca="false" dt2D="false" dtr="false" t="normal">+(K372*10+L372*20)*12*30-119920.72-2599968.3</f>
        <v>12782790.98</v>
      </c>
      <c r="AB372" s="23" t="n">
        <f aca="false" ca="true" dt2D="false" dtr="false" t="normal">SUBTOTAL(9, AC372:AQ372)</f>
        <v>1097350.65</v>
      </c>
      <c r="AC372" s="18" t="n">
        <v>0</v>
      </c>
      <c r="AD372" s="18" t="n">
        <v>0</v>
      </c>
      <c r="AE372" s="18" t="n">
        <v>0</v>
      </c>
      <c r="AF372" s="18" t="n">
        <v>0</v>
      </c>
      <c r="AG372" s="18" t="n"/>
      <c r="AH372" s="18" t="n"/>
      <c r="AI372" s="18" t="n"/>
      <c r="AJ372" s="18" t="n">
        <v>0</v>
      </c>
      <c r="AK372" s="18" t="n">
        <v>0</v>
      </c>
      <c r="AL372" s="18" t="n">
        <v>0</v>
      </c>
      <c r="AM372" s="18" t="n">
        <v>0</v>
      </c>
      <c r="AN372" s="18" t="n">
        <v>1097350.65</v>
      </c>
      <c r="AO372" s="18" t="n"/>
      <c r="AP372" s="18" t="n"/>
      <c r="AQ372" s="24" t="n"/>
      <c r="AR372" s="3" t="n">
        <f aca="false" ca="false" dt2D="false" dtr="false" t="normal">N372-AB372</f>
        <v>0</v>
      </c>
    </row>
    <row outlineLevel="0" r="373">
      <c r="A373" s="5" t="n">
        <f aca="false" ca="false" dt2D="false" dtr="false" t="normal">+A372+1</f>
        <v>355</v>
      </c>
      <c r="B373" s="159" t="n">
        <f aca="false" ca="false" dt2D="false" dtr="false" t="normal">+B372+1</f>
        <v>167</v>
      </c>
      <c r="C373" s="6" t="s">
        <v>141</v>
      </c>
      <c r="D373" s="6" t="s">
        <v>448</v>
      </c>
      <c r="E373" s="139" t="n">
        <v>1969</v>
      </c>
      <c r="F373" s="139" t="n">
        <v>2009</v>
      </c>
      <c r="G373" s="139" t="s">
        <v>4</v>
      </c>
      <c r="H373" s="139" t="n">
        <v>4</v>
      </c>
      <c r="I373" s="139" t="n">
        <v>4</v>
      </c>
      <c r="J373" s="17" t="n">
        <v>2719.1</v>
      </c>
      <c r="K373" s="17" t="n">
        <v>2454</v>
      </c>
      <c r="L373" s="17" t="n">
        <v>66.5</v>
      </c>
      <c r="M373" s="140" t="n">
        <v>120</v>
      </c>
      <c r="N373" s="16" t="n">
        <f aca="false" ca="false" dt2D="false" dtr="false" t="normal">SUM(P373:T373)</f>
        <v>6360000</v>
      </c>
      <c r="O373" s="18" t="n"/>
      <c r="P373" s="18" t="n">
        <v>671332.44</v>
      </c>
      <c r="Q373" s="18" t="n"/>
      <c r="R373" s="18" t="n">
        <v>0</v>
      </c>
      <c r="S373" s="18" t="n">
        <v>5688667.56</v>
      </c>
      <c r="T373" s="18" t="n"/>
      <c r="U373" s="18" t="n">
        <v>2583.75962362388</v>
      </c>
      <c r="V373" s="18" t="n">
        <v>2583.75962362388</v>
      </c>
      <c r="W373" s="212" t="n">
        <v>2023</v>
      </c>
      <c r="X373" s="12" t="n">
        <f aca="false" ca="false" dt2D="false" dtr="false" t="normal">882910.83-R200</f>
        <v>-280632.6</v>
      </c>
      <c r="Y373" s="3" t="n">
        <f aca="false" ca="false" dt2D="false" dtr="false" t="normal">+(K373*10+L373*20)*12*0.85</f>
        <v>263874</v>
      </c>
      <c r="Z373" s="3" t="n">
        <f aca="false" ca="false" dt2D="false" dtr="false" t="normal">+(K373*10+L373*20)*12*30-S200</f>
        <v>4363141.55</v>
      </c>
      <c r="AB373" s="23" t="n">
        <f aca="false" ca="true" dt2D="false" dtr="false" t="normal">SUBTOTAL(9, AC373:AQ373)</f>
        <v>6360000</v>
      </c>
      <c r="AC373" s="18" t="n">
        <v>0</v>
      </c>
      <c r="AD373" s="18" t="n">
        <v>0</v>
      </c>
      <c r="AE373" s="18" t="n">
        <v>0</v>
      </c>
      <c r="AF373" s="18" t="n">
        <v>0</v>
      </c>
      <c r="AG373" s="18" t="n"/>
      <c r="AH373" s="18" t="n"/>
      <c r="AI373" s="18" t="n"/>
      <c r="AJ373" s="18" t="n">
        <v>0</v>
      </c>
      <c r="AK373" s="18" t="n">
        <v>0</v>
      </c>
      <c r="AL373" s="18" t="n">
        <v>0</v>
      </c>
      <c r="AM373" s="18" t="n"/>
      <c r="AN373" s="18" t="n">
        <v>6360000</v>
      </c>
      <c r="AO373" s="18" t="n"/>
      <c r="AP373" s="18" t="n"/>
      <c r="AQ373" s="24" t="n"/>
      <c r="AR373" s="3" t="n">
        <f aca="false" ca="false" dt2D="false" dtr="false" t="normal">N373-AB373</f>
        <v>0</v>
      </c>
    </row>
    <row outlineLevel="0" r="374">
      <c r="A374" s="5" t="n">
        <f aca="false" ca="false" dt2D="false" dtr="false" t="normal">+A373+1</f>
        <v>356</v>
      </c>
      <c r="B374" s="159" t="n">
        <f aca="false" ca="false" dt2D="false" dtr="false" t="normal">+B373+1</f>
        <v>168</v>
      </c>
      <c r="C374" s="6" t="s">
        <v>141</v>
      </c>
      <c r="D374" s="6" t="s">
        <v>446</v>
      </c>
      <c r="E374" s="139" t="n">
        <v>1985</v>
      </c>
      <c r="F374" s="139" t="n">
        <v>2011</v>
      </c>
      <c r="G374" s="139" t="s">
        <v>4</v>
      </c>
      <c r="H374" s="139" t="n">
        <v>5</v>
      </c>
      <c r="I374" s="139" t="n">
        <v>2</v>
      </c>
      <c r="J374" s="17" t="n">
        <v>1696.6</v>
      </c>
      <c r="K374" s="17" t="n">
        <v>1532.2</v>
      </c>
      <c r="L374" s="17" t="n">
        <v>54.4</v>
      </c>
      <c r="M374" s="140" t="n">
        <v>58</v>
      </c>
      <c r="N374" s="16" t="n">
        <f aca="false" ca="false" dt2D="false" dtr="false" t="normal">SUM(P374:T374)</f>
        <v>530082.84</v>
      </c>
      <c r="O374" s="18" t="n"/>
      <c r="P374" s="18" t="n">
        <v>209145.34</v>
      </c>
      <c r="Q374" s="18" t="n"/>
      <c r="R374" s="18" t="n">
        <v>0</v>
      </c>
      <c r="S374" s="18" t="n">
        <v>320937.5</v>
      </c>
      <c r="T374" s="18" t="n"/>
      <c r="U374" s="18" t="n">
        <v>346.429936663759</v>
      </c>
      <c r="V374" s="18" t="n">
        <v>346.429936663759</v>
      </c>
      <c r="W374" s="212" t="n">
        <v>2023</v>
      </c>
      <c r="X374" s="12" t="n">
        <f aca="false" ca="false" dt2D="false" dtr="false" t="normal">660207.23-R198</f>
        <v>-167382</v>
      </c>
      <c r="Y374" s="3" t="n">
        <f aca="false" ca="false" dt2D="false" dtr="false" t="normal">+(K374*10+L374*20)*12*0.85</f>
        <v>167382</v>
      </c>
      <c r="Z374" s="3" t="n">
        <f aca="false" ca="false" dt2D="false" dtr="false" t="normal">+(K374*10+L374*20)*12*30-S198</f>
        <v>5575781.64</v>
      </c>
      <c r="AB374" s="23" t="n">
        <f aca="false" ca="true" dt2D="false" dtr="false" t="normal">SUBTOTAL(9, AC374:AQ374)</f>
        <v>530082.84</v>
      </c>
      <c r="AC374" s="18" t="n"/>
      <c r="AD374" s="18" t="n"/>
      <c r="AE374" s="18" t="n"/>
      <c r="AF374" s="18" t="n"/>
      <c r="AG374" s="18" t="n">
        <v>530082.84</v>
      </c>
      <c r="AH374" s="18" t="n"/>
      <c r="AI374" s="18" t="n"/>
      <c r="AJ374" s="18" t="n">
        <v>0</v>
      </c>
      <c r="AK374" s="18" t="n">
        <v>0</v>
      </c>
      <c r="AL374" s="18" t="n">
        <v>0</v>
      </c>
      <c r="AM374" s="18" t="n">
        <v>0</v>
      </c>
      <c r="AN374" s="18" t="n">
        <v>0</v>
      </c>
      <c r="AO374" s="18" t="n"/>
      <c r="AP374" s="18" t="n"/>
      <c r="AQ374" s="24" t="n"/>
      <c r="AR374" s="3" t="n">
        <f aca="false" ca="false" dt2D="false" dtr="false" t="normal">N374-AB374</f>
        <v>0</v>
      </c>
    </row>
    <row customFormat="true" ht="15" outlineLevel="0" r="375" s="184">
      <c r="A375" s="5" t="n">
        <f aca="false" ca="false" dt2D="false" dtr="false" t="normal">+A374+1</f>
        <v>357</v>
      </c>
      <c r="B375" s="159" t="n">
        <f aca="false" ca="false" dt2D="false" dtr="false" t="normal">+B374+1</f>
        <v>169</v>
      </c>
      <c r="C375" s="138" t="s">
        <v>667</v>
      </c>
      <c r="D375" s="138" t="s">
        <v>668</v>
      </c>
      <c r="E375" s="139" t="s">
        <v>459</v>
      </c>
      <c r="F375" s="139" t="s">
        <v>459</v>
      </c>
      <c r="G375" s="139" t="s">
        <v>4</v>
      </c>
      <c r="H375" s="139" t="s">
        <v>5</v>
      </c>
      <c r="I375" s="139" t="s">
        <v>5</v>
      </c>
      <c r="J375" s="17" t="n">
        <v>948.7</v>
      </c>
      <c r="K375" s="17" t="n">
        <v>864.8</v>
      </c>
      <c r="L375" s="17" t="n">
        <v>80.1</v>
      </c>
      <c r="M375" s="140" t="n">
        <v>31</v>
      </c>
      <c r="N375" s="16" t="n">
        <f aca="false" ca="false" dt2D="false" dtr="false" t="normal">SUM(P375:T375)</f>
        <v>2017825.74</v>
      </c>
      <c r="O375" s="18" t="n">
        <v>0</v>
      </c>
      <c r="P375" s="18" t="n"/>
      <c r="Q375" s="18" t="n">
        <v>0</v>
      </c>
      <c r="R375" s="18" t="n">
        <v>424479.78</v>
      </c>
      <c r="S375" s="18" t="n">
        <v>1593345.96</v>
      </c>
      <c r="T375" s="18" t="n"/>
      <c r="U375" s="18" t="n">
        <v>7880.49859719976</v>
      </c>
      <c r="V375" s="18" t="n">
        <v>1438.283020064</v>
      </c>
      <c r="W375" s="212" t="n">
        <v>2023</v>
      </c>
      <c r="X375" s="103" t="n">
        <v>314702.28</v>
      </c>
      <c r="Y375" s="3" t="n">
        <f aca="false" ca="false" dt2D="false" dtr="false" t="normal">+(K375*10.5+L375*21)*12*0.85</f>
        <v>109777.5</v>
      </c>
      <c r="Z375" s="3" t="n">
        <f aca="false" ca="false" dt2D="false" dtr="false" t="normal">+(K375*10.5+L375*21)*12*30-1088917.12</f>
        <v>2785582.88</v>
      </c>
      <c r="AA375" s="3" t="n"/>
      <c r="AB375" s="158" t="n">
        <f aca="false" ca="true" dt2D="false" dtr="false" t="normal">SUBTOTAL(9, AC375:AQ375)</f>
        <v>2017825.74</v>
      </c>
      <c r="AC375" s="18" t="n"/>
      <c r="AD375" s="18" t="n"/>
      <c r="AE375" s="18" t="n"/>
      <c r="AF375" s="18" t="n"/>
      <c r="AG375" s="18" t="n"/>
      <c r="AH375" s="18" t="n"/>
      <c r="AI375" s="18" t="n"/>
      <c r="AJ375" s="18" t="n"/>
      <c r="AK375" s="18" t="n"/>
      <c r="AL375" s="18" t="n"/>
      <c r="AM375" s="18" t="n"/>
      <c r="AN375" s="18" t="n">
        <v>1885957.2</v>
      </c>
      <c r="AO375" s="18" t="n">
        <v>107868.54</v>
      </c>
      <c r="AP375" s="18" t="n">
        <v>24000</v>
      </c>
      <c r="AQ375" s="24" t="n"/>
      <c r="AR375" s="3" t="n">
        <f aca="false" ca="false" dt2D="false" dtr="false" t="normal">N375-AB375</f>
        <v>0</v>
      </c>
      <c r="AT375" s="187" t="n"/>
    </row>
    <row customFormat="true" ht="15" outlineLevel="0" r="376" s="184">
      <c r="A376" s="5" t="n">
        <f aca="false" ca="false" dt2D="false" dtr="false" t="normal">+A375+1</f>
        <v>358</v>
      </c>
      <c r="B376" s="159" t="n">
        <f aca="false" ca="false" dt2D="false" dtr="false" t="normal">+B375+1</f>
        <v>170</v>
      </c>
      <c r="C376" s="138" t="s">
        <v>177</v>
      </c>
      <c r="D376" s="6" t="s">
        <v>669</v>
      </c>
      <c r="E376" s="139" t="s">
        <v>670</v>
      </c>
      <c r="F376" s="139" t="n"/>
      <c r="G376" s="139" t="s">
        <v>4</v>
      </c>
      <c r="H376" s="139" t="n">
        <v>3</v>
      </c>
      <c r="I376" s="139" t="n">
        <v>3</v>
      </c>
      <c r="J376" s="17" t="n">
        <v>2064.6</v>
      </c>
      <c r="K376" s="17" t="n">
        <v>1675.2</v>
      </c>
      <c r="L376" s="17" t="n">
        <v>0</v>
      </c>
      <c r="M376" s="140" t="n">
        <v>85</v>
      </c>
      <c r="N376" s="16" t="n">
        <f aca="false" ca="false" dt2D="false" dtr="false" t="normal">SUM(P376:T376)</f>
        <v>19396547.59</v>
      </c>
      <c r="O376" s="17" t="n"/>
      <c r="P376" s="18" t="n">
        <v>0</v>
      </c>
      <c r="Q376" s="18" t="n"/>
      <c r="R376" s="18" t="n">
        <v>19396547.59</v>
      </c>
      <c r="S376" s="18" t="n"/>
      <c r="T376" s="17" t="n"/>
      <c r="U376" s="151" t="n">
        <f aca="false" ca="false" dt2D="false" dtr="false" t="normal">$N376/($K376+$L376)</f>
        <v>11578.645887058261</v>
      </c>
      <c r="V376" s="151" t="n">
        <f aca="false" ca="false" dt2D="false" dtr="false" t="normal">$N376/($K376+$L376)</f>
        <v>11578.645887058261</v>
      </c>
      <c r="W376" s="212" t="n">
        <v>2023</v>
      </c>
      <c r="X376" s="202" t="n">
        <v>863803.68</v>
      </c>
      <c r="Y376" s="3" t="n">
        <f aca="false" ca="false" dt2D="false" dtr="false" t="normal">+(K376*13.29+L376*22.52)*12*0.85</f>
        <v>227086.7616</v>
      </c>
      <c r="Z376" s="3" t="n">
        <f aca="false" ca="false" dt2D="false" dtr="false" t="normal">+(K376*10+L376*20)*12*30</f>
        <v>6030720</v>
      </c>
      <c r="AA376" s="3" t="n"/>
      <c r="AB376" s="23" t="n">
        <f aca="false" ca="true" dt2D="false" dtr="false" t="normal">SUBTOTAL(9, AC376:AQ376)</f>
        <v>19396547.59</v>
      </c>
      <c r="AC376" s="18" t="n">
        <v>0</v>
      </c>
      <c r="AD376" s="18" t="n">
        <v>0</v>
      </c>
      <c r="AE376" s="18" t="n">
        <v>0</v>
      </c>
      <c r="AF376" s="18" t="n">
        <v>0</v>
      </c>
      <c r="AG376" s="18" t="n">
        <v>0</v>
      </c>
      <c r="AH376" s="18" t="n"/>
      <c r="AI376" s="18" t="n"/>
      <c r="AJ376" s="18" t="n">
        <v>0</v>
      </c>
      <c r="AK376" s="18" t="n">
        <v>19396547.59</v>
      </c>
      <c r="AL376" s="18" t="n">
        <v>0</v>
      </c>
      <c r="AM376" s="18" t="n">
        <v>0</v>
      </c>
      <c r="AN376" s="18" t="n">
        <v>0</v>
      </c>
      <c r="AO376" s="18" t="n"/>
      <c r="AP376" s="18" t="n"/>
      <c r="AQ376" s="191" t="n"/>
      <c r="AR376" s="3" t="n">
        <f aca="false" ca="false" dt2D="false" dtr="false" t="normal">N376-AB376</f>
        <v>0</v>
      </c>
      <c r="AT376" s="187" t="n"/>
    </row>
    <row customFormat="true" ht="15" outlineLevel="0" r="377" s="184">
      <c r="A377" s="5" t="n">
        <f aca="false" ca="false" dt2D="false" dtr="false" t="normal">+A376+1</f>
        <v>359</v>
      </c>
      <c r="B377" s="159" t="n">
        <f aca="false" ca="false" dt2D="false" dtr="false" t="normal">+B376+1</f>
        <v>171</v>
      </c>
      <c r="C377" s="138" t="s">
        <v>177</v>
      </c>
      <c r="D377" s="138" t="s">
        <v>672</v>
      </c>
      <c r="E377" s="139" t="n">
        <v>1996</v>
      </c>
      <c r="F377" s="139" t="n"/>
      <c r="G377" s="139" t="s">
        <v>4</v>
      </c>
      <c r="H377" s="139" t="n">
        <v>4</v>
      </c>
      <c r="I377" s="139" t="n">
        <v>3</v>
      </c>
      <c r="J377" s="17" t="n">
        <v>6441.2</v>
      </c>
      <c r="K377" s="17" t="n">
        <v>4463.1</v>
      </c>
      <c r="L377" s="17" t="n">
        <v>1969.2</v>
      </c>
      <c r="M377" s="140" t="n">
        <v>152</v>
      </c>
      <c r="N377" s="16" t="n">
        <f aca="false" ca="false" dt2D="false" dtr="false" t="normal">SUM(P377:T377)</f>
        <v>27023830.79</v>
      </c>
      <c r="O377" s="17" t="n"/>
      <c r="P377" s="18" t="n">
        <v>0</v>
      </c>
      <c r="Q377" s="18" t="n"/>
      <c r="R377" s="18" t="n">
        <v>27023830.79</v>
      </c>
      <c r="S377" s="18" t="n"/>
      <c r="T377" s="17" t="n"/>
      <c r="U377" s="151" t="n">
        <f aca="false" ca="false" dt2D="false" dtr="false" t="normal">$N377/($K377+$L377)</f>
        <v>4201.270275018267</v>
      </c>
      <c r="V377" s="151" t="n">
        <f aca="false" ca="false" dt2D="false" dtr="false" t="normal">$N377/($K377+$L377)</f>
        <v>4201.270275018267</v>
      </c>
      <c r="W377" s="212" t="n">
        <v>2023</v>
      </c>
      <c r="X377" s="202" t="n">
        <v>863803.68</v>
      </c>
      <c r="Y377" s="3" t="n">
        <f aca="false" ca="false" dt2D="false" dtr="false" t="normal">+(K377*13.29+L377*22.52)*12*0.85</f>
        <v>1057342.0266</v>
      </c>
      <c r="Z377" s="3" t="n">
        <f aca="false" ca="false" dt2D="false" dtr="false" t="normal">+(K377*10+L377*20)*12*30</f>
        <v>30245400</v>
      </c>
      <c r="AA377" s="3" t="n"/>
      <c r="AB377" s="23" t="n">
        <f aca="false" ca="true" dt2D="false" dtr="false" t="normal">SUBTOTAL(9, AC377:AQ377)</f>
        <v>27023830.790000003</v>
      </c>
      <c r="AC377" s="18" t="n">
        <v>0</v>
      </c>
      <c r="AD377" s="18" t="n">
        <v>0</v>
      </c>
      <c r="AE377" s="18" t="n">
        <v>0</v>
      </c>
      <c r="AF377" s="18" t="n">
        <v>0</v>
      </c>
      <c r="AG377" s="18" t="n">
        <v>0</v>
      </c>
      <c r="AH377" s="18" t="n"/>
      <c r="AI377" s="18" t="n"/>
      <c r="AJ377" s="18" t="n">
        <v>0</v>
      </c>
      <c r="AK377" s="18" t="n">
        <v>2963117.94</v>
      </c>
      <c r="AL377" s="18" t="n">
        <v>0</v>
      </c>
      <c r="AM377" s="18" t="n">
        <v>24060712.85</v>
      </c>
      <c r="AN377" s="18" t="n">
        <v>0</v>
      </c>
      <c r="AO377" s="18" t="n"/>
      <c r="AP377" s="18" t="n"/>
      <c r="AQ377" s="191" t="n"/>
      <c r="AR377" s="3" t="n">
        <f aca="false" ca="false" dt2D="false" dtr="false" t="normal">N377-AB377</f>
        <v>0</v>
      </c>
      <c r="AT377" s="187" t="n"/>
    </row>
    <row outlineLevel="0" r="378">
      <c r="A378" s="5" t="n">
        <f aca="false" ca="false" dt2D="false" dtr="false" t="normal">+A377+1</f>
        <v>360</v>
      </c>
      <c r="B378" s="159" t="n">
        <f aca="false" ca="false" dt2D="false" dtr="false" t="normal">+B377+1</f>
        <v>172</v>
      </c>
      <c r="C378" s="138" t="s">
        <v>177</v>
      </c>
      <c r="D378" s="6" t="s">
        <v>673</v>
      </c>
      <c r="E378" s="139" t="n">
        <v>2010</v>
      </c>
      <c r="F378" s="139" t="n"/>
      <c r="G378" s="139" t="s">
        <v>4</v>
      </c>
      <c r="H378" s="139" t="n">
        <v>7</v>
      </c>
      <c r="I378" s="139" t="n">
        <v>3</v>
      </c>
      <c r="J378" s="17" t="n">
        <v>6265.3</v>
      </c>
      <c r="K378" s="17" t="n">
        <v>5329.6</v>
      </c>
      <c r="L378" s="17" t="n">
        <v>0</v>
      </c>
      <c r="M378" s="140" t="n">
        <v>208</v>
      </c>
      <c r="N378" s="16" t="n">
        <f aca="false" ca="false" dt2D="false" dtr="false" t="normal">SUM(P378:T378)</f>
        <v>893135.77</v>
      </c>
      <c r="O378" s="17" t="n"/>
      <c r="P378" s="18" t="n"/>
      <c r="Q378" s="18" t="n"/>
      <c r="R378" s="18" t="n">
        <v>893135.77</v>
      </c>
      <c r="S378" s="18" t="n"/>
      <c r="T378" s="18" t="n"/>
      <c r="U378" s="151" t="n">
        <f aca="false" ca="false" dt2D="false" dtr="false" t="normal">$N378/($K378+$L378)</f>
        <v>167.5802630591414</v>
      </c>
      <c r="V378" s="151" t="n">
        <f aca="false" ca="false" dt2D="false" dtr="false" t="normal">$N378/($K378+$L378)</f>
        <v>167.5802630591414</v>
      </c>
      <c r="W378" s="212" t="n">
        <v>2023</v>
      </c>
      <c r="X378" s="202" t="n">
        <v>3444629.27</v>
      </c>
      <c r="Y378" s="3" t="n">
        <f aca="false" ca="false" dt2D="false" dtr="false" t="normal">+(K378*10+L378*20)*12*0.85</f>
        <v>543619.2</v>
      </c>
      <c r="Z378" s="3" t="n">
        <f aca="false" ca="false" dt2D="false" dtr="false" t="normal">+(K378*10+L378*20)*12*30</f>
        <v>19186560</v>
      </c>
      <c r="AB378" s="23" t="n">
        <f aca="false" ca="true" dt2D="false" dtr="false" t="normal">SUBTOTAL(9, AC378:AQ378)</f>
        <v>893135.77</v>
      </c>
      <c r="AC378" s="18" t="n"/>
      <c r="AD378" s="18" t="n">
        <v>893135.77</v>
      </c>
      <c r="AE378" s="18" t="n"/>
      <c r="AF378" s="18" t="n"/>
      <c r="AG378" s="18" t="n"/>
      <c r="AH378" s="18" t="n"/>
      <c r="AI378" s="18" t="n"/>
      <c r="AJ378" s="18" t="n"/>
      <c r="AK378" s="18" t="n"/>
      <c r="AL378" s="18" t="n"/>
      <c r="AM378" s="18" t="n"/>
      <c r="AN378" s="18" t="n"/>
      <c r="AO378" s="18" t="n"/>
      <c r="AP378" s="18" t="n"/>
      <c r="AQ378" s="191" t="n"/>
      <c r="AR378" s="3" t="n">
        <f aca="false" ca="false" dt2D="false" dtr="false" t="normal">N378-AB378</f>
        <v>0</v>
      </c>
    </row>
    <row customFormat="true" ht="15" outlineLevel="0" r="379" s="184">
      <c r="A379" s="5" t="n">
        <v>361</v>
      </c>
      <c r="B379" s="6" t="s">
        <v>76</v>
      </c>
      <c r="C379" s="138" t="s">
        <v>80</v>
      </c>
      <c r="D379" s="138" t="s">
        <v>81</v>
      </c>
      <c r="E379" s="139" t="s">
        <v>414</v>
      </c>
      <c r="F379" s="139" t="n"/>
      <c r="G379" s="139" t="s">
        <v>4</v>
      </c>
      <c r="H379" s="139" t="s">
        <v>165</v>
      </c>
      <c r="I379" s="139" t="s">
        <v>312</v>
      </c>
      <c r="J379" s="17" t="n">
        <v>5474.4</v>
      </c>
      <c r="K379" s="17" t="n">
        <v>4591</v>
      </c>
      <c r="L379" s="17" t="n">
        <v>74.8</v>
      </c>
      <c r="M379" s="140" t="n">
        <v>142</v>
      </c>
      <c r="N379" s="16" t="n">
        <f aca="false" ca="false" dt2D="false" dtr="false" t="normal">SUM(P379:T379)</f>
        <v>25340387.450000007</v>
      </c>
      <c r="O379" s="17" t="n">
        <v>0</v>
      </c>
      <c r="P379" s="18" t="n">
        <v>22389591.24</v>
      </c>
      <c r="Q379" s="18" t="n">
        <v>0</v>
      </c>
      <c r="R379" s="18" t="n"/>
      <c r="S379" s="18" t="n">
        <v>1112195.9836142</v>
      </c>
      <c r="T379" s="17" t="n">
        <v>1838600.22638581</v>
      </c>
      <c r="U379" s="18" t="n">
        <v>5340.65199143063</v>
      </c>
      <c r="V379" s="18" t="n">
        <v>1182.283020064</v>
      </c>
      <c r="W379" s="21" t="n">
        <v>2023</v>
      </c>
      <c r="X379" s="192" t="n">
        <f aca="false" ca="false" dt2D="false" dtr="false" t="normal">2359832.72-R210</f>
        <v>1627321.1</v>
      </c>
      <c r="Y379" s="3" t="n">
        <f aca="false" ca="false" dt2D="false" dtr="false" t="normal">+(K379*10+L379*20)*12*0.85</f>
        <v>483541.2</v>
      </c>
      <c r="Z379" s="3" t="n">
        <f aca="false" ca="false" dt2D="false" dtr="false" t="normal">+(K379*10+L379*20)*12*30-S210</f>
        <v>16829316.040000003</v>
      </c>
      <c r="AA379" s="3" t="n"/>
      <c r="AB379" s="23" t="n">
        <f aca="false" ca="true" dt2D="false" dtr="false" t="normal">SUBTOTAL(9, AC379:AQ379)</f>
        <v>25340387.450000003</v>
      </c>
      <c r="AC379" s="18" t="n"/>
      <c r="AD379" s="18" t="n"/>
      <c r="AE379" s="18" t="n"/>
      <c r="AF379" s="18" t="n">
        <v>0</v>
      </c>
      <c r="AG379" s="18" t="n">
        <v>0</v>
      </c>
      <c r="AH379" s="18" t="n"/>
      <c r="AI379" s="18" t="n">
        <v>0</v>
      </c>
      <c r="AJ379" s="18" t="n">
        <v>0</v>
      </c>
      <c r="AK379" s="18" t="n">
        <v>0</v>
      </c>
      <c r="AL379" s="18" t="n">
        <v>0</v>
      </c>
      <c r="AM379" s="18" t="n">
        <v>24877323.6</v>
      </c>
      <c r="AN379" s="18" t="n"/>
      <c r="AO379" s="18" t="n">
        <v>451063.85</v>
      </c>
      <c r="AP379" s="18" t="n">
        <v>12000</v>
      </c>
      <c r="AQ379" s="24" t="n"/>
      <c r="AR379" s="3" t="n">
        <f aca="false" ca="false" dt2D="false" dtr="false" t="normal">N379-AB379</f>
        <v>0</v>
      </c>
      <c r="AT379" s="187" t="n"/>
    </row>
    <row outlineLevel="0" r="380">
      <c r="A380" s="5" t="n">
        <f aca="false" ca="false" dt2D="false" dtr="false" t="normal">+A379+1</f>
        <v>362</v>
      </c>
      <c r="B380" s="6" t="n">
        <v>173</v>
      </c>
      <c r="C380" s="138" t="s">
        <v>97</v>
      </c>
      <c r="D380" s="138" t="s">
        <v>174</v>
      </c>
      <c r="E380" s="139" t="n">
        <v>1998</v>
      </c>
      <c r="F380" s="139" t="n">
        <v>1998</v>
      </c>
      <c r="G380" s="139" t="s">
        <v>4</v>
      </c>
      <c r="H380" s="139" t="n">
        <v>5</v>
      </c>
      <c r="I380" s="139" t="n">
        <v>4</v>
      </c>
      <c r="J380" s="17" t="n">
        <v>4979.8</v>
      </c>
      <c r="K380" s="17" t="n">
        <v>4317.2</v>
      </c>
      <c r="L380" s="17" t="n">
        <v>0</v>
      </c>
      <c r="M380" s="140" t="n">
        <v>170</v>
      </c>
      <c r="N380" s="16" t="n">
        <f aca="false" ca="false" dt2D="false" dtr="false" t="normal">SUM(P380:T380)</f>
        <v>2104424.3</v>
      </c>
      <c r="O380" s="17" t="n"/>
      <c r="P380" s="18" t="n">
        <v>179287.61</v>
      </c>
      <c r="Q380" s="18" t="n"/>
      <c r="R380" s="18" t="n">
        <v>149801.63</v>
      </c>
      <c r="S380" s="18" t="n">
        <v>1775335.06</v>
      </c>
      <c r="T380" s="18" t="n"/>
      <c r="U380" s="18" t="n">
        <v>5983.49263433758</v>
      </c>
      <c r="V380" s="18" t="n">
        <v>1180.283020064</v>
      </c>
      <c r="W380" s="21" t="n">
        <v>2023</v>
      </c>
      <c r="X380" s="1" t="n">
        <f aca="false" ca="false" dt2D="false" dtr="false" t="normal">2564742.71-1318564.22</f>
        <v>1246178.49</v>
      </c>
      <c r="Y380" s="3" t="n">
        <f aca="false" ca="false" dt2D="false" dtr="false" t="normal">+(K380*10.5+L380*21)*12*0.85</f>
        <v>462372.11999999994</v>
      </c>
      <c r="Z380" s="3" t="n">
        <f aca="false" ca="false" dt2D="false" dtr="false" t="normal">+(K380*10.5+L380*21)*12*30</f>
        <v>16319015.999999998</v>
      </c>
      <c r="AB380" s="158" t="n">
        <f aca="false" ca="true" dt2D="false" dtr="false" t="normal">SUBTOTAL(9, AC380:AQ380)</f>
        <v>2104424.3</v>
      </c>
      <c r="AC380" s="18" t="n"/>
      <c r="AD380" s="18" t="n"/>
      <c r="AE380" s="18" t="n">
        <v>2070922.4</v>
      </c>
      <c r="AF380" s="18" t="n"/>
      <c r="AG380" s="18" t="n">
        <v>0</v>
      </c>
      <c r="AH380" s="18" t="n"/>
      <c r="AI380" s="18" t="n"/>
      <c r="AJ380" s="18" t="n">
        <v>0</v>
      </c>
      <c r="AK380" s="18" t="n">
        <v>0</v>
      </c>
      <c r="AL380" s="18" t="n">
        <v>0</v>
      </c>
      <c r="AM380" s="18" t="n">
        <v>0</v>
      </c>
      <c r="AN380" s="18" t="n">
        <v>0</v>
      </c>
      <c r="AO380" s="18" t="n"/>
      <c r="AP380" s="18" t="n"/>
      <c r="AQ380" s="156" t="n">
        <v>33501.9</v>
      </c>
      <c r="AR380" s="3" t="n">
        <f aca="false" ca="false" dt2D="false" dtr="false" t="normal">N380-AB380</f>
        <v>0</v>
      </c>
    </row>
    <row outlineLevel="0" r="381">
      <c r="A381" s="5" t="n">
        <f aca="false" ca="false" dt2D="false" dtr="false" t="normal">+A380+1</f>
        <v>363</v>
      </c>
      <c r="B381" s="159" t="n">
        <f aca="false" ca="false" dt2D="false" dtr="false" t="normal">+B380+1</f>
        <v>174</v>
      </c>
      <c r="C381" s="138" t="s">
        <v>97</v>
      </c>
      <c r="D381" s="138" t="s">
        <v>98</v>
      </c>
      <c r="E381" s="139" t="n">
        <v>1993</v>
      </c>
      <c r="F381" s="139" t="n">
        <v>2012</v>
      </c>
      <c r="G381" s="139" t="s">
        <v>4</v>
      </c>
      <c r="H381" s="139" t="n">
        <v>3</v>
      </c>
      <c r="I381" s="139" t="n">
        <v>1</v>
      </c>
      <c r="J381" s="17" t="n">
        <v>1090</v>
      </c>
      <c r="K381" s="17" t="n">
        <v>942.47</v>
      </c>
      <c r="L381" s="17" t="n">
        <v>0</v>
      </c>
      <c r="M381" s="140" t="n">
        <v>33</v>
      </c>
      <c r="N381" s="16" t="n">
        <f aca="false" ca="false" dt2D="false" dtr="false" t="normal">SUM(P381:T381)</f>
        <v>687537.2600000001</v>
      </c>
      <c r="O381" s="17" t="n"/>
      <c r="P381" s="18" t="n"/>
      <c r="Q381" s="18" t="n"/>
      <c r="R381" s="18" t="n">
        <v>592092.87</v>
      </c>
      <c r="S381" s="18" t="n">
        <v>95444.3900000001</v>
      </c>
      <c r="T381" s="18" t="n"/>
      <c r="U381" s="18" t="n">
        <v>840.68258183817</v>
      </c>
      <c r="V381" s="18" t="n">
        <v>1185.283020064</v>
      </c>
      <c r="W381" s="21" t="n">
        <v>2023</v>
      </c>
      <c r="X381" s="12" t="n">
        <f aca="false" ca="false" dt2D="false" dtr="false" t="normal">604232.6-R24</f>
        <v>498331.45999999996</v>
      </c>
      <c r="Y381" s="3" t="n">
        <f aca="false" ca="false" dt2D="false" dtr="false" t="normal">+(K381*10.5+L381*21)*12*0.85</f>
        <v>100938.537</v>
      </c>
      <c r="Z381" s="3" t="n">
        <f aca="false" ca="false" dt2D="false" dtr="false" t="normal">+(K381*10.5+L381*21)*12*30</f>
        <v>3562536.6</v>
      </c>
      <c r="AB381" s="158" t="n">
        <f aca="false" ca="true" dt2D="false" dtr="false" t="normal">SUBTOTAL(9, AC381:AQ381)</f>
        <v>687537.26</v>
      </c>
      <c r="AC381" s="18" t="n">
        <v>0</v>
      </c>
      <c r="AD381" s="18" t="n">
        <v>0</v>
      </c>
      <c r="AE381" s="18" t="n">
        <v>681874</v>
      </c>
      <c r="AF381" s="18" t="n"/>
      <c r="AG381" s="18" t="n">
        <v>0</v>
      </c>
      <c r="AH381" s="18" t="n"/>
      <c r="AI381" s="18" t="n"/>
      <c r="AJ381" s="18" t="n">
        <v>0</v>
      </c>
      <c r="AK381" s="18" t="n">
        <v>0</v>
      </c>
      <c r="AL381" s="18" t="n">
        <v>0</v>
      </c>
      <c r="AM381" s="18" t="n">
        <v>0</v>
      </c>
      <c r="AN381" s="18" t="n">
        <v>0</v>
      </c>
      <c r="AO381" s="18" t="n"/>
      <c r="AP381" s="18" t="n"/>
      <c r="AQ381" s="156" t="n">
        <v>5663.26</v>
      </c>
      <c r="AR381" s="3" t="n">
        <f aca="false" ca="false" dt2D="false" dtr="false" t="normal">N381-AB381</f>
        <v>0</v>
      </c>
    </row>
    <row outlineLevel="0" r="382">
      <c r="A382" s="5" t="n">
        <f aca="false" ca="false" dt2D="false" dtr="false" t="normal">+A381+1</f>
        <v>364</v>
      </c>
      <c r="B382" s="159" t="n">
        <f aca="false" ca="false" dt2D="false" dtr="false" t="normal">+B381+1</f>
        <v>175</v>
      </c>
      <c r="C382" s="138" t="s">
        <v>97</v>
      </c>
      <c r="D382" s="138" t="s">
        <v>176</v>
      </c>
      <c r="E382" s="139" t="n">
        <v>1996</v>
      </c>
      <c r="F382" s="139" t="n">
        <v>1996</v>
      </c>
      <c r="G382" s="139" t="s">
        <v>4</v>
      </c>
      <c r="H382" s="139" t="n">
        <v>5</v>
      </c>
      <c r="I382" s="139" t="n">
        <v>4</v>
      </c>
      <c r="J382" s="17" t="n">
        <v>3635.6</v>
      </c>
      <c r="K382" s="17" t="n">
        <v>3076.7</v>
      </c>
      <c r="L382" s="17" t="n">
        <v>0</v>
      </c>
      <c r="M382" s="140" t="n">
        <v>99</v>
      </c>
      <c r="N382" s="16" t="n">
        <f aca="false" ca="false" dt2D="false" dtr="false" t="normal">SUM(P382:T382)</f>
        <v>6887339.91</v>
      </c>
      <c r="O382" s="17" t="n"/>
      <c r="P382" s="18" t="n">
        <v>3341930.63871283</v>
      </c>
      <c r="Q382" s="18" t="n"/>
      <c r="R382" s="18" t="n">
        <v>576501.1</v>
      </c>
      <c r="S382" s="18" t="n">
        <v>2630101.1978074</v>
      </c>
      <c r="T382" s="18" t="n">
        <v>338806.97347977</v>
      </c>
      <c r="U382" s="18" t="n">
        <v>5280.89631560666</v>
      </c>
      <c r="V382" s="18" t="n">
        <v>1182.283020064</v>
      </c>
      <c r="W382" s="21" t="n">
        <v>2023</v>
      </c>
      <c r="X382" s="1" t="n">
        <v>1855261.06</v>
      </c>
      <c r="Y382" s="3" t="n">
        <f aca="false" ca="false" dt2D="false" dtr="false" t="normal">+(K382*10.5+L382*21)*12*0.85</f>
        <v>329514.56999999995</v>
      </c>
      <c r="Z382" s="3" t="n">
        <f aca="false" ca="false" dt2D="false" dtr="false" t="normal">+(K382*10.5+L382*21)*12*30</f>
        <v>11629925.999999998</v>
      </c>
      <c r="AB382" s="158" t="n">
        <f aca="false" ca="true" dt2D="false" dtr="false" t="normal">SUBTOTAL(9, AC382:AQ382)</f>
        <v>6887339.91</v>
      </c>
      <c r="AD382" s="18" t="n">
        <v>4606470.12</v>
      </c>
      <c r="AE382" s="18" t="n"/>
      <c r="AF382" s="18" t="n">
        <v>2236444.67</v>
      </c>
      <c r="AG382" s="18" t="n">
        <v>0</v>
      </c>
      <c r="AH382" s="18" t="n"/>
      <c r="AI382" s="18" t="n"/>
      <c r="AJ382" s="18" t="n">
        <v>0</v>
      </c>
      <c r="AK382" s="18" t="n">
        <v>0</v>
      </c>
      <c r="AL382" s="18" t="n">
        <v>0</v>
      </c>
      <c r="AM382" s="18" t="n">
        <v>0</v>
      </c>
      <c r="AN382" s="18" t="n">
        <v>0</v>
      </c>
      <c r="AO382" s="18" t="n"/>
      <c r="AP382" s="18" t="n"/>
      <c r="AQ382" s="156" t="n">
        <f aca="false" ca="false" dt2D="false" dtr="false" t="normal">28896.64+15528.48</f>
        <v>44425.119999999995</v>
      </c>
      <c r="AR382" s="3" t="n">
        <f aca="false" ca="false" dt2D="false" dtr="false" t="normal">N382-AB382</f>
        <v>0</v>
      </c>
    </row>
    <row outlineLevel="0" r="383">
      <c r="A383" s="5" t="n">
        <f aca="false" ca="false" dt2D="false" dtr="false" t="normal">+A382+1</f>
        <v>365</v>
      </c>
      <c r="B383" s="159" t="n">
        <f aca="false" ca="false" dt2D="false" dtr="false" t="normal">+B382+1</f>
        <v>176</v>
      </c>
      <c r="C383" s="138" t="s">
        <v>104</v>
      </c>
      <c r="D383" s="138" t="s">
        <v>211</v>
      </c>
      <c r="E383" s="139" t="n">
        <v>1985</v>
      </c>
      <c r="F383" s="139" t="n">
        <v>2017</v>
      </c>
      <c r="G383" s="139" t="s">
        <v>4</v>
      </c>
      <c r="H383" s="139" t="n">
        <v>9</v>
      </c>
      <c r="I383" s="139" t="n">
        <v>5</v>
      </c>
      <c r="J383" s="17" t="n">
        <v>13256</v>
      </c>
      <c r="K383" s="17" t="n">
        <v>10326.3</v>
      </c>
      <c r="L383" s="17" t="n">
        <v>160.4</v>
      </c>
      <c r="M383" s="140" t="n">
        <v>409</v>
      </c>
      <c r="N383" s="16" t="n">
        <f aca="false" ca="false" dt2D="false" dtr="false" t="normal">SUM(P383:T383)</f>
        <v>6473254.53</v>
      </c>
      <c r="O383" s="17" t="n"/>
      <c r="P383" s="18" t="n"/>
      <c r="Q383" s="18" t="n"/>
      <c r="R383" s="18" t="n">
        <v>5907788.65</v>
      </c>
      <c r="S383" s="18" t="n">
        <v>565465.88</v>
      </c>
      <c r="T383" s="18" t="n"/>
      <c r="U383" s="17" t="n">
        <v>3446.00159899302</v>
      </c>
      <c r="V383" s="17" t="n">
        <v>3446.00159899302</v>
      </c>
      <c r="W383" s="21" t="n">
        <v>2023</v>
      </c>
      <c r="X383" s="1" t="n">
        <v>6376950.85</v>
      </c>
      <c r="Y383" s="3" t="n">
        <f aca="false" ca="false" dt2D="false" dtr="false" t="normal">+(K383*13.29+L383*22.52)*12*0.85</f>
        <v>1436657.0969999998</v>
      </c>
      <c r="Z383" s="3" t="n">
        <f aca="false" ca="false" dt2D="false" dtr="false" t="normal">+(K383*13.29+L383*22.52)*12*30</f>
        <v>50705544.599999994</v>
      </c>
      <c r="AB383" s="23" t="n">
        <f aca="false" ca="true" dt2D="false" dtr="false" t="normal">SUBTOTAL(9, AC383:AQ383)</f>
        <v>6473254.53</v>
      </c>
      <c r="AC383" s="17" t="n">
        <v>6359997.58</v>
      </c>
      <c r="AD383" s="18" t="n">
        <v>0</v>
      </c>
      <c r="AE383" s="18" t="n"/>
      <c r="AF383" s="18" t="n">
        <v>0</v>
      </c>
      <c r="AG383" s="18" t="n">
        <v>0</v>
      </c>
      <c r="AH383" s="18" t="n"/>
      <c r="AI383" s="18" t="n"/>
      <c r="AJ383" s="18" t="n">
        <v>0</v>
      </c>
      <c r="AK383" s="18" t="n">
        <v>0</v>
      </c>
      <c r="AL383" s="18" t="n">
        <v>0</v>
      </c>
      <c r="AM383" s="18" t="n">
        <v>0</v>
      </c>
      <c r="AN383" s="18" t="n">
        <v>0</v>
      </c>
      <c r="AO383" s="18" t="n"/>
      <c r="AP383" s="18" t="n"/>
      <c r="AQ383" s="156" t="n">
        <v>113256.95</v>
      </c>
      <c r="AR383" s="3" t="n">
        <f aca="false" ca="false" dt2D="false" dtr="false" t="normal">N383-AB383</f>
        <v>0</v>
      </c>
    </row>
    <row outlineLevel="0" r="384">
      <c r="A384" s="5" t="n">
        <f aca="false" ca="false" dt2D="false" dtr="false" t="normal">+A383+1</f>
        <v>366</v>
      </c>
      <c r="B384" s="159" t="n">
        <f aca="false" ca="false" dt2D="false" dtr="false" t="normal">+B383+1</f>
        <v>177</v>
      </c>
      <c r="C384" s="138" t="s">
        <v>104</v>
      </c>
      <c r="D384" s="138" t="s">
        <v>678</v>
      </c>
      <c r="E384" s="139" t="n">
        <v>1987</v>
      </c>
      <c r="F384" s="139" t="n">
        <v>2017</v>
      </c>
      <c r="G384" s="139" t="s">
        <v>4</v>
      </c>
      <c r="H384" s="139" t="n">
        <v>9</v>
      </c>
      <c r="I384" s="139" t="n">
        <v>5</v>
      </c>
      <c r="J384" s="17" t="n">
        <v>12250.3</v>
      </c>
      <c r="K384" s="17" t="n">
        <v>9272.3</v>
      </c>
      <c r="L384" s="17" t="n">
        <v>330.7</v>
      </c>
      <c r="M384" s="140" t="n">
        <v>376</v>
      </c>
      <c r="N384" s="16" t="n">
        <f aca="false" ca="false" dt2D="false" dtr="false" t="normal">SUM(P384:T384)</f>
        <v>17753087.02</v>
      </c>
      <c r="O384" s="17" t="n"/>
      <c r="P384" s="18" t="n"/>
      <c r="Q384" s="18" t="n"/>
      <c r="R384" s="18" t="n">
        <v>1626098.94</v>
      </c>
      <c r="S384" s="18" t="n">
        <v>14723056.9254617</v>
      </c>
      <c r="T384" s="18" t="n">
        <v>1403931.1545383</v>
      </c>
      <c r="U384" s="18" t="n">
        <v>1763.22550636813</v>
      </c>
      <c r="V384" s="18" t="n">
        <v>1189.283020064</v>
      </c>
      <c r="W384" s="21" t="n">
        <v>2023</v>
      </c>
      <c r="X384" s="103" t="n">
        <v>7457217.95</v>
      </c>
      <c r="Y384" s="3" t="n">
        <f aca="false" ca="false" dt2D="false" dtr="false" t="normal">+(K384*13.95+L384*23.65)*12*0.85</f>
        <v>1399130.3279999997</v>
      </c>
      <c r="Z384" s="3" t="n">
        <f aca="false" ca="false" dt2D="false" dtr="false" t="normal">+(K384*13.95+L384*23.65)*12*30</f>
        <v>49381070.39999999</v>
      </c>
      <c r="AB384" s="158" t="n">
        <f aca="false" ca="true" dt2D="false" dtr="false" t="normal">SUBTOTAL(9, AC384:AQ384)</f>
        <v>17753087.02</v>
      </c>
      <c r="AC384" s="18" t="n">
        <v>0</v>
      </c>
      <c r="AD384" s="18" t="n">
        <v>0</v>
      </c>
      <c r="AE384" s="18" t="n">
        <v>0</v>
      </c>
      <c r="AF384" s="18" t="n">
        <v>0</v>
      </c>
      <c r="AG384" s="18" t="n">
        <v>0</v>
      </c>
      <c r="AH384" s="18" t="n"/>
      <c r="AI384" s="18" t="n"/>
      <c r="AJ384" s="18" t="n">
        <v>0</v>
      </c>
      <c r="AK384" s="18" t="n">
        <v>0</v>
      </c>
      <c r="AL384" s="18" t="n">
        <v>17619090.9</v>
      </c>
      <c r="AM384" s="18" t="n">
        <v>0</v>
      </c>
      <c r="AN384" s="18" t="n">
        <v>0</v>
      </c>
      <c r="AO384" s="18" t="n"/>
      <c r="AP384" s="18" t="n"/>
      <c r="AQ384" s="156" t="n">
        <v>133996.12</v>
      </c>
      <c r="AR384" s="3" t="n">
        <f aca="false" ca="false" dt2D="false" dtr="false" t="normal">N384-AB384</f>
        <v>0</v>
      </c>
    </row>
    <row outlineLevel="0" r="385">
      <c r="A385" s="5" t="n">
        <f aca="false" ca="false" dt2D="false" dtr="false" t="normal">+A384+1</f>
        <v>367</v>
      </c>
      <c r="B385" s="159" t="n">
        <f aca="false" ca="false" dt2D="false" dtr="false" t="normal">+B384+1</f>
        <v>178</v>
      </c>
      <c r="C385" s="138" t="s">
        <v>104</v>
      </c>
      <c r="D385" s="138" t="s">
        <v>679</v>
      </c>
      <c r="E385" s="139" t="n">
        <v>1987</v>
      </c>
      <c r="F385" s="139" t="n">
        <v>2016</v>
      </c>
      <c r="G385" s="139" t="s">
        <v>4</v>
      </c>
      <c r="H385" s="139" t="n">
        <v>5</v>
      </c>
      <c r="I385" s="139" t="n">
        <v>2</v>
      </c>
      <c r="J385" s="17" t="n">
        <v>4414.46</v>
      </c>
      <c r="K385" s="17" t="n">
        <v>3063.3</v>
      </c>
      <c r="L385" s="17" t="n">
        <v>691.2</v>
      </c>
      <c r="M385" s="140" t="n">
        <v>189</v>
      </c>
      <c r="N385" s="16" t="n">
        <f aca="false" ca="false" dt2D="false" dtr="false" t="normal">SUM(P385:T385)</f>
        <v>3544649.3499999996</v>
      </c>
      <c r="O385" s="17" t="n"/>
      <c r="P385" s="18" t="n"/>
      <c r="Q385" s="18" t="n"/>
      <c r="R385" s="18" t="n">
        <v>1857708.72</v>
      </c>
      <c r="S385" s="18" t="n">
        <v>1686940.63</v>
      </c>
      <c r="T385" s="151" t="n"/>
      <c r="U385" s="18" t="n">
        <v>1397.77679492934</v>
      </c>
      <c r="V385" s="18" t="n">
        <v>1194.283020064</v>
      </c>
      <c r="W385" s="21" t="n">
        <v>2023</v>
      </c>
      <c r="X385" s="1" t="n">
        <f aca="false" ca="false" dt2D="false" dtr="false" t="normal">2719968.2-1338393.95</f>
        <v>1381574.2500000002</v>
      </c>
      <c r="Y385" s="3" t="n">
        <f aca="false" ca="false" dt2D="false" dtr="false" t="normal">+(K385*10.5+L385*21)*12*0.85</f>
        <v>476134.47000000003</v>
      </c>
      <c r="Z385" s="3" t="n">
        <f aca="false" ca="false" dt2D="false" dtr="false" t="normal">+(K385*10.5+L385*21)*12*30-994515.5</f>
        <v>15810230.500000004</v>
      </c>
      <c r="AB385" s="158" t="n">
        <f aca="false" ca="true" dt2D="false" dtr="false" t="normal">SUBTOTAL(9, AC385:AQ385)</f>
        <v>3544649.35</v>
      </c>
      <c r="AC385" s="18" t="n"/>
      <c r="AD385" s="18" t="n">
        <v>0</v>
      </c>
      <c r="AE385" s="18" t="n">
        <v>0</v>
      </c>
      <c r="AF385" s="18" t="n">
        <v>0</v>
      </c>
      <c r="AG385" s="18" t="n">
        <v>0</v>
      </c>
      <c r="AH385" s="18" t="n"/>
      <c r="AI385" s="18" t="n"/>
      <c r="AJ385" s="18" t="n">
        <v>0</v>
      </c>
      <c r="AK385" s="18" t="n">
        <v>0</v>
      </c>
      <c r="AL385" s="18" t="n">
        <v>0</v>
      </c>
      <c r="AM385" s="18" t="n">
        <v>3507510.73</v>
      </c>
      <c r="AN385" s="18" t="n">
        <v>0</v>
      </c>
      <c r="AO385" s="18" t="n"/>
      <c r="AP385" s="18" t="n"/>
      <c r="AQ385" s="156" t="n">
        <v>37138.62</v>
      </c>
      <c r="AR385" s="3" t="n">
        <f aca="false" ca="false" dt2D="false" dtr="false" t="normal">N385-AB385</f>
        <v>0</v>
      </c>
    </row>
    <row outlineLevel="0" r="386">
      <c r="A386" s="5" t="n">
        <f aca="false" ca="false" dt2D="false" dtr="false" t="normal">+A385+1</f>
        <v>368</v>
      </c>
      <c r="B386" s="159" t="n">
        <f aca="false" ca="false" dt2D="false" dtr="false" t="normal">+B385+1</f>
        <v>179</v>
      </c>
      <c r="C386" s="138" t="s">
        <v>104</v>
      </c>
      <c r="D386" s="138" t="s">
        <v>130</v>
      </c>
      <c r="E386" s="139" t="n">
        <v>1990</v>
      </c>
      <c r="F386" s="139" t="n">
        <v>2017</v>
      </c>
      <c r="G386" s="139" t="s">
        <v>4</v>
      </c>
      <c r="H386" s="139" t="n">
        <v>9</v>
      </c>
      <c r="I386" s="139" t="n">
        <v>1</v>
      </c>
      <c r="J386" s="17" t="n">
        <v>4527.8</v>
      </c>
      <c r="K386" s="17" t="n">
        <v>3876.4</v>
      </c>
      <c r="L386" s="17" t="n">
        <v>0</v>
      </c>
      <c r="M386" s="140" t="n">
        <v>153</v>
      </c>
      <c r="N386" s="16" t="n">
        <f aca="false" ca="false" dt2D="false" dtr="false" t="normal">SUM(P386:T386)</f>
        <v>938135.1</v>
      </c>
      <c r="O386" s="17" t="n"/>
      <c r="P386" s="18" t="n"/>
      <c r="Q386" s="18" t="n"/>
      <c r="R386" s="18" t="n">
        <v>281440.53</v>
      </c>
      <c r="S386" s="18" t="n">
        <v>656694.57</v>
      </c>
      <c r="T386" s="151" t="n"/>
      <c r="U386" s="18" t="n">
        <v>380.774798405671</v>
      </c>
      <c r="V386" s="18" t="n">
        <v>380.774798405671</v>
      </c>
      <c r="W386" s="21" t="n">
        <v>2023</v>
      </c>
      <c r="X386" s="12" t="n">
        <f aca="false" ca="false" dt2D="false" dtr="false" t="normal">2413836.61-R37</f>
        <v>953855.3557815398</v>
      </c>
      <c r="Y386" s="3" t="n">
        <f aca="false" ca="false" dt2D="false" dtr="false" t="normal">+(K386*13.29+L386*22.52)*12*0.85</f>
        <v>525477.0312</v>
      </c>
      <c r="Z386" s="3" t="n">
        <f aca="false" ca="false" dt2D="false" dtr="false" t="normal">+(K386*13.29+L386*22.52)*12*30-S37</f>
        <v>15353224.06421846</v>
      </c>
      <c r="AB386" s="23" t="n">
        <f aca="false" ca="true" dt2D="false" dtr="false" t="normal">SUBTOTAL(9, AC386:AQ386)</f>
        <v>938135.1</v>
      </c>
      <c r="AC386" s="18" t="n"/>
      <c r="AD386" s="18" t="n"/>
      <c r="AE386" s="18" t="n">
        <v>938135.1</v>
      </c>
      <c r="AF386" s="18" t="n"/>
      <c r="AG386" s="18" t="n">
        <v>0</v>
      </c>
      <c r="AH386" s="18" t="n"/>
      <c r="AI386" s="18" t="n"/>
      <c r="AJ386" s="18" t="n">
        <v>0</v>
      </c>
      <c r="AK386" s="18" t="n">
        <v>0</v>
      </c>
      <c r="AL386" s="18" t="n"/>
      <c r="AM386" s="18" t="n">
        <v>0</v>
      </c>
      <c r="AN386" s="18" t="n">
        <v>0</v>
      </c>
      <c r="AO386" s="18" t="n"/>
      <c r="AP386" s="18" t="n"/>
      <c r="AQ386" s="24" t="n"/>
      <c r="AR386" s="3" t="n">
        <f aca="false" ca="false" dt2D="false" dtr="false" t="normal">N386-AB386</f>
        <v>0</v>
      </c>
    </row>
    <row outlineLevel="0" r="387">
      <c r="A387" s="5" t="n">
        <f aca="false" ca="false" dt2D="false" dtr="false" t="normal">+A386+1</f>
        <v>369</v>
      </c>
      <c r="B387" s="159" t="n">
        <f aca="false" ca="false" dt2D="false" dtr="false" t="normal">+B386+1</f>
        <v>180</v>
      </c>
      <c r="C387" s="138" t="s">
        <v>104</v>
      </c>
      <c r="D387" s="138" t="s">
        <v>255</v>
      </c>
      <c r="E387" s="139" t="n">
        <v>1989</v>
      </c>
      <c r="F387" s="139" t="n">
        <v>2016</v>
      </c>
      <c r="G387" s="139" t="s">
        <v>4</v>
      </c>
      <c r="H387" s="139" t="n">
        <v>5</v>
      </c>
      <c r="I387" s="139" t="n">
        <v>4</v>
      </c>
      <c r="J387" s="17" t="n">
        <v>5827.1</v>
      </c>
      <c r="K387" s="17" t="n">
        <v>4877.5</v>
      </c>
      <c r="L387" s="17" t="n">
        <v>0</v>
      </c>
      <c r="M387" s="140" t="n">
        <v>218</v>
      </c>
      <c r="N387" s="16" t="n">
        <f aca="false" ca="false" dt2D="false" dtr="false" t="normal">SUM(P387:T387)</f>
        <v>3743326.59</v>
      </c>
      <c r="O387" s="17" t="n"/>
      <c r="P387" s="18" t="n"/>
      <c r="Q387" s="18" t="n"/>
      <c r="R387" s="18" t="n">
        <v>1450818.5</v>
      </c>
      <c r="S387" s="18" t="n">
        <v>2292508.09</v>
      </c>
      <c r="T387" s="18" t="n"/>
      <c r="U387" s="18" t="n">
        <v>2166.4763450462</v>
      </c>
      <c r="V387" s="18" t="n">
        <v>1209.283020064</v>
      </c>
      <c r="W387" s="21" t="n">
        <v>2023</v>
      </c>
      <c r="X387" s="103" t="n">
        <v>2848311.76</v>
      </c>
      <c r="Y387" s="3" t="n">
        <f aca="false" ca="false" dt2D="false" dtr="false" t="normal">+(K387*10.5+L387*21)*12*0.85</f>
        <v>522380.25</v>
      </c>
      <c r="Z387" s="3" t="n">
        <f aca="false" ca="false" dt2D="false" dtr="false" t="normal">+(K387*10.5+L387*21)*12*30</f>
        <v>18436950</v>
      </c>
      <c r="AB387" s="158" t="n">
        <f aca="false" ca="true" dt2D="false" dtr="false" t="normal">SUBTOTAL(9, AC387:AQ387)</f>
        <v>3743326.59</v>
      </c>
      <c r="AC387" s="18" t="n">
        <v>3743326.59</v>
      </c>
      <c r="AD387" s="18" t="n"/>
      <c r="AE387" s="18" t="n">
        <v>0</v>
      </c>
      <c r="AF387" s="18" t="n"/>
      <c r="AG387" s="18" t="n">
        <v>0</v>
      </c>
      <c r="AH387" s="18" t="n"/>
      <c r="AI387" s="18" t="n"/>
      <c r="AJ387" s="18" t="n">
        <v>0</v>
      </c>
      <c r="AK387" s="18" t="n">
        <v>0</v>
      </c>
      <c r="AL387" s="18" t="n">
        <v>0</v>
      </c>
      <c r="AM387" s="18" t="n">
        <v>0</v>
      </c>
      <c r="AN387" s="18" t="n">
        <v>0</v>
      </c>
      <c r="AO387" s="18" t="n"/>
      <c r="AP387" s="18" t="n"/>
      <c r="AQ387" s="24" t="n"/>
      <c r="AR387" s="3" t="n">
        <f aca="false" ca="false" dt2D="false" dtr="false" t="normal">N387-AB387</f>
        <v>0</v>
      </c>
    </row>
    <row outlineLevel="0" r="388">
      <c r="A388" s="5" t="n">
        <f aca="false" ca="false" dt2D="false" dtr="false" t="normal">+A387+1</f>
        <v>370</v>
      </c>
      <c r="B388" s="159" t="n">
        <f aca="false" ca="false" dt2D="false" dtr="false" t="normal">+B387+1</f>
        <v>181</v>
      </c>
      <c r="C388" s="138" t="s">
        <v>104</v>
      </c>
      <c r="D388" s="138" t="s">
        <v>682</v>
      </c>
      <c r="E388" s="139" t="n">
        <v>1994</v>
      </c>
      <c r="F388" s="139" t="n">
        <v>1994</v>
      </c>
      <c r="G388" s="139" t="s">
        <v>4</v>
      </c>
      <c r="H388" s="139" t="n">
        <v>10</v>
      </c>
      <c r="I388" s="139" t="n">
        <v>1</v>
      </c>
      <c r="J388" s="17" t="n">
        <v>3200.9</v>
      </c>
      <c r="K388" s="17" t="n">
        <v>2751.2</v>
      </c>
      <c r="L388" s="17" t="n">
        <v>0</v>
      </c>
      <c r="M388" s="140" t="n">
        <v>107</v>
      </c>
      <c r="N388" s="16" t="n">
        <f aca="false" ca="false" dt2D="false" dtr="false" t="normal">SUM(P388:T388)</f>
        <v>13915801.99</v>
      </c>
      <c r="O388" s="17" t="n"/>
      <c r="P388" s="18" t="n"/>
      <c r="Q388" s="18" t="n"/>
      <c r="R388" s="18" t="n">
        <v>7055346.32</v>
      </c>
      <c r="S388" s="18" t="n">
        <v>6860455.67</v>
      </c>
      <c r="T388" s="18" t="n"/>
      <c r="U388" s="18" t="n">
        <v>5146.57038175105</v>
      </c>
      <c r="V388" s="18" t="n">
        <v>1211.283020064</v>
      </c>
      <c r="W388" s="21" t="n">
        <v>2023</v>
      </c>
      <c r="X388" s="1" t="n">
        <f aca="false" ca="false" dt2D="false" dtr="false" t="normal">2009065.49-187767.96</f>
        <v>1821297.53</v>
      </c>
      <c r="Y388" s="3" t="n">
        <f aca="false" ca="false" dt2D="false" dtr="false" t="normal">+(K388*13.95+L388*23.65)*12*0.85</f>
        <v>391468.248</v>
      </c>
      <c r="Z388" s="3" t="n">
        <f aca="false" ca="false" dt2D="false" dtr="false" t="normal">+(K388*13.95+L388*23.65)*12*30-105832.49</f>
        <v>13710693.91</v>
      </c>
      <c r="AB388" s="158" t="n">
        <f aca="false" ca="true" dt2D="false" dtr="false" t="normal">SUBTOTAL(9, AC388:AQ388)</f>
        <v>13915801.989999998</v>
      </c>
      <c r="AC388" s="18" t="n">
        <v>0</v>
      </c>
      <c r="AD388" s="18" t="n">
        <v>0</v>
      </c>
      <c r="AE388" s="18" t="n">
        <v>0</v>
      </c>
      <c r="AF388" s="18" t="n">
        <v>0</v>
      </c>
      <c r="AG388" s="18" t="n">
        <v>0</v>
      </c>
      <c r="AH388" s="18" t="n"/>
      <c r="AI388" s="18" t="n"/>
      <c r="AJ388" s="18" t="n">
        <v>0</v>
      </c>
      <c r="AK388" s="18" t="n">
        <v>0</v>
      </c>
      <c r="AL388" s="18" t="n">
        <v>0</v>
      </c>
      <c r="AM388" s="18" t="n">
        <v>13745702.45</v>
      </c>
      <c r="AN388" s="18" t="n">
        <v>0</v>
      </c>
      <c r="AO388" s="18" t="n"/>
      <c r="AP388" s="18" t="n"/>
      <c r="AQ388" s="156" t="n">
        <v>170099.54</v>
      </c>
      <c r="AR388" s="3" t="n">
        <f aca="false" ca="false" dt2D="false" dtr="false" t="normal">N388-AB388</f>
        <v>0</v>
      </c>
    </row>
    <row outlineLevel="0" r="389">
      <c r="A389" s="5" t="n">
        <f aca="false" ca="false" dt2D="false" dtr="false" t="normal">+A388+1</f>
        <v>371</v>
      </c>
      <c r="B389" s="159" t="n">
        <f aca="false" ca="false" dt2D="false" dtr="false" t="normal">+B388+1</f>
        <v>182</v>
      </c>
      <c r="C389" s="138" t="s">
        <v>104</v>
      </c>
      <c r="D389" s="138" t="s">
        <v>273</v>
      </c>
      <c r="E389" s="139" t="n">
        <v>1982</v>
      </c>
      <c r="F389" s="139" t="n">
        <v>2008</v>
      </c>
      <c r="G389" s="139" t="s">
        <v>4</v>
      </c>
      <c r="H389" s="139" t="n">
        <v>5</v>
      </c>
      <c r="I389" s="139" t="n">
        <v>7</v>
      </c>
      <c r="J389" s="17" t="n">
        <v>6399.1</v>
      </c>
      <c r="K389" s="17" t="n">
        <v>4849.9</v>
      </c>
      <c r="L389" s="17" t="n">
        <v>814.5</v>
      </c>
      <c r="M389" s="140" t="n">
        <v>218</v>
      </c>
      <c r="N389" s="16" t="n">
        <f aca="false" ca="false" dt2D="false" dtr="false" t="normal">SUM(P389:T389)</f>
        <v>2095365.92</v>
      </c>
      <c r="O389" s="17" t="n"/>
      <c r="P389" s="18" t="n"/>
      <c r="Q389" s="18" t="n"/>
      <c r="R389" s="12" t="n">
        <v>2095365.92</v>
      </c>
      <c r="S389" s="18" t="n"/>
      <c r="T389" s="18" t="n"/>
      <c r="U389" s="17" t="n">
        <v>2104.88432687086</v>
      </c>
      <c r="V389" s="17" t="n">
        <v>2104.88432687086</v>
      </c>
      <c r="W389" s="21" t="n">
        <v>2023</v>
      </c>
      <c r="X389" s="1" t="n">
        <v>2229911.9</v>
      </c>
      <c r="Y389" s="3" t="n">
        <f aca="false" ca="false" dt2D="false" dtr="false" t="normal">+(K389*10+L389*20)*12*0.85</f>
        <v>660847.7999999999</v>
      </c>
      <c r="Z389" s="3" t="n">
        <f aca="false" ca="false" dt2D="false" dtr="false" t="normal">+(K389*10+L389*20)*12*30</f>
        <v>23324040</v>
      </c>
      <c r="AB389" s="23" t="n">
        <f aca="false" ca="true" dt2D="false" dtr="false" t="normal">SUBTOTAL(9, AC389:AQ389)</f>
        <v>2095365.92</v>
      </c>
      <c r="AC389" s="18" t="n">
        <v>2095365.92</v>
      </c>
      <c r="AD389" s="18" t="n">
        <v>0</v>
      </c>
      <c r="AE389" s="18" t="n"/>
      <c r="AF389" s="18" t="n">
        <v>0</v>
      </c>
      <c r="AG389" s="18" t="n">
        <v>0</v>
      </c>
      <c r="AH389" s="18" t="n"/>
      <c r="AI389" s="18" t="n"/>
      <c r="AJ389" s="18" t="n">
        <v>0</v>
      </c>
      <c r="AK389" s="18" t="n">
        <v>0</v>
      </c>
      <c r="AL389" s="18" t="n">
        <v>0</v>
      </c>
      <c r="AM389" s="18" t="n">
        <v>0</v>
      </c>
      <c r="AN389" s="18" t="n">
        <v>0</v>
      </c>
      <c r="AO389" s="18" t="n"/>
      <c r="AP389" s="18" t="n"/>
      <c r="AQ389" s="24" t="n"/>
      <c r="AR389" s="3" t="n">
        <f aca="false" ca="false" dt2D="false" dtr="false" t="normal">N389-AB389</f>
        <v>0</v>
      </c>
    </row>
    <row outlineLevel="0" r="390">
      <c r="A390" s="5" t="n">
        <f aca="false" ca="false" dt2D="false" dtr="false" t="normal">+A389+1</f>
        <v>372</v>
      </c>
      <c r="B390" s="159" t="n">
        <f aca="false" ca="false" dt2D="false" dtr="false" t="normal">+B389+1</f>
        <v>183</v>
      </c>
      <c r="C390" s="138" t="s">
        <v>104</v>
      </c>
      <c r="D390" s="138" t="s">
        <v>275</v>
      </c>
      <c r="E390" s="139" t="n">
        <v>1983</v>
      </c>
      <c r="F390" s="139" t="n">
        <v>2015</v>
      </c>
      <c r="G390" s="139" t="s">
        <v>4</v>
      </c>
      <c r="H390" s="139" t="n">
        <v>5</v>
      </c>
      <c r="I390" s="139" t="n">
        <v>4</v>
      </c>
      <c r="J390" s="17" t="n">
        <v>4471.9</v>
      </c>
      <c r="K390" s="17" t="n">
        <v>3791</v>
      </c>
      <c r="L390" s="17" t="n">
        <v>256.8</v>
      </c>
      <c r="M390" s="140" t="n">
        <v>156</v>
      </c>
      <c r="N390" s="16" t="n">
        <f aca="false" ca="false" dt2D="false" dtr="false" t="normal">SUM(P390:T390)</f>
        <v>10896388.01</v>
      </c>
      <c r="O390" s="17" t="n"/>
      <c r="P390" s="18" t="n">
        <v>4239342.15</v>
      </c>
      <c r="Q390" s="18" t="n"/>
      <c r="R390" s="18" t="n">
        <v>721963.92</v>
      </c>
      <c r="S390" s="18" t="n">
        <v>5338533.29796555</v>
      </c>
      <c r="T390" s="18" t="n">
        <v>596548.64203445</v>
      </c>
      <c r="U390" s="18" t="n">
        <v>7998.1943510318</v>
      </c>
      <c r="V390" s="18" t="n">
        <v>1223.283020064</v>
      </c>
      <c r="W390" s="21" t="n">
        <v>2023</v>
      </c>
      <c r="X390" s="12" t="n">
        <f aca="false" ca="false" dt2D="false" dtr="false" t="normal">2269636.35-R536</f>
        <v>82232.66000000015</v>
      </c>
      <c r="Y390" s="3" t="n">
        <f aca="false" ca="false" dt2D="false" dtr="false" t="normal">+(K390*10.5+L390*21)*12*0.85</f>
        <v>461022.6600000001</v>
      </c>
      <c r="Z390" s="3" t="n">
        <f aca="false" ca="false" dt2D="false" dtr="false" t="normal">+(K390*10.5+L390*21)*12*30-S536</f>
        <v>9583871.710000005</v>
      </c>
      <c r="AB390" s="158" t="n">
        <f aca="false" ca="true" dt2D="false" dtr="false" t="normal">SUBTOTAL(9, AC390:AQ390)</f>
        <v>10896388.01</v>
      </c>
      <c r="AC390" s="18" t="n">
        <v>0</v>
      </c>
      <c r="AD390" s="18" t="n">
        <v>0</v>
      </c>
      <c r="AE390" s="18" t="n">
        <v>0</v>
      </c>
      <c r="AF390" s="18" t="n"/>
      <c r="AG390" s="18" t="n">
        <v>0</v>
      </c>
      <c r="AH390" s="18" t="n"/>
      <c r="AI390" s="18" t="n"/>
      <c r="AJ390" s="18" t="n">
        <v>0</v>
      </c>
      <c r="AK390" s="18" t="n">
        <v>0</v>
      </c>
      <c r="AL390" s="18" t="n">
        <v>0</v>
      </c>
      <c r="AM390" s="18" t="n">
        <v>10799889.6</v>
      </c>
      <c r="AN390" s="18" t="n">
        <v>0</v>
      </c>
      <c r="AO390" s="18" t="n"/>
      <c r="AP390" s="18" t="n"/>
      <c r="AQ390" s="156" t="n">
        <v>96498.41</v>
      </c>
      <c r="AR390" s="3" t="n">
        <f aca="false" ca="false" dt2D="false" dtr="false" t="normal">N390-AB390</f>
        <v>0</v>
      </c>
    </row>
    <row outlineLevel="0" r="391">
      <c r="A391" s="5" t="n">
        <f aca="false" ca="false" dt2D="false" dtr="false" t="normal">+A390+1</f>
        <v>373</v>
      </c>
      <c r="B391" s="159" t="n">
        <f aca="false" ca="false" dt2D="false" dtr="false" t="normal">+B390+1</f>
        <v>184</v>
      </c>
      <c r="C391" s="138" t="s">
        <v>104</v>
      </c>
      <c r="D391" s="138" t="s">
        <v>685</v>
      </c>
      <c r="E391" s="139" t="n">
        <v>1992</v>
      </c>
      <c r="F391" s="139" t="n">
        <v>2012</v>
      </c>
      <c r="G391" s="139" t="s">
        <v>4</v>
      </c>
      <c r="H391" s="139" t="n">
        <v>9</v>
      </c>
      <c r="I391" s="139" t="n">
        <v>2</v>
      </c>
      <c r="J391" s="17" t="n">
        <v>6461</v>
      </c>
      <c r="K391" s="17" t="n">
        <v>5606</v>
      </c>
      <c r="L391" s="17" t="n">
        <v>127.2</v>
      </c>
      <c r="M391" s="140" t="n">
        <v>222</v>
      </c>
      <c r="N391" s="16" t="n">
        <f aca="false" ca="false" dt2D="false" dtr="false" t="normal">SUM(P391:T391)</f>
        <v>7651462.94</v>
      </c>
      <c r="O391" s="17" t="n"/>
      <c r="P391" s="18" t="n"/>
      <c r="Q391" s="18" t="n"/>
      <c r="R391" s="18" t="n">
        <v>5032110.246</v>
      </c>
      <c r="S391" s="18" t="n">
        <v>2619352.694</v>
      </c>
      <c r="T391" s="18" t="n"/>
      <c r="U391" s="18" t="n">
        <v>3111.01049196992</v>
      </c>
      <c r="V391" s="18" t="n">
        <v>1225.283020064</v>
      </c>
      <c r="W391" s="21" t="n">
        <v>2023</v>
      </c>
      <c r="X391" s="103" t="n">
        <v>4203748.05</v>
      </c>
      <c r="Y391" s="3" t="n">
        <f aca="false" ca="false" dt2D="false" dtr="false" t="normal">+(K391*13.95+L391*23.65)*12*0.85</f>
        <v>828362.196</v>
      </c>
      <c r="Z391" s="3" t="n">
        <f aca="false" ca="false" dt2D="false" dtr="false" t="normal">+(K391*13.95+L391*23.65)*12*30</f>
        <v>29236312.8</v>
      </c>
      <c r="AB391" s="158" t="n">
        <f aca="false" ca="true" dt2D="false" dtr="false" t="normal">SUBTOTAL(9, AC391:AQ391)</f>
        <v>7651462.94</v>
      </c>
      <c r="AC391" s="17" t="n">
        <v>7651462.94</v>
      </c>
      <c r="AD391" s="18" t="n">
        <v>0</v>
      </c>
      <c r="AE391" s="18" t="n">
        <v>0</v>
      </c>
      <c r="AF391" s="18" t="n">
        <v>0</v>
      </c>
      <c r="AG391" s="18" t="n">
        <v>0</v>
      </c>
      <c r="AH391" s="18" t="n"/>
      <c r="AI391" s="18" t="n"/>
      <c r="AJ391" s="18" t="n">
        <v>0</v>
      </c>
      <c r="AK391" s="18" t="n">
        <v>0</v>
      </c>
      <c r="AL391" s="18" t="n">
        <v>0</v>
      </c>
      <c r="AM391" s="18" t="n">
        <v>0</v>
      </c>
      <c r="AN391" s="18" t="n">
        <v>0</v>
      </c>
      <c r="AO391" s="18" t="n"/>
      <c r="AP391" s="18" t="n"/>
      <c r="AQ391" s="24" t="n"/>
      <c r="AR391" s="3" t="n">
        <f aca="false" ca="false" dt2D="false" dtr="false" t="normal">N391-AB391</f>
        <v>0</v>
      </c>
    </row>
    <row outlineLevel="0" r="392">
      <c r="A392" s="5" t="n">
        <f aca="false" ca="false" dt2D="false" dtr="false" t="normal">+A391+1</f>
        <v>374</v>
      </c>
      <c r="B392" s="159" t="n">
        <f aca="false" ca="false" dt2D="false" dtr="false" t="normal">+B391+1</f>
        <v>185</v>
      </c>
      <c r="C392" s="138" t="s">
        <v>104</v>
      </c>
      <c r="D392" s="138" t="s">
        <v>686</v>
      </c>
      <c r="E392" s="139" t="n">
        <v>1992</v>
      </c>
      <c r="F392" s="139" t="n">
        <v>2017</v>
      </c>
      <c r="G392" s="139" t="s">
        <v>4</v>
      </c>
      <c r="H392" s="139" t="n">
        <v>9</v>
      </c>
      <c r="I392" s="139" t="n">
        <v>2</v>
      </c>
      <c r="J392" s="17" t="n">
        <v>6450</v>
      </c>
      <c r="K392" s="17" t="n">
        <v>5551</v>
      </c>
      <c r="L392" s="17" t="n">
        <v>31</v>
      </c>
      <c r="M392" s="140" t="n">
        <v>215</v>
      </c>
      <c r="N392" s="16" t="n">
        <f aca="false" ca="false" dt2D="false" dtr="false" t="normal">SUM(P392:T392)</f>
        <v>17663014.45</v>
      </c>
      <c r="O392" s="17" t="n"/>
      <c r="P392" s="18" t="n"/>
      <c r="Q392" s="18" t="n"/>
      <c r="R392" s="18" t="n">
        <v>427549.7</v>
      </c>
      <c r="S392" s="18" t="n">
        <v>17235464.75</v>
      </c>
      <c r="T392" s="18" t="n"/>
      <c r="U392" s="18" t="n">
        <v>3354.19117293397</v>
      </c>
      <c r="V392" s="18" t="n">
        <v>1226.283020064</v>
      </c>
      <c r="W392" s="21" t="n">
        <v>2023</v>
      </c>
      <c r="X392" s="1" t="n">
        <f aca="false" ca="false" dt2D="false" dtr="false" t="normal">4311391.97-'[2]Приложение №1'!$R$346</f>
        <v>4311391.97</v>
      </c>
      <c r="Y392" s="3" t="n">
        <f aca="false" ca="false" dt2D="false" dtr="false" t="normal">+(K392*13.95+L392*23.65)*12*0.85</f>
        <v>797329.9199999999</v>
      </c>
      <c r="Z392" s="3" t="n">
        <f aca="false" ca="false" dt2D="false" dtr="false" t="normal">+(K392*13.95+L392*23.65)*12*30-'[2]Приложение №1'!$S$346</f>
        <v>28141056</v>
      </c>
      <c r="AB392" s="158" t="n">
        <f aca="false" ca="true" dt2D="false" dtr="false" t="normal">SUBTOTAL(9, AC392:AQ392)</f>
        <v>17663014.45</v>
      </c>
      <c r="AC392" s="18" t="n">
        <v>0</v>
      </c>
      <c r="AD392" s="18" t="n">
        <v>0</v>
      </c>
      <c r="AE392" s="18" t="n">
        <v>0</v>
      </c>
      <c r="AF392" s="18" t="n">
        <v>0</v>
      </c>
      <c r="AG392" s="18" t="n">
        <v>0</v>
      </c>
      <c r="AH392" s="18" t="n"/>
      <c r="AI392" s="18" t="n"/>
      <c r="AJ392" s="18" t="n">
        <v>0</v>
      </c>
      <c r="AK392" s="18" t="n">
        <v>0</v>
      </c>
      <c r="AL392" s="18" t="n">
        <v>0</v>
      </c>
      <c r="AM392" s="18" t="n">
        <v>17491598.4</v>
      </c>
      <c r="AN392" s="18" t="n">
        <v>0</v>
      </c>
      <c r="AO392" s="18" t="n"/>
      <c r="AP392" s="18" t="n"/>
      <c r="AQ392" s="156" t="n">
        <v>171416.05</v>
      </c>
      <c r="AR392" s="3" t="n">
        <f aca="false" ca="false" dt2D="false" dtr="false" t="normal">N392-AB392</f>
        <v>0</v>
      </c>
    </row>
    <row outlineLevel="0" r="393">
      <c r="A393" s="5" t="n">
        <f aca="false" ca="false" dt2D="false" dtr="false" t="normal">+A392+1</f>
        <v>375</v>
      </c>
      <c r="B393" s="159" t="n">
        <f aca="false" ca="false" dt2D="false" dtr="false" t="normal">+B392+1</f>
        <v>186</v>
      </c>
      <c r="C393" s="138" t="s">
        <v>104</v>
      </c>
      <c r="D393" s="138" t="s">
        <v>280</v>
      </c>
      <c r="E393" s="139" t="n">
        <v>1996</v>
      </c>
      <c r="F393" s="139" t="n">
        <v>1996</v>
      </c>
      <c r="G393" s="139" t="s">
        <v>4</v>
      </c>
      <c r="H393" s="139" t="n">
        <v>3</v>
      </c>
      <c r="I393" s="139" t="n">
        <v>2</v>
      </c>
      <c r="J393" s="17" t="n">
        <v>1212.9</v>
      </c>
      <c r="K393" s="17" t="n">
        <v>969.5</v>
      </c>
      <c r="L393" s="17" t="n">
        <v>83.1</v>
      </c>
      <c r="M393" s="140" t="n">
        <v>29</v>
      </c>
      <c r="N393" s="16" t="n">
        <f aca="false" ca="false" dt2D="false" dtr="false" t="normal">SUM(P393:T393)</f>
        <v>2848341.03</v>
      </c>
      <c r="O393" s="17" t="n"/>
      <c r="P393" s="18" t="n"/>
      <c r="Q393" s="18" t="n"/>
      <c r="R393" s="18" t="n">
        <v>794591.09</v>
      </c>
      <c r="S393" s="18" t="n">
        <v>2053749.94</v>
      </c>
      <c r="T393" s="18" t="n"/>
      <c r="U393" s="18" t="n">
        <v>3522.70696441109</v>
      </c>
      <c r="V393" s="18" t="n">
        <v>1230.283020064</v>
      </c>
      <c r="W393" s="21" t="n">
        <v>2023</v>
      </c>
      <c r="X393" s="103" t="n">
        <v>672957.62</v>
      </c>
      <c r="Y393" s="3" t="n">
        <f aca="false" ca="false" dt2D="false" dtr="false" t="normal">+(K393*10.5+L393*21)*12*0.85</f>
        <v>121633.47</v>
      </c>
      <c r="Z393" s="3" t="n">
        <f aca="false" ca="false" dt2D="false" dtr="false" t="normal">+(K393*10.5+L393*21)*12*30</f>
        <v>4292946</v>
      </c>
      <c r="AB393" s="158" t="n">
        <f aca="false" ca="true" dt2D="false" dtr="false" t="normal">SUBTOTAL(9, AC393:AQ393)</f>
        <v>2848341.03</v>
      </c>
      <c r="AC393" s="18" t="n">
        <v>1926147.5</v>
      </c>
      <c r="AD393" s="18" t="n"/>
      <c r="AE393" s="18" t="n"/>
      <c r="AF393" s="18" t="n">
        <v>888374.4</v>
      </c>
      <c r="AG393" s="18" t="n">
        <v>0</v>
      </c>
      <c r="AH393" s="18" t="n"/>
      <c r="AI393" s="18" t="n"/>
      <c r="AJ393" s="18" t="n">
        <v>0</v>
      </c>
      <c r="AK393" s="18" t="n">
        <v>0</v>
      </c>
      <c r="AL393" s="18" t="n"/>
      <c r="AM393" s="18" t="n">
        <v>0</v>
      </c>
      <c r="AN393" s="18" t="n">
        <v>0</v>
      </c>
      <c r="AO393" s="18" t="n"/>
      <c r="AP393" s="18" t="n"/>
      <c r="AQ393" s="156" t="n">
        <f aca="false" ca="false" dt2D="false" dtr="false" t="normal">25466.07+8353.06</f>
        <v>33819.13</v>
      </c>
      <c r="AR393" s="3" t="n">
        <f aca="false" ca="false" dt2D="false" dtr="false" t="normal">N393-AB393</f>
        <v>0</v>
      </c>
    </row>
    <row outlineLevel="0" r="394">
      <c r="A394" s="5" t="n">
        <f aca="false" ca="false" dt2D="false" dtr="false" t="normal">+A393+1</f>
        <v>376</v>
      </c>
      <c r="B394" s="159" t="n">
        <f aca="false" ca="false" dt2D="false" dtr="false" t="normal">+B393+1</f>
        <v>187</v>
      </c>
      <c r="C394" s="138" t="s">
        <v>104</v>
      </c>
      <c r="D394" s="138" t="s">
        <v>687</v>
      </c>
      <c r="E394" s="139" t="n">
        <v>1988</v>
      </c>
      <c r="F394" s="139" t="n">
        <v>2017</v>
      </c>
      <c r="G394" s="139" t="s">
        <v>4</v>
      </c>
      <c r="H394" s="139" t="n">
        <v>9</v>
      </c>
      <c r="I394" s="139" t="n">
        <v>3</v>
      </c>
      <c r="J394" s="17" t="n">
        <v>8927</v>
      </c>
      <c r="K394" s="17" t="n">
        <v>7116.5</v>
      </c>
      <c r="L394" s="17" t="n">
        <v>0</v>
      </c>
      <c r="M394" s="140" t="n">
        <v>291</v>
      </c>
      <c r="N394" s="16" t="n">
        <f aca="false" ca="false" dt2D="false" dtr="false" t="normal">SUM(P394:T394)</f>
        <v>7976366.14</v>
      </c>
      <c r="O394" s="17" t="n"/>
      <c r="P394" s="18" t="n"/>
      <c r="Q394" s="18" t="n"/>
      <c r="R394" s="18" t="n">
        <v>6657296.795</v>
      </c>
      <c r="S394" s="18" t="n">
        <v>1319069.345</v>
      </c>
      <c r="T394" s="18" t="n"/>
      <c r="U394" s="18" t="n">
        <v>1176.18185640141</v>
      </c>
      <c r="V394" s="18" t="n">
        <v>1229.283020064</v>
      </c>
      <c r="W394" s="21" t="n">
        <v>2023</v>
      </c>
      <c r="X394" s="103" t="n">
        <v>5644690.01</v>
      </c>
      <c r="Y394" s="3" t="n">
        <f aca="false" ca="false" dt2D="false" dtr="false" t="normal">+(K394*13.95+L394*23.65)*12*0.85</f>
        <v>1012606.7849999998</v>
      </c>
      <c r="Z394" s="3" t="n">
        <f aca="false" ca="false" dt2D="false" dtr="false" t="normal">+(K394*13.95+L394*23.65)*12*30</f>
        <v>35739062.99999999</v>
      </c>
      <c r="AB394" s="158" t="n">
        <f aca="false" ca="true" dt2D="false" dtr="false" t="normal">SUBTOTAL(9, AC394:AQ394)</f>
        <v>7976366.14</v>
      </c>
      <c r="AC394" s="18" t="n">
        <v>0</v>
      </c>
      <c r="AD394" s="18" t="n">
        <v>0</v>
      </c>
      <c r="AE394" s="18" t="n">
        <v>0</v>
      </c>
      <c r="AF394" s="18" t="n">
        <v>0</v>
      </c>
      <c r="AG394" s="18" t="n">
        <v>0</v>
      </c>
      <c r="AH394" s="18" t="n"/>
      <c r="AI394" s="18" t="n"/>
      <c r="AJ394" s="18" t="n">
        <v>0</v>
      </c>
      <c r="AK394" s="18" t="n">
        <v>7914683.09</v>
      </c>
      <c r="AL394" s="18" t="n">
        <v>0</v>
      </c>
      <c r="AM394" s="18" t="n">
        <v>0</v>
      </c>
      <c r="AN394" s="18" t="n">
        <v>0</v>
      </c>
      <c r="AO394" s="18" t="n"/>
      <c r="AP394" s="18" t="n"/>
      <c r="AQ394" s="156" t="n">
        <v>61683.05</v>
      </c>
      <c r="AR394" s="3" t="n">
        <f aca="false" ca="false" dt2D="false" dtr="false" t="normal">N394-AB394</f>
        <v>0</v>
      </c>
    </row>
    <row outlineLevel="0" r="395">
      <c r="A395" s="5" t="n">
        <f aca="false" ca="false" dt2D="false" dtr="false" t="normal">+A394+1</f>
        <v>377</v>
      </c>
      <c r="B395" s="159" t="n">
        <f aca="false" ca="false" dt2D="false" dtr="false" t="normal">+B394+1</f>
        <v>188</v>
      </c>
      <c r="C395" s="138" t="s">
        <v>104</v>
      </c>
      <c r="D395" s="138" t="s">
        <v>172</v>
      </c>
      <c r="E395" s="139" t="n">
        <v>1987</v>
      </c>
      <c r="F395" s="139" t="n">
        <v>2017</v>
      </c>
      <c r="G395" s="139" t="s">
        <v>4</v>
      </c>
      <c r="H395" s="139" t="n">
        <v>9</v>
      </c>
      <c r="I395" s="139" t="n">
        <v>1</v>
      </c>
      <c r="J395" s="17" t="n">
        <v>2767.8</v>
      </c>
      <c r="K395" s="17" t="n">
        <v>2150.8</v>
      </c>
      <c r="L395" s="17" t="n">
        <v>66.8</v>
      </c>
      <c r="M395" s="140" t="n">
        <v>94</v>
      </c>
      <c r="N395" s="16" t="n">
        <f aca="false" ca="false" dt2D="false" dtr="false" t="normal">SUM(P395:T395)</f>
        <v>2391153.64</v>
      </c>
      <c r="O395" s="17" t="n"/>
      <c r="P395" s="18" t="n"/>
      <c r="Q395" s="18" t="n"/>
      <c r="R395" s="18" t="n">
        <v>1519991.27443842</v>
      </c>
      <c r="S395" s="18" t="n">
        <v>871162.36556158</v>
      </c>
      <c r="T395" s="18" t="n"/>
      <c r="U395" s="17" t="n">
        <v>2676.72321472355</v>
      </c>
      <c r="V395" s="17" t="n">
        <v>2676.72321472355</v>
      </c>
      <c r="W395" s="21" t="n">
        <v>2023</v>
      </c>
      <c r="X395" s="1" t="n">
        <v>1394329.46</v>
      </c>
      <c r="Y395" s="3" t="n">
        <f aca="false" ca="false" dt2D="false" dtr="false" t="normal">+(K395*13.29+L395*22.52)*12*0.85</f>
        <v>306902.37360000005</v>
      </c>
      <c r="Z395" s="3" t="n">
        <f aca="false" ca="false" dt2D="false" dtr="false" t="normal">+(K395*13.29+L395*22.52)*12*30</f>
        <v>10831848.48</v>
      </c>
      <c r="AB395" s="23" t="n">
        <f aca="false" ca="true" dt2D="false" dtr="false" t="normal">SUBTOTAL(9, AC395:AQ395)</f>
        <v>2391153.64</v>
      </c>
      <c r="AC395" s="18" t="n">
        <v>2391153.64</v>
      </c>
      <c r="AD395" s="18" t="n"/>
      <c r="AE395" s="18" t="n">
        <v>0</v>
      </c>
      <c r="AF395" s="18" t="n">
        <v>0</v>
      </c>
      <c r="AG395" s="18" t="n">
        <v>0</v>
      </c>
      <c r="AH395" s="18" t="n"/>
      <c r="AI395" s="18" t="n"/>
      <c r="AJ395" s="18" t="n"/>
      <c r="AK395" s="18" t="n"/>
      <c r="AL395" s="18" t="n"/>
      <c r="AM395" s="18" t="n"/>
      <c r="AN395" s="18" t="n">
        <v>0</v>
      </c>
      <c r="AO395" s="18" t="n"/>
      <c r="AP395" s="18" t="n"/>
      <c r="AQ395" s="24" t="n"/>
      <c r="AR395" s="3" t="n">
        <f aca="false" ca="false" dt2D="false" dtr="false" t="normal">N395-AB395</f>
        <v>0</v>
      </c>
    </row>
    <row outlineLevel="0" r="396">
      <c r="A396" s="5" t="n">
        <f aca="false" ca="false" dt2D="false" dtr="false" t="normal">+A395+1</f>
        <v>378</v>
      </c>
      <c r="B396" s="159" t="s">
        <v>76</v>
      </c>
      <c r="C396" s="138" t="s">
        <v>104</v>
      </c>
      <c r="D396" s="138" t="s">
        <v>287</v>
      </c>
      <c r="E396" s="139" t="n">
        <v>1987</v>
      </c>
      <c r="F396" s="139" t="n">
        <v>2016</v>
      </c>
      <c r="G396" s="139" t="s">
        <v>4</v>
      </c>
      <c r="H396" s="139" t="n">
        <v>5</v>
      </c>
      <c r="I396" s="139" t="n">
        <v>5</v>
      </c>
      <c r="J396" s="17" t="n">
        <v>7155.6</v>
      </c>
      <c r="K396" s="17" t="n">
        <v>5789.5</v>
      </c>
      <c r="L396" s="17" t="n">
        <v>194.7</v>
      </c>
      <c r="M396" s="140" t="n">
        <v>243</v>
      </c>
      <c r="N396" s="16" t="n">
        <f aca="false" ca="false" dt2D="false" dtr="false" t="normal">SUM(P396:T396)</f>
        <v>7614332.9399999995</v>
      </c>
      <c r="O396" s="17" t="n"/>
      <c r="P396" s="18" t="n"/>
      <c r="Q396" s="18" t="n"/>
      <c r="R396" s="18" t="n">
        <v>2710502.18</v>
      </c>
      <c r="S396" s="18" t="n">
        <v>4903830.76</v>
      </c>
      <c r="T396" s="18" t="n"/>
      <c r="U396" s="18" t="n">
        <v>3248.37212020894</v>
      </c>
      <c r="V396" s="18" t="n">
        <v>1235.283020064</v>
      </c>
      <c r="W396" s="21" t="n">
        <v>2023</v>
      </c>
      <c r="X396" s="103" t="n">
        <f aca="false" ca="false" dt2D="false" dtr="false" t="normal">3643194.21-R51</f>
        <v>2456189.57062592</v>
      </c>
      <c r="Y396" s="3" t="n">
        <f aca="false" ca="false" dt2D="false" dtr="false" t="normal">+(K396*10.5+L396*21)*12*0.85</f>
        <v>661760.19</v>
      </c>
      <c r="Z396" s="3" t="n">
        <f aca="false" ca="false" dt2D="false" dtr="false" t="normal">+(K396*10.5+L396*21)*12*30-S51</f>
        <v>16883749.089374077</v>
      </c>
      <c r="AB396" s="158" t="n">
        <f aca="false" ca="true" dt2D="false" dtr="false" t="normal">SUBTOTAL(9, AC396:AQ396)</f>
        <v>7614332.94</v>
      </c>
      <c r="AC396" s="18" t="n">
        <v>7614332.94</v>
      </c>
      <c r="AD396" s="18" t="n">
        <v>0</v>
      </c>
      <c r="AE396" s="18" t="n">
        <v>0</v>
      </c>
      <c r="AF396" s="18" t="n"/>
      <c r="AG396" s="18" t="n">
        <v>0</v>
      </c>
      <c r="AH396" s="18" t="n"/>
      <c r="AI396" s="18" t="n"/>
      <c r="AJ396" s="18" t="n">
        <v>0</v>
      </c>
      <c r="AK396" s="18" t="n"/>
      <c r="AL396" s="18" t="n"/>
      <c r="AM396" s="18" t="n">
        <v>0</v>
      </c>
      <c r="AN396" s="18" t="n">
        <v>0</v>
      </c>
      <c r="AO396" s="18" t="n"/>
      <c r="AP396" s="18" t="n"/>
      <c r="AQ396" s="24" t="n"/>
      <c r="AR396" s="3" t="n">
        <f aca="false" ca="false" dt2D="false" dtr="false" t="normal">N396-AB396</f>
        <v>0</v>
      </c>
    </row>
    <row outlineLevel="0" r="397">
      <c r="A397" s="5" t="n">
        <f aca="false" ca="false" dt2D="false" dtr="false" t="normal">+A396+1</f>
        <v>379</v>
      </c>
      <c r="B397" s="6" t="n">
        <v>189</v>
      </c>
      <c r="C397" s="138" t="s">
        <v>104</v>
      </c>
      <c r="D397" s="138" t="s">
        <v>691</v>
      </c>
      <c r="E397" s="139" t="n">
        <v>1993</v>
      </c>
      <c r="F397" s="139" t="n">
        <v>2017</v>
      </c>
      <c r="G397" s="139" t="s">
        <v>4</v>
      </c>
      <c r="H397" s="139" t="n">
        <v>9</v>
      </c>
      <c r="I397" s="139" t="n">
        <v>2</v>
      </c>
      <c r="J397" s="17" t="n">
        <v>6530.5</v>
      </c>
      <c r="K397" s="17" t="n">
        <v>5640.1</v>
      </c>
      <c r="L397" s="17" t="n">
        <v>180</v>
      </c>
      <c r="M397" s="140" t="n">
        <v>226</v>
      </c>
      <c r="N397" s="16" t="n">
        <f aca="false" ca="false" dt2D="false" dtr="false" t="normal">SUM(P397:T397)</f>
        <v>21876387</v>
      </c>
      <c r="O397" s="17" t="n"/>
      <c r="P397" s="18" t="n"/>
      <c r="Q397" s="18" t="n"/>
      <c r="R397" s="18" t="n">
        <v>5156055.449</v>
      </c>
      <c r="S397" s="18" t="n">
        <v>16720331.551</v>
      </c>
      <c r="T397" s="151" t="n"/>
      <c r="U397" s="18" t="n">
        <v>7036.01518397128</v>
      </c>
      <c r="V397" s="18" t="n">
        <v>1237.283020064</v>
      </c>
      <c r="W397" s="21" t="n">
        <v>2023</v>
      </c>
      <c r="X397" s="103" t="n">
        <v>4310104.22</v>
      </c>
      <c r="Y397" s="3" t="n">
        <f aca="false" ca="false" dt2D="false" dtr="false" t="normal">+(K397*13.95+L397*23.65)*12*0.85</f>
        <v>845951.2289999999</v>
      </c>
      <c r="Z397" s="3" t="n">
        <f aca="false" ca="false" dt2D="false" dtr="false" t="normal">+(K397*13.95+L397*23.65)*12*30</f>
        <v>29857102.2</v>
      </c>
      <c r="AB397" s="158" t="n">
        <f aca="false" ca="true" dt2D="false" dtr="false" t="normal">SUBTOTAL(9, AC397:AQ397)</f>
        <v>21876387</v>
      </c>
      <c r="AC397" s="18" t="n">
        <v>0</v>
      </c>
      <c r="AD397" s="18" t="n">
        <v>0</v>
      </c>
      <c r="AE397" s="18" t="n">
        <v>0</v>
      </c>
      <c r="AF397" s="18" t="n">
        <v>0</v>
      </c>
      <c r="AG397" s="18" t="n">
        <v>0</v>
      </c>
      <c r="AH397" s="18" t="n"/>
      <c r="AI397" s="18" t="n"/>
      <c r="AJ397" s="18" t="n">
        <v>0</v>
      </c>
      <c r="AK397" s="18" t="n">
        <v>0</v>
      </c>
      <c r="AL397" s="18" t="n">
        <v>0</v>
      </c>
      <c r="AM397" s="18" t="n">
        <v>21876387</v>
      </c>
      <c r="AN397" s="18" t="n">
        <v>0</v>
      </c>
      <c r="AO397" s="18" t="n"/>
      <c r="AP397" s="18" t="n"/>
      <c r="AQ397" s="24" t="n"/>
      <c r="AR397" s="3" t="n">
        <f aca="false" ca="false" dt2D="false" dtr="false" t="normal">N397-AB397</f>
        <v>0</v>
      </c>
    </row>
    <row outlineLevel="0" r="398">
      <c r="A398" s="5" t="n">
        <f aca="false" ca="false" dt2D="false" dtr="false" t="normal">+A397+1</f>
        <v>380</v>
      </c>
      <c r="B398" s="6" t="s">
        <v>76</v>
      </c>
      <c r="C398" s="138" t="s">
        <v>104</v>
      </c>
      <c r="D398" s="138" t="s">
        <v>491</v>
      </c>
      <c r="E398" s="139" t="n">
        <v>1991</v>
      </c>
      <c r="F398" s="139" t="n">
        <v>2017</v>
      </c>
      <c r="G398" s="139" t="s">
        <v>4</v>
      </c>
      <c r="H398" s="139" t="n">
        <v>9</v>
      </c>
      <c r="I398" s="139" t="n">
        <v>1</v>
      </c>
      <c r="J398" s="17" t="n">
        <v>3271</v>
      </c>
      <c r="K398" s="17" t="n">
        <v>2814.6</v>
      </c>
      <c r="L398" s="17" t="n">
        <v>0</v>
      </c>
      <c r="M398" s="140" t="n">
        <v>93</v>
      </c>
      <c r="N398" s="16" t="n">
        <f aca="false" ca="false" dt2D="false" dtr="false" t="normal">SUM(P398:T398)</f>
        <v>2107839.74</v>
      </c>
      <c r="O398" s="17" t="n"/>
      <c r="P398" s="18" t="n"/>
      <c r="Q398" s="18" t="n"/>
      <c r="R398" s="18" t="n">
        <v>1120876</v>
      </c>
      <c r="S398" s="18" t="n">
        <v>986963.74</v>
      </c>
      <c r="T398" s="18" t="n"/>
      <c r="U398" s="18" t="n">
        <v>3490.9418391756</v>
      </c>
      <c r="V398" s="18" t="n">
        <v>1243.283020064</v>
      </c>
      <c r="W398" s="21" t="n">
        <v>2023</v>
      </c>
      <c r="X398" s="103" t="n">
        <v>2237132.42</v>
      </c>
      <c r="Y398" s="3" t="n">
        <f aca="false" ca="false" dt2D="false" dtr="false" t="normal">+(K398*13.95+L398*23.65)*12*0.85</f>
        <v>400489.43399999995</v>
      </c>
      <c r="Z398" s="3" t="n">
        <f aca="false" ca="false" dt2D="false" dtr="false" t="normal">+(K398*13.95+L398*23.65)*12*30</f>
        <v>14134921.2</v>
      </c>
      <c r="AB398" s="158" t="n">
        <f aca="false" ca="true" dt2D="false" dtr="false" t="normal">SUBTOTAL(9, AC398:AQ398)</f>
        <v>2107839.74</v>
      </c>
      <c r="AC398" s="18" t="n">
        <v>2107839.74</v>
      </c>
      <c r="AD398" s="18" t="n"/>
      <c r="AE398" s="18" t="n">
        <v>0</v>
      </c>
      <c r="AF398" s="18" t="n"/>
      <c r="AG398" s="18" t="n">
        <v>0</v>
      </c>
      <c r="AH398" s="18" t="n"/>
      <c r="AI398" s="18" t="n"/>
      <c r="AJ398" s="18" t="n">
        <v>0</v>
      </c>
      <c r="AK398" s="18" t="n">
        <v>0</v>
      </c>
      <c r="AL398" s="18" t="n">
        <v>0</v>
      </c>
      <c r="AM398" s="18" t="n">
        <v>0</v>
      </c>
      <c r="AN398" s="18" t="n">
        <v>0</v>
      </c>
      <c r="AO398" s="18" t="n"/>
      <c r="AP398" s="18" t="n"/>
      <c r="AQ398" s="24" t="n"/>
      <c r="AR398" s="3" t="n">
        <f aca="false" ca="false" dt2D="false" dtr="false" t="normal">N398-AB398</f>
        <v>0</v>
      </c>
    </row>
    <row customFormat="true" ht="15" outlineLevel="0" r="399" s="184">
      <c r="A399" s="5" t="n">
        <f aca="false" ca="false" dt2D="false" dtr="false" t="normal">+A398+1</f>
        <v>381</v>
      </c>
      <c r="B399" s="6" t="n">
        <v>190</v>
      </c>
      <c r="C399" s="138" t="s">
        <v>104</v>
      </c>
      <c r="D399" s="138" t="s">
        <v>315</v>
      </c>
      <c r="E399" s="139" t="s">
        <v>190</v>
      </c>
      <c r="F399" s="139" t="n"/>
      <c r="G399" s="139" t="s">
        <v>4</v>
      </c>
      <c r="H399" s="139" t="s">
        <v>150</v>
      </c>
      <c r="I399" s="139" t="s">
        <v>219</v>
      </c>
      <c r="J399" s="17" t="n">
        <v>3182.4</v>
      </c>
      <c r="K399" s="17" t="n">
        <v>2718.2</v>
      </c>
      <c r="L399" s="17" t="n">
        <v>0</v>
      </c>
      <c r="M399" s="140" t="n">
        <v>99</v>
      </c>
      <c r="N399" s="16" t="n">
        <f aca="false" ca="false" dt2D="false" dtr="false" t="normal">SUM(P399:T399)</f>
        <v>2097595.92</v>
      </c>
      <c r="O399" s="17" t="n">
        <v>0</v>
      </c>
      <c r="P399" s="18" t="n"/>
      <c r="Q399" s="18" t="n">
        <v>0</v>
      </c>
      <c r="R399" s="18" t="n">
        <v>771389.31</v>
      </c>
      <c r="S399" s="18" t="n">
        <v>1326206.61</v>
      </c>
      <c r="T399" s="18" t="n"/>
      <c r="U399" s="17" t="n">
        <v>4870.98769327849</v>
      </c>
      <c r="V399" s="17" t="n">
        <v>4870.98769327849</v>
      </c>
      <c r="W399" s="21" t="n">
        <v>2023</v>
      </c>
      <c r="X399" s="184" t="n">
        <v>1686354.74</v>
      </c>
      <c r="Y399" s="3" t="n">
        <f aca="false" ca="false" dt2D="false" dtr="false" t="normal">+(K399*13.29+L399*22.52)*12*0.85</f>
        <v>368473.7556</v>
      </c>
      <c r="Z399" s="3" t="n">
        <f aca="false" ca="false" dt2D="false" dtr="false" t="normal">+(K399*13.29+L399*22.52)*12*30</f>
        <v>13004956.079999998</v>
      </c>
      <c r="AA399" s="3" t="n"/>
      <c r="AB399" s="23" t="n">
        <f aca="false" ca="true" dt2D="false" dtr="false" t="normal">SUBTOTAL(9, AC399:AQ399)</f>
        <v>2097595.92</v>
      </c>
      <c r="AC399" s="17" t="n"/>
      <c r="AD399" s="18" t="n">
        <v>0</v>
      </c>
      <c r="AE399" s="18" t="n">
        <v>1240683.24</v>
      </c>
      <c r="AF399" s="18" t="n">
        <v>452701.66</v>
      </c>
      <c r="AG399" s="18" t="n"/>
      <c r="AH399" s="18" t="n"/>
      <c r="AI399" s="18" t="n"/>
      <c r="AJ399" s="18" t="n"/>
      <c r="AK399" s="18" t="n"/>
      <c r="AL399" s="18" t="n"/>
      <c r="AM399" s="18" t="n"/>
      <c r="AN399" s="18" t="n"/>
      <c r="AO399" s="18" t="n">
        <v>388211.02</v>
      </c>
      <c r="AP399" s="18" t="n">
        <v>16000</v>
      </c>
      <c r="AQ399" s="24" t="n"/>
      <c r="AR399" s="3" t="n">
        <f aca="false" ca="false" dt2D="false" dtr="false" t="normal">N399-AB399</f>
        <v>0</v>
      </c>
      <c r="AT399" s="187" t="n"/>
    </row>
    <row outlineLevel="0" r="400">
      <c r="A400" s="5" t="n">
        <f aca="false" ca="false" dt2D="false" dtr="false" t="normal">+A399+1</f>
        <v>382</v>
      </c>
      <c r="B400" s="6" t="n">
        <f aca="false" ca="false" dt2D="false" dtr="false" t="normal">+B399+1</f>
        <v>191</v>
      </c>
      <c r="C400" s="138" t="s">
        <v>177</v>
      </c>
      <c r="D400" s="138" t="s">
        <v>693</v>
      </c>
      <c r="E400" s="139" t="n">
        <v>1979</v>
      </c>
      <c r="F400" s="139" t="n">
        <v>2013</v>
      </c>
      <c r="G400" s="139" t="s">
        <v>4</v>
      </c>
      <c r="H400" s="139" t="n">
        <v>5</v>
      </c>
      <c r="I400" s="139" t="n">
        <v>4</v>
      </c>
      <c r="J400" s="17" t="n">
        <v>2793.1</v>
      </c>
      <c r="K400" s="17" t="n">
        <v>2468.5</v>
      </c>
      <c r="L400" s="17" t="n">
        <v>86.9</v>
      </c>
      <c r="M400" s="140" t="n">
        <v>97</v>
      </c>
      <c r="N400" s="16" t="n">
        <f aca="false" ca="false" dt2D="false" dtr="false" t="normal">SUM(P400:T400)</f>
        <v>1696026.8</v>
      </c>
      <c r="O400" s="17" t="n"/>
      <c r="P400" s="18" t="n"/>
      <c r="Q400" s="18" t="n"/>
      <c r="R400" s="18" t="n">
        <v>1302890.54</v>
      </c>
      <c r="S400" s="18" t="n">
        <v>393136.26</v>
      </c>
      <c r="T400" s="18" t="n"/>
      <c r="U400" s="17" t="n">
        <v>881.080120059482</v>
      </c>
      <c r="V400" s="17" t="n">
        <v>881.080120059482</v>
      </c>
      <c r="W400" s="21" t="n">
        <v>2023</v>
      </c>
      <c r="X400" s="1" t="n">
        <v>1033375.94</v>
      </c>
      <c r="Y400" s="3" t="n">
        <f aca="false" ca="false" dt2D="false" dtr="false" t="normal">+(K400*10+L400*20)*12*0.85</f>
        <v>269514.6</v>
      </c>
      <c r="Z400" s="3" t="n">
        <f aca="false" ca="false" dt2D="false" dtr="false" t="normal">+(K400*10+L400*20)*12*30</f>
        <v>9512280</v>
      </c>
      <c r="AB400" s="23" t="n">
        <f aca="false" ca="true" dt2D="false" dtr="false" t="normal">SUBTOTAL(9, AC400:AQ400)</f>
        <v>1696026.8</v>
      </c>
      <c r="AC400" s="18" t="n">
        <v>0</v>
      </c>
      <c r="AD400" s="18" t="n">
        <v>0</v>
      </c>
      <c r="AE400" s="18" t="n">
        <v>1696026.8</v>
      </c>
      <c r="AF400" s="18" t="n">
        <v>0</v>
      </c>
      <c r="AG400" s="18" t="n">
        <v>0</v>
      </c>
      <c r="AH400" s="18" t="n"/>
      <c r="AI400" s="18" t="n"/>
      <c r="AJ400" s="18" t="n">
        <v>0</v>
      </c>
      <c r="AK400" s="18" t="n">
        <v>0</v>
      </c>
      <c r="AL400" s="18" t="n">
        <v>0</v>
      </c>
      <c r="AM400" s="18" t="n">
        <v>0</v>
      </c>
      <c r="AN400" s="18" t="n">
        <v>0</v>
      </c>
      <c r="AO400" s="18" t="n"/>
      <c r="AP400" s="18" t="n"/>
      <c r="AQ400" s="24" t="n"/>
      <c r="AR400" s="3" t="n">
        <f aca="false" ca="false" dt2D="false" dtr="false" t="normal">N400-AB400</f>
        <v>0</v>
      </c>
    </row>
    <row outlineLevel="0" r="401">
      <c r="A401" s="5" t="n">
        <f aca="false" ca="false" dt2D="false" dtr="false" t="normal">+A400+1</f>
        <v>383</v>
      </c>
      <c r="B401" s="6" t="n">
        <f aca="false" ca="false" dt2D="false" dtr="false" t="normal">+B400+1</f>
        <v>192</v>
      </c>
      <c r="C401" s="138" t="s">
        <v>177</v>
      </c>
      <c r="D401" s="138" t="s">
        <v>194</v>
      </c>
      <c r="E401" s="139" t="n">
        <v>1986</v>
      </c>
      <c r="F401" s="139" t="n">
        <v>2013</v>
      </c>
      <c r="G401" s="139" t="s">
        <v>4</v>
      </c>
      <c r="H401" s="139" t="n">
        <v>4</v>
      </c>
      <c r="I401" s="139" t="n">
        <v>2</v>
      </c>
      <c r="J401" s="17" t="n">
        <v>3830.7</v>
      </c>
      <c r="K401" s="17" t="n">
        <v>3476.2</v>
      </c>
      <c r="L401" s="17" t="n">
        <v>0</v>
      </c>
      <c r="M401" s="140" t="n">
        <v>146</v>
      </c>
      <c r="N401" s="16" t="n">
        <f aca="false" ca="false" dt2D="false" dtr="false" t="normal">SUM(P401:T401)</f>
        <v>4507647.88</v>
      </c>
      <c r="O401" s="17" t="n"/>
      <c r="P401" s="18" t="n">
        <v>2857212.57</v>
      </c>
      <c r="Q401" s="18" t="n"/>
      <c r="R401" s="18" t="n">
        <v>121962.54</v>
      </c>
      <c r="S401" s="18" t="n">
        <v>1528472.77</v>
      </c>
      <c r="T401" s="17" t="n"/>
      <c r="U401" s="18" t="n">
        <v>1833.87856826966</v>
      </c>
      <c r="V401" s="18" t="n">
        <v>1833.87856826966</v>
      </c>
      <c r="W401" s="21" t="n">
        <v>2023</v>
      </c>
      <c r="X401" s="12" t="n">
        <f aca="false" ca="false" dt2D="false" dtr="false" t="normal">1393126.98-102965.87-R60</f>
        <v>-448445.6100000001</v>
      </c>
      <c r="Y401" s="3" t="n">
        <f aca="false" ca="false" dt2D="false" dtr="false" t="normal">+(K401*10+L401*20)*12*0.85</f>
        <v>354572.39999999997</v>
      </c>
      <c r="Z401" s="3" t="n">
        <f aca="false" ca="false" dt2D="false" dtr="false" t="normal">+(K401*10+L401*20)*12*30-S60</f>
        <v>-858925.4800000004</v>
      </c>
      <c r="AB401" s="23" t="n">
        <f aca="false" ca="true" dt2D="false" dtr="false" t="normal">SUBTOTAL(9, AC401:AQ401)</f>
        <v>4507647.880000001</v>
      </c>
      <c r="AC401" s="213" t="n"/>
      <c r="AD401" s="18" t="n">
        <v>2958323.74</v>
      </c>
      <c r="AE401" s="18" t="n"/>
      <c r="AF401" s="18" t="n"/>
      <c r="AG401" s="18" t="n"/>
      <c r="AH401" s="18" t="n"/>
      <c r="AI401" s="18" t="n">
        <v>1515829.2</v>
      </c>
      <c r="AJ401" s="18" t="n">
        <v>0</v>
      </c>
      <c r="AK401" s="18" t="n"/>
      <c r="AL401" s="18" t="n"/>
      <c r="AM401" s="18" t="n"/>
      <c r="AN401" s="18" t="n"/>
      <c r="AO401" s="18" t="n"/>
      <c r="AP401" s="18" t="n"/>
      <c r="AQ401" s="156" t="n">
        <v>33494.94</v>
      </c>
      <c r="AR401" s="3" t="n">
        <f aca="false" ca="false" dt2D="false" dtr="false" t="normal">N401-AB401</f>
        <v>0</v>
      </c>
    </row>
    <row outlineLevel="0" r="402">
      <c r="A402" s="5" t="n">
        <f aca="false" ca="false" dt2D="false" dtr="false" t="normal">+A401+1</f>
        <v>384</v>
      </c>
      <c r="B402" s="6" t="n">
        <f aca="false" ca="false" dt2D="false" dtr="false" t="normal">+B401+1</f>
        <v>193</v>
      </c>
      <c r="C402" s="138" t="s">
        <v>177</v>
      </c>
      <c r="D402" s="138" t="s">
        <v>185</v>
      </c>
      <c r="E402" s="139" t="n">
        <v>1995</v>
      </c>
      <c r="F402" s="139" t="n">
        <v>2013</v>
      </c>
      <c r="G402" s="139" t="s">
        <v>4</v>
      </c>
      <c r="H402" s="139" t="n">
        <v>5</v>
      </c>
      <c r="I402" s="139" t="n">
        <v>4</v>
      </c>
      <c r="J402" s="17" t="n">
        <v>4929.5</v>
      </c>
      <c r="K402" s="17" t="n">
        <v>4328.9</v>
      </c>
      <c r="L402" s="17" t="n">
        <v>0</v>
      </c>
      <c r="M402" s="140" t="n">
        <v>159</v>
      </c>
      <c r="N402" s="16" t="n">
        <f aca="false" ca="false" dt2D="false" dtr="false" t="normal">SUM(P402:T402)</f>
        <v>2457074</v>
      </c>
      <c r="O402" s="17" t="n"/>
      <c r="P402" s="18" t="n"/>
      <c r="Q402" s="18" t="n"/>
      <c r="R402" s="18" t="n">
        <v>1488007.09</v>
      </c>
      <c r="S402" s="18" t="n">
        <v>969066.91</v>
      </c>
      <c r="T402" s="18" t="n"/>
      <c r="U402" s="17" t="n">
        <v>1045.55475263924</v>
      </c>
      <c r="V402" s="17" t="n">
        <v>1045.55475263924</v>
      </c>
      <c r="W402" s="21" t="n">
        <v>2023</v>
      </c>
      <c r="X402" s="12" t="n">
        <f aca="false" ca="false" dt2D="false" dtr="false" t="normal">1948762.98-R57</f>
        <v>1046459.29</v>
      </c>
      <c r="Y402" s="3" t="n">
        <f aca="false" ca="false" dt2D="false" dtr="false" t="normal">+(K402*10+L402*20)*12*0.85</f>
        <v>441547.8</v>
      </c>
      <c r="Z402" s="3" t="n">
        <f aca="false" ca="false" dt2D="false" dtr="false" t="normal">+(K402*10+L402*20)*12*30-S57</f>
        <v>9030711.870000001</v>
      </c>
      <c r="AB402" s="23" t="n">
        <f aca="false" ca="true" dt2D="false" dtr="false" t="normal">SUBTOTAL(9, AC402:AQ402)</f>
        <v>2457074</v>
      </c>
      <c r="AC402" s="18" t="n"/>
      <c r="AD402" s="18" t="n"/>
      <c r="AE402" s="18" t="n">
        <v>2457074</v>
      </c>
      <c r="AF402" s="18" t="n"/>
      <c r="AG402" s="18" t="n"/>
      <c r="AH402" s="18" t="n"/>
      <c r="AI402" s="18" t="n"/>
      <c r="AJ402" s="18" t="n"/>
      <c r="AK402" s="18" t="n"/>
      <c r="AL402" s="18" t="n"/>
      <c r="AM402" s="18" t="n"/>
      <c r="AN402" s="18" t="n"/>
      <c r="AO402" s="18" t="n"/>
      <c r="AP402" s="18" t="n"/>
      <c r="AQ402" s="24" t="n"/>
      <c r="AR402" s="3" t="n">
        <f aca="false" ca="false" dt2D="false" dtr="false" t="normal">N402-AB402</f>
        <v>0</v>
      </c>
    </row>
    <row outlineLevel="0" r="403">
      <c r="A403" s="5" t="n">
        <f aca="false" ca="false" dt2D="false" dtr="false" t="normal">+A402+1</f>
        <v>385</v>
      </c>
      <c r="B403" s="6" t="s">
        <v>76</v>
      </c>
      <c r="C403" s="138" t="s">
        <v>177</v>
      </c>
      <c r="D403" s="138" t="s">
        <v>326</v>
      </c>
      <c r="E403" s="139" t="n">
        <v>1964</v>
      </c>
      <c r="F403" s="139" t="n">
        <v>2013</v>
      </c>
      <c r="G403" s="139" t="s">
        <v>4</v>
      </c>
      <c r="H403" s="139" t="n">
        <v>5</v>
      </c>
      <c r="I403" s="139" t="n">
        <v>7</v>
      </c>
      <c r="J403" s="17" t="n">
        <v>6384.4</v>
      </c>
      <c r="K403" s="17" t="n">
        <v>5253.8</v>
      </c>
      <c r="L403" s="17" t="n">
        <v>1130.6</v>
      </c>
      <c r="M403" s="140" t="n">
        <v>210</v>
      </c>
      <c r="N403" s="16" t="n">
        <f aca="false" ca="false" dt2D="false" dtr="false" t="normal">SUM(P403:T403)</f>
        <v>8262278.14</v>
      </c>
      <c r="O403" s="17" t="n"/>
      <c r="P403" s="18" t="n"/>
      <c r="Q403" s="18" t="n"/>
      <c r="R403" s="18" t="n">
        <v>1316115.21</v>
      </c>
      <c r="S403" s="18" t="n">
        <v>6946162.93</v>
      </c>
      <c r="T403" s="18" t="n"/>
      <c r="U403" s="18" t="n">
        <v>2836.90352690011</v>
      </c>
      <c r="V403" s="18" t="n">
        <v>1258.283020064</v>
      </c>
      <c r="W403" s="21" t="n">
        <v>2023</v>
      </c>
      <c r="X403" s="103" t="n">
        <f aca="false" ca="false" dt2D="false" dtr="false" t="normal">4163182.7-R240</f>
        <v>2294759.7600000002</v>
      </c>
      <c r="Y403" s="3" t="n">
        <f aca="false" ca="false" dt2D="false" dtr="false" t="normal">+(K403*10.5+L403*21)*12*0.85</f>
        <v>804856.5</v>
      </c>
      <c r="Z403" s="3" t="n">
        <f aca="false" ca="false" dt2D="false" dtr="false" t="normal">+(K403*10.5+L403*21)*12*30-S240</f>
        <v>13379807.64</v>
      </c>
      <c r="AB403" s="158" t="n">
        <f aca="false" ca="true" dt2D="false" dtr="false" t="normal">SUBTOTAL(9, AC403:AQ403)</f>
        <v>8262278.14</v>
      </c>
      <c r="AC403" s="17" t="n">
        <v>8063310.05</v>
      </c>
      <c r="AD403" s="18" t="n"/>
      <c r="AE403" s="18" t="n"/>
      <c r="AF403" s="18" t="n"/>
      <c r="AG403" s="18" t="n"/>
      <c r="AH403" s="18" t="n"/>
      <c r="AI403" s="18" t="n"/>
      <c r="AJ403" s="18" t="n">
        <v>0</v>
      </c>
      <c r="AK403" s="18" t="n"/>
      <c r="AL403" s="18" t="n">
        <v>0</v>
      </c>
      <c r="AM403" s="18" t="n">
        <v>0</v>
      </c>
      <c r="AN403" s="18" t="n">
        <v>0</v>
      </c>
      <c r="AO403" s="18" t="n">
        <v>87085.12</v>
      </c>
      <c r="AP403" s="18" t="n">
        <v>4800</v>
      </c>
      <c r="AQ403" s="156" t="n">
        <v>107082.97</v>
      </c>
      <c r="AR403" s="3" t="n">
        <f aca="false" ca="false" dt2D="false" dtr="false" t="normal">N403-AB403</f>
        <v>0</v>
      </c>
    </row>
    <row outlineLevel="0" r="404">
      <c r="A404" s="5" t="n">
        <f aca="false" ca="false" dt2D="false" dtr="false" t="normal">+A403+1</f>
        <v>386</v>
      </c>
      <c r="B404" s="6" t="n">
        <v>194</v>
      </c>
      <c r="C404" s="138" t="s">
        <v>177</v>
      </c>
      <c r="D404" s="138" t="s">
        <v>215</v>
      </c>
      <c r="E404" s="139" t="n">
        <v>1965</v>
      </c>
      <c r="F404" s="139" t="n">
        <v>2005</v>
      </c>
      <c r="G404" s="139" t="s">
        <v>4</v>
      </c>
      <c r="H404" s="139" t="n">
        <v>4</v>
      </c>
      <c r="I404" s="139" t="n">
        <v>2</v>
      </c>
      <c r="J404" s="17" t="n">
        <v>1948.5</v>
      </c>
      <c r="K404" s="17" t="n">
        <v>1410</v>
      </c>
      <c r="L404" s="17" t="n">
        <v>537.7</v>
      </c>
      <c r="M404" s="140" t="n">
        <v>38</v>
      </c>
      <c r="N404" s="16" t="n">
        <f aca="false" ca="false" dt2D="false" dtr="false" t="normal">SUM(P404:T404)</f>
        <v>2906929.13</v>
      </c>
      <c r="O404" s="17" t="n"/>
      <c r="P404" s="18" t="n">
        <v>2075421.35</v>
      </c>
      <c r="Q404" s="18" t="n"/>
      <c r="R404" s="18" t="n"/>
      <c r="S404" s="18" t="n">
        <v>831507.78</v>
      </c>
      <c r="T404" s="18" t="n"/>
      <c r="U404" s="17" t="n">
        <v>1684.52307191858</v>
      </c>
      <c r="V404" s="17" t="n">
        <v>1684.52307191858</v>
      </c>
      <c r="W404" s="21" t="n">
        <v>2023</v>
      </c>
      <c r="X404" s="12" t="n">
        <f aca="false" ca="false" dt2D="false" dtr="false" t="normal">945052.78-R70</f>
        <v>209930.79000000004</v>
      </c>
      <c r="Y404" s="3" t="n">
        <f aca="false" ca="false" dt2D="false" dtr="false" t="normal">+(K404*10+L404*20)*12*0.85</f>
        <v>253510.8</v>
      </c>
      <c r="Z404" s="3" t="n">
        <f aca="false" ca="false" dt2D="false" dtr="false" t="normal">+(K404*10+L404*20)*12*30-S70</f>
        <v>8947440</v>
      </c>
      <c r="AB404" s="23" t="n">
        <f aca="false" ca="true" dt2D="false" dtr="false" t="normal">SUBTOTAL(9, AC404:AQ404)</f>
        <v>2906929.13</v>
      </c>
      <c r="AC404" s="18" t="n">
        <v>2876336.82</v>
      </c>
      <c r="AD404" s="18" t="n"/>
      <c r="AE404" s="18" t="n"/>
      <c r="AF404" s="18" t="n"/>
      <c r="AG404" s="18" t="n"/>
      <c r="AH404" s="18" t="n"/>
      <c r="AI404" s="18" t="n"/>
      <c r="AJ404" s="18" t="n"/>
      <c r="AK404" s="18" t="n"/>
      <c r="AL404" s="18" t="n">
        <v>0</v>
      </c>
      <c r="AM404" s="18" t="n">
        <v>0</v>
      </c>
      <c r="AN404" s="18" t="n">
        <v>0</v>
      </c>
      <c r="AO404" s="18" t="n"/>
      <c r="AP404" s="18" t="n"/>
      <c r="AQ404" s="156" t="n">
        <v>30592.31</v>
      </c>
      <c r="AR404" s="3" t="n">
        <f aca="false" ca="false" dt2D="false" dtr="false" t="normal">N404-AB404</f>
        <v>0</v>
      </c>
    </row>
    <row outlineLevel="0" r="405">
      <c r="A405" s="5" t="n">
        <f aca="false" ca="false" dt2D="false" dtr="false" t="normal">+A404+1</f>
        <v>387</v>
      </c>
      <c r="B405" s="6" t="n">
        <v>195</v>
      </c>
      <c r="C405" s="138" t="s">
        <v>177</v>
      </c>
      <c r="D405" s="138" t="s">
        <v>336</v>
      </c>
      <c r="E405" s="139" t="n">
        <v>1973</v>
      </c>
      <c r="F405" s="139" t="n">
        <v>2017</v>
      </c>
      <c r="G405" s="139" t="s">
        <v>4</v>
      </c>
      <c r="H405" s="139" t="n">
        <v>5</v>
      </c>
      <c r="I405" s="139" t="n">
        <v>2</v>
      </c>
      <c r="J405" s="17" t="n">
        <v>2354.6</v>
      </c>
      <c r="K405" s="17" t="n">
        <v>2141.8</v>
      </c>
      <c r="L405" s="17" t="n">
        <v>0</v>
      </c>
      <c r="M405" s="140" t="n">
        <v>96</v>
      </c>
      <c r="N405" s="16" t="n">
        <f aca="false" ca="false" dt2D="false" dtr="false" t="normal">SUM(P405:T405)</f>
        <v>7597723.99</v>
      </c>
      <c r="O405" s="17" t="n"/>
      <c r="P405" s="18" t="n">
        <v>2812203.54</v>
      </c>
      <c r="Q405" s="18" t="n"/>
      <c r="R405" s="18" t="n">
        <v>1112787.02</v>
      </c>
      <c r="S405" s="18" t="n">
        <v>3672733.43</v>
      </c>
      <c r="T405" s="18" t="n"/>
      <c r="U405" s="18" t="n">
        <v>2419.65256272879</v>
      </c>
      <c r="V405" s="18" t="n">
        <v>1263.283020064</v>
      </c>
      <c r="W405" s="21" t="n">
        <v>2023</v>
      </c>
      <c r="X405" s="103" t="n">
        <v>1148972.82</v>
      </c>
      <c r="Y405" s="3" t="n">
        <f aca="false" ca="false" dt2D="false" dtr="false" t="normal">+(K405*10.5+L405*21)*12*0.85</f>
        <v>229386.78000000003</v>
      </c>
      <c r="Z405" s="3" t="n">
        <f aca="false" ca="false" dt2D="false" dtr="false" t="normal">+(K405*10.5+L405*21)*12*30</f>
        <v>8096004.000000002</v>
      </c>
      <c r="AB405" s="158" t="n">
        <f aca="false" ca="true" dt2D="false" dtr="false" t="normal">SUBTOTAL(9, AC405:AQ405)</f>
        <v>7597723.99</v>
      </c>
      <c r="AC405" s="17" t="n">
        <v>0</v>
      </c>
      <c r="AD405" s="18" t="n">
        <v>0</v>
      </c>
      <c r="AE405" s="18" t="n">
        <v>0</v>
      </c>
      <c r="AF405" s="18" t="n">
        <v>0</v>
      </c>
      <c r="AG405" s="18" t="n">
        <v>0</v>
      </c>
      <c r="AH405" s="18" t="n"/>
      <c r="AI405" s="18" t="n"/>
      <c r="AJ405" s="18" t="n">
        <v>0</v>
      </c>
      <c r="AK405" s="18" t="n">
        <v>0</v>
      </c>
      <c r="AL405" s="18" t="n">
        <v>0</v>
      </c>
      <c r="AM405" s="18" t="n">
        <v>7597723.99</v>
      </c>
      <c r="AN405" s="18" t="n">
        <v>0</v>
      </c>
      <c r="AO405" s="18" t="n"/>
      <c r="AP405" s="18" t="n"/>
      <c r="AQ405" s="24" t="n"/>
      <c r="AR405" s="3" t="n">
        <f aca="false" ca="false" dt2D="false" dtr="false" t="normal">N405-AB405</f>
        <v>0</v>
      </c>
    </row>
    <row outlineLevel="0" r="406">
      <c r="A406" s="5" t="n">
        <f aca="false" ca="false" dt2D="false" dtr="false" t="normal">+A405+1</f>
        <v>388</v>
      </c>
      <c r="B406" s="6" t="n">
        <f aca="false" ca="false" dt2D="false" dtr="false" t="normal">+B405+1</f>
        <v>196</v>
      </c>
      <c r="C406" s="6" t="s">
        <v>177</v>
      </c>
      <c r="D406" s="6" t="s">
        <v>694</v>
      </c>
      <c r="E406" s="164" t="n">
        <v>1972</v>
      </c>
      <c r="F406" s="164" t="n">
        <v>2013</v>
      </c>
      <c r="G406" s="164" t="s">
        <v>4</v>
      </c>
      <c r="H406" s="164" t="n">
        <v>5</v>
      </c>
      <c r="I406" s="164" t="n">
        <v>2</v>
      </c>
      <c r="J406" s="18" t="n">
        <v>3331.95</v>
      </c>
      <c r="K406" s="18" t="n">
        <v>2549.45</v>
      </c>
      <c r="L406" s="18" t="n">
        <v>780.8</v>
      </c>
      <c r="M406" s="165" t="n">
        <v>190</v>
      </c>
      <c r="N406" s="16" t="n">
        <f aca="false" ca="false" dt2D="false" dtr="false" t="normal">SUM(P406:T406)</f>
        <v>2328308.53</v>
      </c>
      <c r="O406" s="18" t="n"/>
      <c r="P406" s="18" t="n">
        <v>65202.28</v>
      </c>
      <c r="Q406" s="18" t="n"/>
      <c r="R406" s="18" t="n">
        <v>2221077.79</v>
      </c>
      <c r="S406" s="18" t="n">
        <v>42028.46</v>
      </c>
      <c r="T406" s="18" t="n"/>
      <c r="U406" s="18" t="n">
        <v>1277.03816124007</v>
      </c>
      <c r="V406" s="18" t="n">
        <v>1264.283020064</v>
      </c>
      <c r="W406" s="21" t="n">
        <v>2023</v>
      </c>
      <c r="X406" s="103" t="n">
        <v>2364830.67</v>
      </c>
      <c r="Y406" s="3" t="n">
        <f aca="false" ca="false" dt2D="false" dtr="false" t="normal">+(K406*10.5+L406*21)*12*0.85</f>
        <v>440293.45499999996</v>
      </c>
      <c r="Z406" s="3" t="n">
        <f aca="false" ca="false" dt2D="false" dtr="false" t="normal">+(K406*10.5+L406*21)*12*30</f>
        <v>15539768.999999998</v>
      </c>
      <c r="AB406" s="158" t="n">
        <f aca="false" ca="true" dt2D="false" dtr="false" t="normal">SUBTOTAL(9, AC406:AQ406)</f>
        <v>2328308.53</v>
      </c>
      <c r="AC406" s="18" t="n">
        <v>0</v>
      </c>
      <c r="AD406" s="18" t="n"/>
      <c r="AE406" s="18" t="n">
        <v>2328308.53</v>
      </c>
      <c r="AF406" s="18" t="n"/>
      <c r="AG406" s="18" t="n"/>
      <c r="AH406" s="18" t="n"/>
      <c r="AI406" s="18" t="n"/>
      <c r="AJ406" s="18" t="n"/>
      <c r="AK406" s="18" t="n"/>
      <c r="AL406" s="18" t="n"/>
      <c r="AM406" s="18" t="n"/>
      <c r="AN406" s="18" t="n"/>
      <c r="AO406" s="18" t="n"/>
      <c r="AP406" s="18" t="n"/>
      <c r="AQ406" s="24" t="n"/>
      <c r="AR406" s="3" t="n">
        <f aca="false" ca="false" dt2D="false" dtr="false" t="normal">N406-AB406</f>
        <v>0</v>
      </c>
    </row>
    <row customFormat="true" ht="15" outlineLevel="0" r="407" s="184">
      <c r="A407" s="5" t="n">
        <f aca="false" ca="false" dt2D="false" dtr="false" t="normal">+A406+1</f>
        <v>389</v>
      </c>
      <c r="B407" s="6" t="s">
        <v>76</v>
      </c>
      <c r="C407" s="6" t="s">
        <v>177</v>
      </c>
      <c r="D407" s="6" t="s">
        <v>352</v>
      </c>
      <c r="E407" s="139" t="s">
        <v>353</v>
      </c>
      <c r="F407" s="139" t="n"/>
      <c r="G407" s="139" t="s">
        <v>4</v>
      </c>
      <c r="H407" s="139" t="s">
        <v>159</v>
      </c>
      <c r="I407" s="139" t="s">
        <v>159</v>
      </c>
      <c r="J407" s="17" t="n">
        <v>3893.1</v>
      </c>
      <c r="K407" s="17" t="n">
        <v>3553.5</v>
      </c>
      <c r="L407" s="17" t="n">
        <v>0</v>
      </c>
      <c r="M407" s="140" t="n">
        <v>150</v>
      </c>
      <c r="N407" s="16" t="n">
        <f aca="false" ca="false" dt2D="false" dtr="false" t="normal">SUM(P407:T407)</f>
        <v>29075533.090000004</v>
      </c>
      <c r="O407" s="18" t="n">
        <v>0</v>
      </c>
      <c r="P407" s="18" t="n">
        <v>17544458.69</v>
      </c>
      <c r="Q407" s="18" t="n">
        <v>0</v>
      </c>
      <c r="R407" s="18" t="n">
        <v>678038.57</v>
      </c>
      <c r="S407" s="18" t="n">
        <v>9297987.9046337</v>
      </c>
      <c r="T407" s="18" t="n">
        <v>1555047.9253663</v>
      </c>
      <c r="U407" s="18" t="n">
        <v>17913.0210460528</v>
      </c>
      <c r="V407" s="18" t="n">
        <v>1273.283020064</v>
      </c>
      <c r="W407" s="21" t="n">
        <v>2023</v>
      </c>
      <c r="X407" s="103" t="n">
        <v>1198086.63</v>
      </c>
      <c r="Y407" s="3" t="n">
        <f aca="false" ca="false" dt2D="false" dtr="false" t="normal">+(K407*10.5+L407*21)*12*0.85</f>
        <v>380579.85</v>
      </c>
      <c r="Z407" s="3" t="n">
        <f aca="false" ca="false" dt2D="false" dtr="false" t="normal">+(K407*10.5+L407*21)*12*30</f>
        <v>13432230</v>
      </c>
      <c r="AA407" s="3" t="n"/>
      <c r="AB407" s="158" t="n">
        <f aca="false" ca="true" dt2D="false" dtr="false" t="normal">SUBTOTAL(9, AC407:AQ407)</f>
        <v>29075533.09</v>
      </c>
      <c r="AC407" s="18" t="n"/>
      <c r="AD407" s="18" t="n"/>
      <c r="AE407" s="18" t="n">
        <v>1699976.02</v>
      </c>
      <c r="AF407" s="18" t="n"/>
      <c r="AG407" s="18" t="n"/>
      <c r="AH407" s="18" t="n"/>
      <c r="AI407" s="18" t="n"/>
      <c r="AJ407" s="18" t="n"/>
      <c r="AK407" s="18" t="n"/>
      <c r="AL407" s="18" t="n"/>
      <c r="AM407" s="18" t="n">
        <v>21539537.78</v>
      </c>
      <c r="AN407" s="18" t="n">
        <v>5244019.1</v>
      </c>
      <c r="AO407" s="18" t="n">
        <v>580000.19</v>
      </c>
      <c r="AP407" s="18" t="n">
        <v>12000</v>
      </c>
      <c r="AQ407" s="24" t="n"/>
      <c r="AR407" s="3" t="n">
        <f aca="false" ca="false" dt2D="false" dtr="false" t="normal">N407-AB407</f>
        <v>0</v>
      </c>
      <c r="AT407" s="187" t="n"/>
    </row>
    <row outlineLevel="0" r="408">
      <c r="A408" s="5" t="n">
        <f aca="false" ca="false" dt2D="false" dtr="false" t="normal">+A407+1</f>
        <v>390</v>
      </c>
      <c r="B408" s="6" t="n">
        <v>197</v>
      </c>
      <c r="C408" s="138" t="s">
        <v>177</v>
      </c>
      <c r="D408" s="138" t="s">
        <v>233</v>
      </c>
      <c r="E408" s="139" t="n">
        <v>1974</v>
      </c>
      <c r="F408" s="139" t="n">
        <v>2013</v>
      </c>
      <c r="G408" s="139" t="s">
        <v>4</v>
      </c>
      <c r="H408" s="139" t="n">
        <v>4</v>
      </c>
      <c r="I408" s="139" t="n">
        <v>4</v>
      </c>
      <c r="J408" s="17" t="n">
        <v>3890.5</v>
      </c>
      <c r="K408" s="17" t="n">
        <v>3406.6</v>
      </c>
      <c r="L408" s="17" t="n">
        <v>0</v>
      </c>
      <c r="M408" s="140" t="n">
        <v>175</v>
      </c>
      <c r="N408" s="16" t="n">
        <f aca="false" ca="false" dt2D="false" dtr="false" t="normal">SUM(P408:T408)</f>
        <v>1292467.79</v>
      </c>
      <c r="O408" s="17" t="n"/>
      <c r="P408" s="18" t="n">
        <v>924919.81</v>
      </c>
      <c r="Q408" s="18" t="n"/>
      <c r="R408" s="18" t="n">
        <v>347473.2</v>
      </c>
      <c r="S408" s="18" t="n">
        <v>20074.78</v>
      </c>
      <c r="T408" s="18" t="n"/>
      <c r="U408" s="17" t="n">
        <v>400.129281949745</v>
      </c>
      <c r="V408" s="17" t="n">
        <v>400.129281949745</v>
      </c>
      <c r="W408" s="21" t="n">
        <v>2023</v>
      </c>
      <c r="X408" s="12" t="n">
        <f aca="false" ca="false" dt2D="false" dtr="false" t="normal">1535272.52-R79</f>
        <v>348389.1000000001</v>
      </c>
      <c r="Y408" s="3" t="n">
        <f aca="false" ca="false" dt2D="false" dtr="false" t="normal">+(K408*10+L408*20)*12*0.85</f>
        <v>347473.2</v>
      </c>
      <c r="Z408" s="3" t="n">
        <f aca="false" ca="false" dt2D="false" dtr="false" t="normal">+(K408*10+L408*20)*12*30-S79</f>
        <v>32893.11999999918</v>
      </c>
      <c r="AB408" s="23" t="n">
        <f aca="false" ca="true" dt2D="false" dtr="false" t="normal">SUBTOTAL(9, AC408:AQ408)</f>
        <v>1292467.79</v>
      </c>
      <c r="AC408" s="18" t="n">
        <v>0</v>
      </c>
      <c r="AD408" s="18" t="n">
        <v>0</v>
      </c>
      <c r="AE408" s="18" t="n">
        <v>0</v>
      </c>
      <c r="AF408" s="18" t="n">
        <v>0</v>
      </c>
      <c r="AG408" s="18" t="n">
        <v>1292467.79</v>
      </c>
      <c r="AH408" s="18" t="n"/>
      <c r="AI408" s="18" t="n"/>
      <c r="AJ408" s="18" t="n">
        <v>0</v>
      </c>
      <c r="AK408" s="18" t="n">
        <v>0</v>
      </c>
      <c r="AL408" s="18" t="n">
        <v>0</v>
      </c>
      <c r="AM408" s="18" t="n"/>
      <c r="AN408" s="18" t="n">
        <v>0</v>
      </c>
      <c r="AO408" s="18" t="n"/>
      <c r="AP408" s="18" t="n"/>
      <c r="AQ408" s="24" t="n"/>
      <c r="AR408" s="3" t="n">
        <f aca="false" ca="false" dt2D="false" dtr="false" t="normal">N408-AB408</f>
        <v>0</v>
      </c>
    </row>
    <row outlineLevel="0" r="409">
      <c r="A409" s="5" t="n">
        <f aca="false" ca="false" dt2D="false" dtr="false" t="normal">+A408+1</f>
        <v>391</v>
      </c>
      <c r="B409" s="6" t="s">
        <v>76</v>
      </c>
      <c r="C409" s="6" t="s">
        <v>177</v>
      </c>
      <c r="D409" s="6" t="s">
        <v>532</v>
      </c>
      <c r="E409" s="139" t="n">
        <v>1979</v>
      </c>
      <c r="F409" s="139" t="n">
        <v>2013</v>
      </c>
      <c r="G409" s="139" t="s">
        <v>4</v>
      </c>
      <c r="H409" s="139" t="n">
        <v>5</v>
      </c>
      <c r="I409" s="139" t="n">
        <v>4</v>
      </c>
      <c r="J409" s="17" t="n">
        <v>3602.3</v>
      </c>
      <c r="K409" s="17" t="n">
        <v>3466.4</v>
      </c>
      <c r="L409" s="17" t="n">
        <v>0</v>
      </c>
      <c r="M409" s="140" t="n">
        <v>87</v>
      </c>
      <c r="N409" s="16" t="n">
        <f aca="false" ca="false" dt2D="false" dtr="false" t="normal">SUM(P409:T409)</f>
        <v>12686908.63</v>
      </c>
      <c r="O409" s="18" t="n"/>
      <c r="P409" s="18" t="n"/>
      <c r="Q409" s="18" t="n"/>
      <c r="R409" s="18" t="n">
        <v>1700767.73</v>
      </c>
      <c r="S409" s="18" t="n">
        <v>10986140.9</v>
      </c>
      <c r="T409" s="18" t="n"/>
      <c r="U409" s="18" t="n">
        <v>5381.50136006837</v>
      </c>
      <c r="V409" s="18" t="n">
        <v>1278.283020064</v>
      </c>
      <c r="W409" s="21" t="n">
        <v>2023</v>
      </c>
      <c r="X409" s="103" t="n">
        <v>2119168.21</v>
      </c>
      <c r="Y409" s="3" t="n">
        <f aca="false" ca="false" dt2D="false" dtr="false" t="normal">+(K409*10.5+L409*21)*12*0.85</f>
        <v>371251.44</v>
      </c>
      <c r="Z409" s="3" t="n">
        <f aca="false" ca="false" dt2D="false" dtr="false" t="normal">+(K409*10.5+L409*21)*12*30</f>
        <v>13102992</v>
      </c>
      <c r="AB409" s="158" t="n">
        <f aca="false" ca="true" dt2D="false" dtr="false" t="normal">SUBTOTAL(9, AC409:AQ409)</f>
        <v>12686908.629999999</v>
      </c>
      <c r="AC409" s="18" t="n">
        <v>6551161.51</v>
      </c>
      <c r="AD409" s="18" t="n">
        <v>3815348.46</v>
      </c>
      <c r="AE409" s="18" t="n"/>
      <c r="AF409" s="18" t="n">
        <v>2106297.9</v>
      </c>
      <c r="AG409" s="18" t="n"/>
      <c r="AH409" s="18" t="n"/>
      <c r="AI409" s="18" t="n"/>
      <c r="AJ409" s="18" t="n">
        <v>0</v>
      </c>
      <c r="AK409" s="18" t="n">
        <v>0</v>
      </c>
      <c r="AL409" s="18" t="n">
        <v>0</v>
      </c>
      <c r="AM409" s="18" t="n">
        <v>0</v>
      </c>
      <c r="AN409" s="18" t="n">
        <v>0</v>
      </c>
      <c r="AO409" s="18" t="n">
        <v>196100.76</v>
      </c>
      <c r="AP409" s="18" t="n">
        <v>18000</v>
      </c>
      <c r="AQ409" s="24" t="n"/>
      <c r="AR409" s="3" t="n">
        <f aca="false" ca="false" dt2D="false" dtr="false" t="normal">N409-AB409</f>
        <v>0</v>
      </c>
    </row>
    <row outlineLevel="0" r="410">
      <c r="A410" s="5" t="n">
        <f aca="false" ca="false" dt2D="false" dtr="false" t="normal">+A409+1</f>
        <v>392</v>
      </c>
      <c r="B410" s="6" t="s">
        <v>76</v>
      </c>
      <c r="C410" s="6" t="s">
        <v>177</v>
      </c>
      <c r="D410" s="6" t="s">
        <v>358</v>
      </c>
      <c r="E410" s="139" t="n">
        <v>1978</v>
      </c>
      <c r="F410" s="139" t="n">
        <v>2008</v>
      </c>
      <c r="G410" s="139" t="s">
        <v>4</v>
      </c>
      <c r="H410" s="139" t="n">
        <v>5</v>
      </c>
      <c r="I410" s="139" t="n">
        <v>4</v>
      </c>
      <c r="J410" s="17" t="n">
        <v>4929.7</v>
      </c>
      <c r="K410" s="17" t="n">
        <v>4335.1</v>
      </c>
      <c r="L410" s="17" t="n">
        <v>0</v>
      </c>
      <c r="M410" s="140" t="n">
        <v>213</v>
      </c>
      <c r="N410" s="16" t="n">
        <f aca="false" ca="false" dt2D="false" dtr="false" t="normal">SUM(P410:T410)</f>
        <v>1676807.21</v>
      </c>
      <c r="O410" s="18" t="n"/>
      <c r="P410" s="18" t="n"/>
      <c r="Q410" s="18" t="n"/>
      <c r="R410" s="18" t="n">
        <v>1291080.13</v>
      </c>
      <c r="S410" s="18" t="n">
        <v>385727.08</v>
      </c>
      <c r="T410" s="151" t="n"/>
      <c r="U410" s="17" t="n">
        <v>2164.31923369703</v>
      </c>
      <c r="V410" s="17" t="n">
        <v>2164.31923369703</v>
      </c>
      <c r="W410" s="21" t="n">
        <v>2023</v>
      </c>
      <c r="X410" s="12" t="n">
        <f aca="false" ca="false" dt2D="false" dtr="false" t="normal">2077071.68</f>
        <v>2077071.68</v>
      </c>
      <c r="Y410" s="3" t="n">
        <f aca="false" ca="false" dt2D="false" dtr="false" t="normal">+(K410*10+L410*20)*12*0.85</f>
        <v>442180.2</v>
      </c>
      <c r="Z410" s="3" t="n">
        <f aca="false" ca="false" dt2D="false" dtr="false" t="normal">+(K410*10+L410*20)*12*30</f>
        <v>15606360</v>
      </c>
      <c r="AB410" s="23" t="n">
        <f aca="false" ca="true" dt2D="false" dtr="false" t="normal">SUBTOTAL(9, AC410:AQ410)</f>
        <v>1676807.21</v>
      </c>
      <c r="AC410" s="18" t="n">
        <v>0</v>
      </c>
      <c r="AD410" s="18" t="n"/>
      <c r="AE410" s="18" t="n"/>
      <c r="AF410" s="18" t="n"/>
      <c r="AG410" s="18" t="n">
        <v>1676807.21</v>
      </c>
      <c r="AH410" s="18" t="n"/>
      <c r="AI410" s="18" t="n"/>
      <c r="AJ410" s="18" t="n">
        <v>0</v>
      </c>
      <c r="AK410" s="18" t="n">
        <v>0</v>
      </c>
      <c r="AL410" s="18" t="n">
        <v>0</v>
      </c>
      <c r="AM410" s="18" t="n"/>
      <c r="AN410" s="18" t="n">
        <v>0</v>
      </c>
      <c r="AO410" s="18" t="n"/>
      <c r="AP410" s="18" t="n"/>
      <c r="AQ410" s="24" t="n"/>
      <c r="AR410" s="3" t="n">
        <f aca="false" ca="false" dt2D="false" dtr="false" t="normal">N410-AB410</f>
        <v>0</v>
      </c>
    </row>
    <row outlineLevel="0" r="411">
      <c r="A411" s="5" t="n">
        <f aca="false" ca="false" dt2D="false" dtr="false" t="normal">+A410+1</f>
        <v>393</v>
      </c>
      <c r="B411" s="6" t="n">
        <v>198</v>
      </c>
      <c r="C411" s="138" t="s">
        <v>177</v>
      </c>
      <c r="D411" s="138" t="s">
        <v>248</v>
      </c>
      <c r="E411" s="139" t="n">
        <v>1990</v>
      </c>
      <c r="F411" s="139" t="n">
        <v>2005</v>
      </c>
      <c r="G411" s="139" t="s">
        <v>4</v>
      </c>
      <c r="H411" s="139" t="n">
        <v>5</v>
      </c>
      <c r="I411" s="139" t="n">
        <v>4</v>
      </c>
      <c r="J411" s="17" t="n">
        <v>4982</v>
      </c>
      <c r="K411" s="17" t="n">
        <v>4404.6</v>
      </c>
      <c r="L411" s="17" t="n">
        <v>0</v>
      </c>
      <c r="M411" s="140" t="n">
        <v>212</v>
      </c>
      <c r="N411" s="16" t="n">
        <f aca="false" ca="false" dt2D="false" dtr="false" t="normal">SUM(P411:T411)</f>
        <v>2612741.62</v>
      </c>
      <c r="O411" s="18" t="n"/>
      <c r="P411" s="18" t="n">
        <v>1723683.928</v>
      </c>
      <c r="Q411" s="18" t="n"/>
      <c r="R411" s="18" t="n">
        <v>627783.53</v>
      </c>
      <c r="S411" s="18" t="n">
        <v>97961.1247870401</v>
      </c>
      <c r="T411" s="18" t="n">
        <v>163313.03721296</v>
      </c>
      <c r="U411" s="18" t="n">
        <v>1039.2822625437</v>
      </c>
      <c r="V411" s="18" t="n">
        <v>1285.283020064</v>
      </c>
      <c r="W411" s="21" t="n">
        <v>2023</v>
      </c>
      <c r="X411" s="12" t="n">
        <f aca="false" ca="false" dt2D="false" dtr="false" t="normal">2706527.87-R88</f>
        <v>156050.8700000001</v>
      </c>
      <c r="Y411" s="3" t="n">
        <f aca="false" ca="false" dt2D="false" dtr="false" t="normal">+(K411*10.5+L411*21)*12*0.85</f>
        <v>471732.6600000001</v>
      </c>
      <c r="Z411" s="3" t="n">
        <f aca="false" ca="false" dt2D="false" dtr="false" t="normal">+(K411*10.5+L411*21)*12*30-S88</f>
        <v>411357.1983878035</v>
      </c>
      <c r="AB411" s="158" t="n">
        <f aca="false" ca="true" dt2D="false" dtr="false" t="normal">SUBTOTAL(9, AC411:AQ411)</f>
        <v>2612741.62</v>
      </c>
      <c r="AC411" s="18" t="n">
        <v>0</v>
      </c>
      <c r="AD411" s="18" t="n">
        <v>0</v>
      </c>
      <c r="AE411" s="18" t="n">
        <v>2612741.62</v>
      </c>
      <c r="AF411" s="18" t="n">
        <v>0</v>
      </c>
      <c r="AG411" s="18" t="n">
        <v>0</v>
      </c>
      <c r="AH411" s="18" t="n"/>
      <c r="AI411" s="18" t="n"/>
      <c r="AJ411" s="18" t="n">
        <v>0</v>
      </c>
      <c r="AK411" s="18" t="n"/>
      <c r="AL411" s="18" t="n"/>
      <c r="AM411" s="18" t="n"/>
      <c r="AN411" s="18" t="n">
        <v>0</v>
      </c>
      <c r="AO411" s="18" t="n"/>
      <c r="AP411" s="18" t="n"/>
      <c r="AQ411" s="24" t="n"/>
      <c r="AR411" s="3" t="n">
        <f aca="false" ca="false" dt2D="false" dtr="false" t="normal">N411-AB411</f>
        <v>0</v>
      </c>
    </row>
    <row outlineLevel="0" r="412">
      <c r="A412" s="5" t="n">
        <f aca="false" ca="false" dt2D="false" dtr="false" t="normal">+A411+1</f>
        <v>394</v>
      </c>
      <c r="B412" s="6" t="s">
        <v>76</v>
      </c>
      <c r="C412" s="6" t="s">
        <v>177</v>
      </c>
      <c r="D412" s="6" t="s">
        <v>249</v>
      </c>
      <c r="E412" s="139" t="n">
        <v>1970</v>
      </c>
      <c r="F412" s="139" t="n">
        <v>2013</v>
      </c>
      <c r="G412" s="139" t="s">
        <v>4</v>
      </c>
      <c r="H412" s="139" t="n">
        <v>5</v>
      </c>
      <c r="I412" s="139" t="n">
        <v>4</v>
      </c>
      <c r="J412" s="17" t="n">
        <v>3068</v>
      </c>
      <c r="K412" s="17" t="n">
        <v>2483.8</v>
      </c>
      <c r="L412" s="17" t="n">
        <v>584.2</v>
      </c>
      <c r="M412" s="140" t="n">
        <v>142</v>
      </c>
      <c r="N412" s="16" t="n">
        <f aca="false" ca="false" dt2D="false" dtr="false" t="normal">SUM(P412:T412)</f>
        <v>4692599.98</v>
      </c>
      <c r="O412" s="18" t="n"/>
      <c r="P412" s="18" t="n"/>
      <c r="Q412" s="18" t="n"/>
      <c r="R412" s="18" t="n"/>
      <c r="S412" s="18" t="n">
        <v>4692599.98</v>
      </c>
      <c r="T412" s="18" t="n"/>
      <c r="U412" s="18" t="n">
        <v>4744.83322534724</v>
      </c>
      <c r="V412" s="18" t="n">
        <v>4744.83322534724</v>
      </c>
      <c r="W412" s="21" t="n">
        <v>2023</v>
      </c>
      <c r="X412" s="12" t="n">
        <f aca="false" ca="false" dt2D="false" dtr="false" t="normal">504168.77-R251</f>
        <v>-267144.01</v>
      </c>
      <c r="Y412" s="3" t="n">
        <f aca="false" ca="false" dt2D="false" dtr="false" t="normal">+(K412*10+L412*20)*12*0.85</f>
        <v>372524.39999999997</v>
      </c>
      <c r="Z412" s="3" t="n">
        <f aca="false" ca="false" dt2D="false" dtr="false" t="normal">+(K412*10+L412*20)*12*30-S251</f>
        <v>2006306.210000001</v>
      </c>
      <c r="AB412" s="23" t="n">
        <f aca="false" ca="true" dt2D="false" dtr="false" t="normal">SUBTOTAL(9, AC412:AQ412)</f>
        <v>4692599.98</v>
      </c>
      <c r="AC412" s="18" t="n">
        <v>4647411.23</v>
      </c>
      <c r="AD412" s="18" t="n"/>
      <c r="AE412" s="18" t="n"/>
      <c r="AF412" s="18" t="n"/>
      <c r="AG412" s="18" t="n"/>
      <c r="AH412" s="18" t="n"/>
      <c r="AI412" s="18" t="n"/>
      <c r="AJ412" s="18" t="n"/>
      <c r="AK412" s="18" t="n"/>
      <c r="AL412" s="18" t="n">
        <v>0</v>
      </c>
      <c r="AM412" s="18" t="n">
        <v>0</v>
      </c>
      <c r="AN412" s="18" t="n">
        <v>0</v>
      </c>
      <c r="AO412" s="18" t="n"/>
      <c r="AP412" s="18" t="n"/>
      <c r="AQ412" s="156" t="n">
        <v>45188.75</v>
      </c>
      <c r="AR412" s="3" t="n">
        <f aca="false" ca="false" dt2D="false" dtr="false" t="normal">N412-AB412</f>
        <v>0</v>
      </c>
    </row>
    <row outlineLevel="0" r="413">
      <c r="A413" s="5" t="n">
        <f aca="false" ca="false" dt2D="false" dtr="false" t="normal">+A412+1</f>
        <v>395</v>
      </c>
      <c r="B413" s="6" t="s">
        <v>76</v>
      </c>
      <c r="C413" s="6" t="s">
        <v>177</v>
      </c>
      <c r="D413" s="6" t="s">
        <v>551</v>
      </c>
      <c r="E413" s="139" t="n">
        <v>1972</v>
      </c>
      <c r="F413" s="139" t="n">
        <v>2013</v>
      </c>
      <c r="G413" s="139" t="s">
        <v>4</v>
      </c>
      <c r="H413" s="139" t="n">
        <v>4</v>
      </c>
      <c r="I413" s="139" t="n">
        <v>4</v>
      </c>
      <c r="J413" s="17" t="n">
        <v>3047.8</v>
      </c>
      <c r="K413" s="17" t="n">
        <v>2789.4</v>
      </c>
      <c r="L413" s="17" t="n">
        <v>0</v>
      </c>
      <c r="M413" s="140" t="n">
        <v>107</v>
      </c>
      <c r="N413" s="16" t="n">
        <f aca="false" ca="false" dt2D="false" dtr="false" t="normal">SUM(P413:T413)</f>
        <v>13821027.05</v>
      </c>
      <c r="O413" s="18" t="n"/>
      <c r="P413" s="18" t="n">
        <v>13256381.58</v>
      </c>
      <c r="Q413" s="18" t="n"/>
      <c r="R413" s="18" t="n">
        <v>564645.47</v>
      </c>
      <c r="S413" s="18" t="n"/>
      <c r="T413" s="18" t="n"/>
      <c r="U413" s="17" t="n">
        <v>7373.27830083381</v>
      </c>
      <c r="V413" s="17" t="n">
        <v>7373.27830083381</v>
      </c>
      <c r="W413" s="21" t="n">
        <v>2023</v>
      </c>
      <c r="X413" s="1" t="n">
        <f aca="false" ca="false" dt2D="false" dtr="false" t="normal">1184908.35-361522.2864</f>
        <v>823386.0636000001</v>
      </c>
      <c r="AB413" s="23" t="n">
        <f aca="false" ca="true" dt2D="false" dtr="false" t="normal">SUBTOTAL(9, AC413:AQ413)</f>
        <v>13821027.05</v>
      </c>
      <c r="AC413" s="18" t="n"/>
      <c r="AD413" s="18" t="n"/>
      <c r="AE413" s="18" t="n"/>
      <c r="AF413" s="18" t="n"/>
      <c r="AG413" s="18" t="n"/>
      <c r="AH413" s="18" t="n"/>
      <c r="AI413" s="18" t="n"/>
      <c r="AJ413" s="18" t="n">
        <v>0</v>
      </c>
      <c r="AK413" s="18" t="n"/>
      <c r="AL413" s="18" t="n">
        <v>0</v>
      </c>
      <c r="AM413" s="18" t="n">
        <v>13526268.88</v>
      </c>
      <c r="AN413" s="18" t="n"/>
      <c r="AO413" s="18" t="n">
        <v>286758.17</v>
      </c>
      <c r="AP413" s="18" t="n">
        <v>8000</v>
      </c>
      <c r="AQ413" s="24" t="n"/>
      <c r="AR413" s="3" t="n">
        <f aca="false" ca="false" dt2D="false" dtr="false" t="normal">N413-AB413</f>
        <v>0</v>
      </c>
    </row>
    <row outlineLevel="0" r="414">
      <c r="A414" s="5" t="n">
        <f aca="false" ca="false" dt2D="false" dtr="false" t="normal">+A413+1</f>
        <v>396</v>
      </c>
      <c r="B414" s="6" t="s">
        <v>76</v>
      </c>
      <c r="C414" s="6" t="s">
        <v>177</v>
      </c>
      <c r="D414" s="6" t="s">
        <v>554</v>
      </c>
      <c r="E414" s="139" t="n">
        <v>1974</v>
      </c>
      <c r="F414" s="139" t="n">
        <v>2013</v>
      </c>
      <c r="G414" s="139" t="s">
        <v>4</v>
      </c>
      <c r="H414" s="139" t="n">
        <v>4</v>
      </c>
      <c r="I414" s="139" t="n">
        <v>4</v>
      </c>
      <c r="J414" s="17" t="n">
        <v>2989.2</v>
      </c>
      <c r="K414" s="17" t="n">
        <v>2536.9</v>
      </c>
      <c r="L414" s="17" t="n">
        <v>230.9</v>
      </c>
      <c r="M414" s="140" t="n">
        <v>90</v>
      </c>
      <c r="N414" s="16" t="n">
        <f aca="false" ca="false" dt2D="false" dtr="false" t="normal">SUM(P414:T414)</f>
        <v>10840452.98</v>
      </c>
      <c r="O414" s="18" t="n"/>
      <c r="P414" s="18" t="n">
        <v>10258597.46</v>
      </c>
      <c r="Q414" s="18" t="n"/>
      <c r="R414" s="18" t="n">
        <v>581855.519999999</v>
      </c>
      <c r="S414" s="18" t="n"/>
      <c r="T414" s="18" t="n"/>
      <c r="U414" s="17" t="n">
        <v>7160.14084289287</v>
      </c>
      <c r="V414" s="17" t="n">
        <v>7160.14084289287</v>
      </c>
      <c r="W414" s="21" t="n">
        <v>2023</v>
      </c>
      <c r="X414" s="1" t="n">
        <f aca="false" ca="false" dt2D="false" dtr="false" t="normal">1292399.14-848241.5751</f>
        <v>444157.5648999999</v>
      </c>
      <c r="AB414" s="23" t="n">
        <f aca="false" ca="true" dt2D="false" dtr="false" t="normal">SUBTOTAL(9, AC414:AQ414)</f>
        <v>10840452.98</v>
      </c>
      <c r="AC414" s="18" t="n"/>
      <c r="AD414" s="18" t="n"/>
      <c r="AE414" s="18" t="n"/>
      <c r="AF414" s="18" t="n"/>
      <c r="AG414" s="18" t="n"/>
      <c r="AH414" s="18" t="n"/>
      <c r="AI414" s="18" t="n"/>
      <c r="AJ414" s="18" t="n">
        <v>0</v>
      </c>
      <c r="AK414" s="18" t="n"/>
      <c r="AL414" s="18" t="n">
        <v>0</v>
      </c>
      <c r="AM414" s="18" t="n">
        <v>10548266.43</v>
      </c>
      <c r="AN414" s="18" t="n"/>
      <c r="AO414" s="218" t="n">
        <v>284186.55</v>
      </c>
      <c r="AP414" s="18" t="n">
        <v>8000</v>
      </c>
      <c r="AQ414" s="24" t="n"/>
      <c r="AR414" s="3" t="n">
        <f aca="false" ca="false" dt2D="false" dtr="false" t="normal">N414-AB414</f>
        <v>0</v>
      </c>
    </row>
    <row customFormat="true" ht="15" outlineLevel="0" r="415" s="184">
      <c r="A415" s="5" t="n">
        <f aca="false" ca="false" dt2D="false" dtr="false" t="normal">+A414+1</f>
        <v>397</v>
      </c>
      <c r="B415" s="6" t="s">
        <v>76</v>
      </c>
      <c r="C415" s="138" t="s">
        <v>177</v>
      </c>
      <c r="D415" s="138" t="s">
        <v>367</v>
      </c>
      <c r="E415" s="139" t="s">
        <v>353</v>
      </c>
      <c r="F415" s="139" t="n"/>
      <c r="G415" s="139" t="s">
        <v>4</v>
      </c>
      <c r="H415" s="139" t="s">
        <v>159</v>
      </c>
      <c r="I415" s="139" t="s">
        <v>159</v>
      </c>
      <c r="J415" s="17" t="n">
        <v>4032.8</v>
      </c>
      <c r="K415" s="17" t="n">
        <v>3458.5</v>
      </c>
      <c r="L415" s="17" t="n">
        <v>0</v>
      </c>
      <c r="M415" s="140" t="n">
        <v>156</v>
      </c>
      <c r="N415" s="16" t="n">
        <f aca="false" ca="false" dt2D="false" dtr="false" t="normal">SUM(P415:T415)</f>
        <v>2787893.79</v>
      </c>
      <c r="O415" s="17" t="n">
        <v>0</v>
      </c>
      <c r="P415" s="18" t="n">
        <v>1123866.43</v>
      </c>
      <c r="Q415" s="18" t="n">
        <v>0</v>
      </c>
      <c r="R415" s="18" t="n">
        <v>195889.85</v>
      </c>
      <c r="S415" s="18" t="n">
        <v>1468137.51</v>
      </c>
      <c r="T415" s="18" t="n"/>
      <c r="U415" s="17" t="n">
        <v>14851.7595489707</v>
      </c>
      <c r="V415" s="17" t="n">
        <v>14851.7595489707</v>
      </c>
      <c r="W415" s="21" t="n">
        <v>2023</v>
      </c>
      <c r="X415" s="184" t="n">
        <v>1622977.77</v>
      </c>
      <c r="Y415" s="3" t="n">
        <f aca="false" ca="false" dt2D="false" dtr="false" t="normal">+(K415*10+L415*20)*12*0.85</f>
        <v>352767</v>
      </c>
      <c r="Z415" s="3" t="n">
        <f aca="false" ca="false" dt2D="false" dtr="false" t="normal">+(K415*10+L415*20)*12*30</f>
        <v>12450600</v>
      </c>
      <c r="AA415" s="3" t="n"/>
      <c r="AB415" s="23" t="n">
        <f aca="false" ca="true" dt2D="false" dtr="false" t="normal">SUBTOTAL(9, AC415:AQ415)</f>
        <v>2787893.7900000005</v>
      </c>
      <c r="AC415" s="18" t="n"/>
      <c r="AD415" s="18" t="n"/>
      <c r="AE415" s="18" t="n">
        <v>1270077.84</v>
      </c>
      <c r="AF415" s="18" t="n">
        <v>1283887.8</v>
      </c>
      <c r="AG415" s="18" t="n"/>
      <c r="AH415" s="18" t="n"/>
      <c r="AI415" s="18" t="n"/>
      <c r="AJ415" s="18" t="n"/>
      <c r="AK415" s="18" t="n"/>
      <c r="AL415" s="18" t="n"/>
      <c r="AM415" s="18" t="n"/>
      <c r="AN415" s="217" t="n"/>
      <c r="AO415" s="218" t="n">
        <v>227071.01</v>
      </c>
      <c r="AP415" s="218" t="n">
        <v>6857.14</v>
      </c>
      <c r="AQ415" s="24" t="n"/>
      <c r="AR415" s="3" t="n">
        <f aca="false" ca="false" dt2D="false" dtr="false" t="normal">N415-AB415</f>
        <v>0</v>
      </c>
      <c r="AT415" s="187" t="n"/>
    </row>
    <row outlineLevel="0" r="416">
      <c r="A416" s="5" t="n">
        <f aca="false" ca="false" dt2D="false" dtr="false" t="normal">+A415+1</f>
        <v>398</v>
      </c>
      <c r="B416" s="6" t="n">
        <v>199</v>
      </c>
      <c r="C416" s="138" t="s">
        <v>177</v>
      </c>
      <c r="D416" s="138" t="s">
        <v>703</v>
      </c>
      <c r="E416" s="139" t="n">
        <v>1973</v>
      </c>
      <c r="F416" s="139" t="n">
        <v>2013</v>
      </c>
      <c r="G416" s="139" t="s">
        <v>4</v>
      </c>
      <c r="H416" s="139" t="n">
        <v>4</v>
      </c>
      <c r="I416" s="139" t="n">
        <v>4</v>
      </c>
      <c r="J416" s="17" t="n">
        <v>4671.96</v>
      </c>
      <c r="K416" s="17" t="n">
        <v>3446.2</v>
      </c>
      <c r="L416" s="17" t="n">
        <v>0</v>
      </c>
      <c r="M416" s="140" t="n">
        <v>128</v>
      </c>
      <c r="N416" s="16" t="n">
        <f aca="false" ca="false" dt2D="false" dtr="false" t="normal">SUM(P416:T416)</f>
        <v>1518027.6099999999</v>
      </c>
      <c r="O416" s="17" t="n"/>
      <c r="P416" s="18" t="n">
        <v>167255.68</v>
      </c>
      <c r="Q416" s="18" t="n"/>
      <c r="R416" s="18" t="n">
        <v>1047518.08</v>
      </c>
      <c r="S416" s="18" t="n">
        <v>303253.85</v>
      </c>
      <c r="T416" s="151" t="n"/>
      <c r="U416" s="17" t="n">
        <v>395.063844234229</v>
      </c>
      <c r="V416" s="17" t="n">
        <v>395.063844234229</v>
      </c>
      <c r="W416" s="21" t="n">
        <v>2023</v>
      </c>
      <c r="X416" s="1" t="n">
        <f aca="false" ca="false" dt2D="false" dtr="false" t="normal">1641525.43-945519.75</f>
        <v>696005.6799999999</v>
      </c>
      <c r="Y416" s="3" t="n">
        <f aca="false" ca="false" dt2D="false" dtr="false" t="normal">+(K416*10+L416*20)*12*0.85</f>
        <v>351512.39999999997</v>
      </c>
      <c r="Z416" s="3" t="n">
        <f aca="false" ca="false" dt2D="false" dtr="false" t="normal">+(K416*10+L416*20)*12*30-886414.55</f>
        <v>11519905.45</v>
      </c>
      <c r="AB416" s="23" t="n">
        <f aca="false" ca="true" dt2D="false" dtr="false" t="normal">SUBTOTAL(9, AC416:AQ416)</f>
        <v>1518027.61</v>
      </c>
      <c r="AC416" s="18" t="n">
        <v>0</v>
      </c>
      <c r="AD416" s="18" t="n">
        <v>0</v>
      </c>
      <c r="AE416" s="18" t="n">
        <v>0</v>
      </c>
      <c r="AF416" s="18" t="n">
        <v>0</v>
      </c>
      <c r="AG416" s="18" t="n">
        <v>1518027.61</v>
      </c>
      <c r="AH416" s="18" t="n"/>
      <c r="AI416" s="18" t="n"/>
      <c r="AJ416" s="18" t="n">
        <v>0</v>
      </c>
      <c r="AK416" s="18" t="n">
        <v>0</v>
      </c>
      <c r="AL416" s="18" t="n">
        <v>0</v>
      </c>
      <c r="AM416" s="18" t="n">
        <v>0</v>
      </c>
      <c r="AN416" s="18" t="n">
        <v>0</v>
      </c>
      <c r="AO416" s="200" t="n"/>
      <c r="AP416" s="18" t="n"/>
      <c r="AQ416" s="24" t="n"/>
      <c r="AR416" s="3" t="n">
        <f aca="false" ca="false" dt2D="false" dtr="false" t="normal">N416-AB416</f>
        <v>0</v>
      </c>
    </row>
    <row outlineLevel="0" r="417">
      <c r="A417" s="5" t="n">
        <f aca="false" ca="false" dt2D="false" dtr="false" t="normal">+A416+1</f>
        <v>399</v>
      </c>
      <c r="B417" s="6" t="n">
        <v>200</v>
      </c>
      <c r="C417" s="138" t="s">
        <v>177</v>
      </c>
      <c r="D417" s="138" t="s">
        <v>276</v>
      </c>
      <c r="E417" s="139" t="n">
        <v>1961</v>
      </c>
      <c r="F417" s="139" t="n">
        <v>2013</v>
      </c>
      <c r="G417" s="139" t="s">
        <v>4</v>
      </c>
      <c r="H417" s="139" t="n">
        <v>4</v>
      </c>
      <c r="I417" s="139" t="n">
        <v>3</v>
      </c>
      <c r="J417" s="17" t="n">
        <v>3049.5</v>
      </c>
      <c r="K417" s="17" t="n">
        <v>2277.6</v>
      </c>
      <c r="L417" s="17" t="n">
        <v>771.9</v>
      </c>
      <c r="M417" s="140" t="n">
        <v>94</v>
      </c>
      <c r="N417" s="16" t="n">
        <f aca="false" ca="false" dt2D="false" dtr="false" t="normal">SUM(P417:T417)</f>
        <v>937789.51</v>
      </c>
      <c r="O417" s="17" t="n"/>
      <c r="P417" s="18" t="n"/>
      <c r="Q417" s="18" t="n"/>
      <c r="R417" s="18" t="n">
        <v>937789.51</v>
      </c>
      <c r="S417" s="18" t="n"/>
      <c r="T417" s="18" t="n"/>
      <c r="U417" s="17" t="n">
        <v>520.163502508805</v>
      </c>
      <c r="V417" s="17" t="n">
        <v>520.163502508805</v>
      </c>
      <c r="W417" s="21" t="n">
        <v>2023</v>
      </c>
      <c r="X417" s="12" t="n">
        <f aca="false" ca="false" dt2D="false" dtr="false" t="normal">1647685.87-R104</f>
        <v>1542119.52</v>
      </c>
      <c r="Y417" s="3" t="n">
        <f aca="false" ca="false" dt2D="false" dtr="false" t="normal">+(K417*10+L417*20)*12*0.85</f>
        <v>389782.8</v>
      </c>
      <c r="Z417" s="3" t="n">
        <f aca="false" ca="false" dt2D="false" dtr="false" t="normal">+(K417*10+L417*20)*12*30-S104</f>
        <v>12835990.59</v>
      </c>
      <c r="AB417" s="23" t="n">
        <f aca="false" ca="true" dt2D="false" dtr="false" t="normal">SUBTOTAL(9, AC417:AQ417)</f>
        <v>937789.51</v>
      </c>
      <c r="AC417" s="18" t="n"/>
      <c r="AD417" s="18" t="n">
        <v>937789.51</v>
      </c>
      <c r="AE417" s="18" t="n"/>
      <c r="AF417" s="18" t="n"/>
      <c r="AG417" s="18" t="n"/>
      <c r="AH417" s="18" t="n"/>
      <c r="AI417" s="18" t="n"/>
      <c r="AJ417" s="18" t="n">
        <v>0</v>
      </c>
      <c r="AK417" s="18" t="n">
        <v>0</v>
      </c>
      <c r="AL417" s="18" t="n">
        <v>0</v>
      </c>
      <c r="AM417" s="18" t="n">
        <v>0</v>
      </c>
      <c r="AN417" s="18" t="n">
        <v>0</v>
      </c>
      <c r="AO417" s="18" t="n"/>
      <c r="AP417" s="18" t="n"/>
      <c r="AQ417" s="24" t="n"/>
      <c r="AR417" s="3" t="n">
        <f aca="false" ca="false" dt2D="false" dtr="false" t="normal">N417-AB417</f>
        <v>0</v>
      </c>
    </row>
    <row outlineLevel="0" r="418">
      <c r="A418" s="5" t="n">
        <f aca="false" ca="false" dt2D="false" dtr="false" t="normal">+A417+1</f>
        <v>400</v>
      </c>
      <c r="B418" s="6" t="n">
        <v>201</v>
      </c>
      <c r="C418" s="138" t="s">
        <v>177</v>
      </c>
      <c r="D418" s="138" t="s">
        <v>394</v>
      </c>
      <c r="E418" s="139" t="n">
        <v>1981</v>
      </c>
      <c r="F418" s="139" t="n">
        <v>2013</v>
      </c>
      <c r="G418" s="139" t="s">
        <v>4</v>
      </c>
      <c r="H418" s="139" t="n">
        <v>5</v>
      </c>
      <c r="I418" s="139" t="n">
        <v>4</v>
      </c>
      <c r="J418" s="17" t="n">
        <v>4887.3</v>
      </c>
      <c r="K418" s="17" t="n">
        <v>4312.9</v>
      </c>
      <c r="L418" s="17" t="n">
        <v>0</v>
      </c>
      <c r="M418" s="140" t="n">
        <v>194</v>
      </c>
      <c r="N418" s="16" t="n">
        <f aca="false" ca="false" dt2D="false" dtr="false" t="normal">SUM(P418:T418)</f>
        <v>1569375.81</v>
      </c>
      <c r="O418" s="17" t="n"/>
      <c r="P418" s="18" t="n">
        <v>879840.35</v>
      </c>
      <c r="Q418" s="18" t="n"/>
      <c r="R418" s="18" t="n"/>
      <c r="S418" s="18" t="n">
        <v>689535.46</v>
      </c>
      <c r="T418" s="18" t="n"/>
      <c r="U418" s="18" t="n">
        <v>3451.66555787124</v>
      </c>
      <c r="V418" s="18" t="n">
        <v>3451.66555787124</v>
      </c>
      <c r="W418" s="21" t="n">
        <v>2023</v>
      </c>
      <c r="X418" s="1" t="n">
        <v>1978942.68</v>
      </c>
      <c r="Y418" s="3" t="n">
        <f aca="false" ca="false" dt2D="false" dtr="false" t="normal">+(K418*10+L418*20)*12*0.85</f>
        <v>439915.8</v>
      </c>
      <c r="Z418" s="3" t="n">
        <f aca="false" ca="false" dt2D="false" dtr="false" t="normal">+(K418*10+L418*20)*12*30</f>
        <v>15526440</v>
      </c>
      <c r="AB418" s="23" t="n">
        <f aca="false" ca="true" dt2D="false" dtr="false" t="normal">SUBTOTAL(9, AC418:AQ418)</f>
        <v>1569375.8099999998</v>
      </c>
      <c r="AC418" s="18" t="n"/>
      <c r="AD418" s="18" t="n"/>
      <c r="AE418" s="18" t="n">
        <v>1517607.49</v>
      </c>
      <c r="AF418" s="18" t="n"/>
      <c r="AG418" s="18" t="n"/>
      <c r="AH418" s="18" t="n"/>
      <c r="AI418" s="18" t="n"/>
      <c r="AJ418" s="18" t="n"/>
      <c r="AK418" s="18" t="n"/>
      <c r="AL418" s="18" t="n">
        <v>0</v>
      </c>
      <c r="AM418" s="18" t="n"/>
      <c r="AN418" s="18" t="n"/>
      <c r="AO418" s="218" t="n">
        <v>44088.15</v>
      </c>
      <c r="AP418" s="218" t="n">
        <v>7680.17</v>
      </c>
      <c r="AQ418" s="24" t="n"/>
      <c r="AR418" s="3" t="n">
        <f aca="false" ca="false" dt2D="false" dtr="false" t="normal">N418-AB418</f>
        <v>0</v>
      </c>
    </row>
    <row outlineLevel="0" r="419">
      <c r="A419" s="5" t="n">
        <f aca="false" ca="false" dt2D="false" dtr="false" t="normal">+A418+1</f>
        <v>401</v>
      </c>
      <c r="B419" s="6" t="n">
        <v>202</v>
      </c>
      <c r="C419" s="138" t="s">
        <v>177</v>
      </c>
      <c r="D419" s="138" t="s">
        <v>279</v>
      </c>
      <c r="E419" s="139" t="n">
        <v>1965</v>
      </c>
      <c r="F419" s="139" t="n">
        <v>2005</v>
      </c>
      <c r="G419" s="139" t="s">
        <v>4</v>
      </c>
      <c r="H419" s="139" t="n">
        <v>4</v>
      </c>
      <c r="I419" s="139" t="n">
        <v>4</v>
      </c>
      <c r="J419" s="17" t="n">
        <v>2661.8</v>
      </c>
      <c r="K419" s="17" t="n">
        <v>2220.4</v>
      </c>
      <c r="L419" s="17" t="n">
        <v>229.71</v>
      </c>
      <c r="M419" s="140" t="n">
        <v>111</v>
      </c>
      <c r="N419" s="16" t="n">
        <f aca="false" ca="false" dt2D="false" dtr="false" t="normal">SUM(P419:T419)</f>
        <v>21301944.08</v>
      </c>
      <c r="O419" s="17" t="n"/>
      <c r="P419" s="18" t="n">
        <v>12718221.48</v>
      </c>
      <c r="Q419" s="18" t="n"/>
      <c r="R419" s="18" t="n"/>
      <c r="S419" s="18" t="n">
        <v>8042840.05186258</v>
      </c>
      <c r="T419" s="18" t="n">
        <v>540882.548137418</v>
      </c>
      <c r="U419" s="18" t="n">
        <v>13550.1210021515</v>
      </c>
      <c r="V419" s="18" t="n">
        <v>1309.283020064</v>
      </c>
      <c r="W419" s="21" t="n">
        <v>2023</v>
      </c>
      <c r="X419" s="12" t="n">
        <f aca="false" ca="false" dt2D="false" dtr="false" t="normal">1589432.29-R106</f>
        <v>-4518.899999999907</v>
      </c>
      <c r="Y419" s="3" t="n">
        <f aca="false" ca="false" dt2D="false" dtr="false" t="normal">+(K419*10.5+L419*21)*12*0.85</f>
        <v>287008.722</v>
      </c>
      <c r="Z419" s="3" t="n">
        <f aca="false" ca="false" dt2D="false" dtr="false" t="normal">+(K419*10.5+L419*21)*12*30</f>
        <v>10129719.6</v>
      </c>
      <c r="AB419" s="158" t="n">
        <f aca="false" ca="true" dt2D="false" dtr="false" t="normal">SUBTOTAL(9, AC419:AQ419)</f>
        <v>21301944.08</v>
      </c>
      <c r="AC419" s="18" t="n">
        <v>4825175.64</v>
      </c>
      <c r="AD419" s="18" t="n"/>
      <c r="AE419" s="18" t="n">
        <v>1641706.8</v>
      </c>
      <c r="AF419" s="18" t="n"/>
      <c r="AG419" s="18" t="n"/>
      <c r="AH419" s="18" t="n"/>
      <c r="AI419" s="18" t="n"/>
      <c r="AJ419" s="18" t="n">
        <v>0</v>
      </c>
      <c r="AK419" s="18" t="n">
        <v>8211860.62</v>
      </c>
      <c r="AL419" s="18" t="n">
        <v>0</v>
      </c>
      <c r="AM419" s="18" t="n"/>
      <c r="AN419" s="18" t="n">
        <v>6291723.6</v>
      </c>
      <c r="AO419" s="218" t="n">
        <v>318677.42</v>
      </c>
      <c r="AP419" s="218" t="n">
        <v>12800</v>
      </c>
      <c r="AQ419" s="24" t="n"/>
      <c r="AR419" s="3" t="n">
        <f aca="false" ca="false" dt2D="false" dtr="false" t="normal">N419-AB419</f>
        <v>0</v>
      </c>
    </row>
    <row outlineLevel="0" r="420">
      <c r="A420" s="5" t="n">
        <f aca="false" ca="false" dt2D="false" dtr="false" t="normal">+A419+1</f>
        <v>402</v>
      </c>
      <c r="B420" s="6" t="n">
        <v>203</v>
      </c>
      <c r="C420" s="138" t="s">
        <v>177</v>
      </c>
      <c r="D420" s="138" t="s">
        <v>709</v>
      </c>
      <c r="E420" s="139" t="n">
        <v>1978</v>
      </c>
      <c r="F420" s="139" t="n">
        <v>2013</v>
      </c>
      <c r="G420" s="139" t="s">
        <v>4</v>
      </c>
      <c r="H420" s="139" t="n">
        <v>4</v>
      </c>
      <c r="I420" s="139" t="n">
        <v>4</v>
      </c>
      <c r="J420" s="17" t="n">
        <v>3896.3</v>
      </c>
      <c r="K420" s="17" t="n">
        <v>3202.2</v>
      </c>
      <c r="L420" s="17" t="n">
        <v>496.4</v>
      </c>
      <c r="M420" s="140" t="n">
        <v>146</v>
      </c>
      <c r="N420" s="16" t="n">
        <f aca="false" ca="false" dt2D="false" dtr="false" t="normal">SUM(P420:T420)</f>
        <v>6633043.04</v>
      </c>
      <c r="O420" s="17" t="n"/>
      <c r="P420" s="18" t="n">
        <v>402860.24</v>
      </c>
      <c r="Q420" s="18" t="n"/>
      <c r="R420" s="18" t="n">
        <v>1657909.72910524</v>
      </c>
      <c r="S420" s="18" t="n">
        <v>4572273.07089476</v>
      </c>
      <c r="T420" s="18" t="n"/>
      <c r="U420" s="18" t="n">
        <v>2403.8148959386</v>
      </c>
      <c r="V420" s="18" t="n">
        <v>1310.283020064</v>
      </c>
      <c r="W420" s="21" t="n">
        <v>2023</v>
      </c>
      <c r="X420" s="1" t="n">
        <f aca="false" ca="false" dt2D="false" dtr="false" t="normal">2160865.59-103210.2</f>
        <v>2057655.39</v>
      </c>
      <c r="Y420" s="3" t="n">
        <f aca="false" ca="false" dt2D="false" dtr="false" t="normal">+(K420*10.5+L420*21)*12*0.85</f>
        <v>449284.5</v>
      </c>
      <c r="Z420" s="3" t="n">
        <f aca="false" ca="false" dt2D="false" dtr="false" t="normal">+(K420*10.5+L420*21)*12*30</f>
        <v>15857100</v>
      </c>
      <c r="AB420" s="158" t="n">
        <f aca="false" ca="true" dt2D="false" dtr="false" t="normal">SUBTOTAL(9, AC420:AQ420)</f>
        <v>6633043.04</v>
      </c>
      <c r="AC420" s="18" t="n">
        <v>6577590.92</v>
      </c>
      <c r="AD420" s="18" t="n">
        <v>0</v>
      </c>
      <c r="AE420" s="18" t="n">
        <v>0</v>
      </c>
      <c r="AF420" s="18" t="n">
        <v>0</v>
      </c>
      <c r="AG420" s="18" t="n">
        <v>0</v>
      </c>
      <c r="AH420" s="18" t="n"/>
      <c r="AI420" s="18" t="n"/>
      <c r="AJ420" s="18" t="n">
        <v>0</v>
      </c>
      <c r="AK420" s="18" t="n">
        <v>0</v>
      </c>
      <c r="AL420" s="18" t="n">
        <v>0</v>
      </c>
      <c r="AM420" s="18" t="n">
        <v>0</v>
      </c>
      <c r="AN420" s="18" t="n">
        <v>0</v>
      </c>
      <c r="AO420" s="218" t="n">
        <v>31452.12</v>
      </c>
      <c r="AP420" s="218" t="n">
        <v>24000</v>
      </c>
      <c r="AQ420" s="24" t="n"/>
      <c r="AR420" s="3" t="n">
        <f aca="false" ca="false" dt2D="false" dtr="false" t="normal">N420-AB420</f>
        <v>0</v>
      </c>
    </row>
    <row outlineLevel="0" r="421">
      <c r="A421" s="5" t="n">
        <f aca="false" ca="false" dt2D="false" dtr="false" t="normal">+A420+1</f>
        <v>403</v>
      </c>
      <c r="B421" s="6" t="s">
        <v>76</v>
      </c>
      <c r="C421" s="138" t="s">
        <v>177</v>
      </c>
      <c r="D421" s="138" t="s">
        <v>283</v>
      </c>
      <c r="E421" s="139" t="n">
        <v>1992</v>
      </c>
      <c r="F421" s="139" t="n">
        <v>2013</v>
      </c>
      <c r="G421" s="139" t="s">
        <v>4</v>
      </c>
      <c r="H421" s="139" t="n">
        <v>5</v>
      </c>
      <c r="I421" s="139" t="n">
        <v>4</v>
      </c>
      <c r="J421" s="17" t="n">
        <v>5274.7</v>
      </c>
      <c r="K421" s="17" t="n">
        <v>4397.95</v>
      </c>
      <c r="L421" s="17" t="n">
        <v>82.7</v>
      </c>
      <c r="M421" s="140" t="n">
        <v>351</v>
      </c>
      <c r="N421" s="16" t="n">
        <f aca="false" ca="false" dt2D="false" dtr="false" t="normal">SUM(P421:T421)</f>
        <v>2668996.7399999998</v>
      </c>
      <c r="O421" s="17" t="n"/>
      <c r="P421" s="18" t="n">
        <v>1672886.91</v>
      </c>
      <c r="Q421" s="18" t="n"/>
      <c r="R421" s="18" t="n">
        <v>785754.05</v>
      </c>
      <c r="S421" s="18" t="n">
        <v>210355.78</v>
      </c>
      <c r="T421" s="18" t="n"/>
      <c r="U421" s="18" t="n">
        <v>2328.42110694812</v>
      </c>
      <c r="V421" s="18" t="n">
        <v>2328.42110694812</v>
      </c>
      <c r="W421" s="21" t="n">
        <v>2023</v>
      </c>
      <c r="X421" s="12" t="n">
        <f aca="false" ca="false" dt2D="false" dtr="false" t="normal">1987606.27-R219</f>
        <v>-153147.18999999994</v>
      </c>
      <c r="Y421" s="3" t="n">
        <f aca="false" ca="false" dt2D="false" dtr="false" t="normal">+(K421*10+L421*20)*12*0.85</f>
        <v>465461.7</v>
      </c>
      <c r="Z421" s="3" t="n">
        <f aca="false" ca="false" dt2D="false" dtr="false" t="normal">+(K421*10+L421*20)*12*30-S219</f>
        <v>13911527.370000001</v>
      </c>
      <c r="AB421" s="23" t="n">
        <f aca="false" ca="true" dt2D="false" dtr="false" t="normal">SUBTOTAL(9, AC421:AQ421)</f>
        <v>2668996.74</v>
      </c>
      <c r="AC421" s="18" t="n"/>
      <c r="AD421" s="18" t="n">
        <v>2668996.74</v>
      </c>
      <c r="AE421" s="18" t="n"/>
      <c r="AF421" s="18" t="n"/>
      <c r="AG421" s="18" t="n"/>
      <c r="AH421" s="18" t="n"/>
      <c r="AI421" s="18" t="n"/>
      <c r="AJ421" s="18" t="n"/>
      <c r="AK421" s="18" t="n"/>
      <c r="AL421" s="18" t="n"/>
      <c r="AM421" s="18" t="n"/>
      <c r="AN421" s="18" t="n"/>
      <c r="AO421" s="18" t="n"/>
      <c r="AP421" s="18" t="n"/>
      <c r="AQ421" s="24" t="n"/>
      <c r="AR421" s="3" t="n">
        <f aca="false" ca="false" dt2D="false" dtr="false" t="normal">N421-AB421</f>
        <v>0</v>
      </c>
    </row>
    <row outlineLevel="0" r="422">
      <c r="A422" s="5" t="n">
        <f aca="false" ca="false" dt2D="false" dtr="false" t="normal">+A421+1</f>
        <v>404</v>
      </c>
      <c r="B422" s="6" t="s">
        <v>76</v>
      </c>
      <c r="C422" s="138" t="s">
        <v>177</v>
      </c>
      <c r="D422" s="138" t="s">
        <v>285</v>
      </c>
      <c r="E422" s="139" t="n">
        <v>1987</v>
      </c>
      <c r="F422" s="139" t="n">
        <v>1987</v>
      </c>
      <c r="G422" s="139" t="s">
        <v>4</v>
      </c>
      <c r="H422" s="139" t="n">
        <v>5</v>
      </c>
      <c r="I422" s="139" t="n">
        <v>3</v>
      </c>
      <c r="J422" s="17" t="n">
        <v>5170.7</v>
      </c>
      <c r="K422" s="17" t="n">
        <v>2871.7</v>
      </c>
      <c r="L422" s="17" t="n">
        <v>2299</v>
      </c>
      <c r="M422" s="140" t="n">
        <v>334</v>
      </c>
      <c r="N422" s="16" t="n">
        <f aca="false" ca="false" dt2D="false" dtr="false" t="normal">SUM(P422:T422)</f>
        <v>4620721.522</v>
      </c>
      <c r="O422" s="18" t="n"/>
      <c r="P422" s="18" t="n">
        <v>397766.39</v>
      </c>
      <c r="Q422" s="18" t="n"/>
      <c r="R422" s="18" t="n">
        <v>327890.78</v>
      </c>
      <c r="S422" s="18" t="n">
        <v>3895064.352</v>
      </c>
      <c r="T422" s="18" t="n"/>
      <c r="U422" s="18" t="n">
        <v>2143.11037672055</v>
      </c>
      <c r="V422" s="18" t="n">
        <v>2143.11037672055</v>
      </c>
      <c r="W422" s="21" t="n">
        <v>2023</v>
      </c>
      <c r="X422" s="12" t="n">
        <f aca="false" ca="false" dt2D="false" dtr="false" t="normal">2578731.31-R388</f>
        <v>-4476615.01</v>
      </c>
      <c r="Y422" s="3" t="n">
        <f aca="false" ca="false" dt2D="false" dtr="false" t="normal">+(K422*10+L422*20)*12*0.85</f>
        <v>761909.4</v>
      </c>
      <c r="Z422" s="3" t="n">
        <f aca="false" ca="false" dt2D="false" dtr="false" t="normal">+(K422*10+L422*20)*12*30-S388</f>
        <v>20030464.33</v>
      </c>
      <c r="AB422" s="23" t="n">
        <f aca="false" ca="true" dt2D="false" dtr="false" t="normal">SUBTOTAL(9, AC422:AQ422)</f>
        <v>4620721.522</v>
      </c>
      <c r="AC422" s="18" t="n">
        <v>4620721.522</v>
      </c>
      <c r="AD422" s="18" t="n"/>
      <c r="AE422" s="18" t="n"/>
      <c r="AF422" s="18" t="n"/>
      <c r="AG422" s="18" t="n"/>
      <c r="AH422" s="18" t="n"/>
      <c r="AI422" s="18" t="n"/>
      <c r="AJ422" s="18" t="n"/>
      <c r="AK422" s="18" t="n"/>
      <c r="AL422" s="18" t="n"/>
      <c r="AM422" s="18" t="n"/>
      <c r="AN422" s="18" t="n"/>
      <c r="AO422" s="18" t="n"/>
      <c r="AP422" s="18" t="n"/>
      <c r="AQ422" s="24" t="n"/>
      <c r="AR422" s="3" t="n">
        <f aca="false" ca="false" dt2D="false" dtr="false" t="normal">N422-AB422</f>
        <v>0</v>
      </c>
    </row>
    <row outlineLevel="0" r="423">
      <c r="A423" s="5" t="n">
        <f aca="false" ca="false" dt2D="false" dtr="false" t="normal">+A422+1</f>
        <v>405</v>
      </c>
      <c r="B423" s="6" t="s">
        <v>76</v>
      </c>
      <c r="C423" s="6" t="s">
        <v>177</v>
      </c>
      <c r="D423" s="6" t="s">
        <v>576</v>
      </c>
      <c r="E423" s="139" t="n">
        <v>1968</v>
      </c>
      <c r="F423" s="139" t="n">
        <v>2013</v>
      </c>
      <c r="G423" s="139" t="s">
        <v>4</v>
      </c>
      <c r="H423" s="139" t="n">
        <v>4</v>
      </c>
      <c r="I423" s="139" t="n">
        <v>4</v>
      </c>
      <c r="J423" s="17" t="n">
        <v>2683.3</v>
      </c>
      <c r="K423" s="17" t="n">
        <v>2455</v>
      </c>
      <c r="L423" s="17" t="n">
        <v>0</v>
      </c>
      <c r="M423" s="140" t="n">
        <v>116</v>
      </c>
      <c r="N423" s="16" t="n">
        <f aca="false" ca="false" dt2D="false" dtr="false" t="normal">SUM(P423:T423)</f>
        <v>1471006.8900000001</v>
      </c>
      <c r="O423" s="18" t="n"/>
      <c r="P423" s="18" t="n"/>
      <c r="Q423" s="18" t="n"/>
      <c r="R423" s="18" t="n">
        <v>208409.6</v>
      </c>
      <c r="S423" s="17" t="n">
        <v>1262597.29</v>
      </c>
      <c r="T423" s="17" t="n"/>
      <c r="U423" s="17" t="n">
        <v>10413.6714172969</v>
      </c>
      <c r="V423" s="17" t="n">
        <v>10413.6714172969</v>
      </c>
      <c r="W423" s="21" t="n">
        <v>2023</v>
      </c>
      <c r="X423" s="1" t="n">
        <f aca="false" ca="false" dt2D="false" dtr="false" t="normal">1035919.14-96406.2</f>
        <v>939512.9400000001</v>
      </c>
      <c r="Y423" s="3" t="n">
        <f aca="false" ca="false" dt2D="false" dtr="false" t="normal">+(K423*10+L423*20)*12*0.85</f>
        <v>250410</v>
      </c>
      <c r="Z423" s="3" t="n">
        <f aca="false" ca="false" dt2D="false" dtr="false" t="normal">+(K423*10+L423*20)*12*30</f>
        <v>8838000</v>
      </c>
      <c r="AB423" s="23" t="n">
        <f aca="false" ca="true" dt2D="false" dtr="false" t="normal">SUBTOTAL(9, AC423:AQ423)</f>
        <v>1471006.89</v>
      </c>
      <c r="AC423" s="18" t="n"/>
      <c r="AD423" s="18" t="n">
        <v>1434980.99</v>
      </c>
      <c r="AE423" s="18" t="n"/>
      <c r="AF423" s="18" t="n"/>
      <c r="AG423" s="18" t="n"/>
      <c r="AH423" s="18" t="n"/>
      <c r="AI423" s="18" t="n"/>
      <c r="AJ423" s="18" t="n">
        <v>0</v>
      </c>
      <c r="AK423" s="18" t="n"/>
      <c r="AL423" s="18" t="n">
        <v>0</v>
      </c>
      <c r="AM423" s="18" t="n">
        <v>0</v>
      </c>
      <c r="AN423" s="18" t="n"/>
      <c r="AO423" s="18" t="n">
        <v>31225.9</v>
      </c>
      <c r="AP423" s="18" t="n">
        <v>4800</v>
      </c>
      <c r="AQ423" s="24" t="n"/>
      <c r="AR423" s="3" t="n">
        <f aca="false" ca="false" dt2D="false" dtr="false" t="normal">N423-AB423</f>
        <v>0</v>
      </c>
    </row>
    <row outlineLevel="0" r="424">
      <c r="A424" s="5" t="n">
        <f aca="false" ca="false" dt2D="false" dtr="false" t="normal">+A423+1</f>
        <v>406</v>
      </c>
      <c r="B424" s="6" t="s">
        <v>76</v>
      </c>
      <c r="C424" s="138" t="s">
        <v>177</v>
      </c>
      <c r="D424" s="138" t="s">
        <v>577</v>
      </c>
      <c r="E424" s="139" t="n">
        <v>1970</v>
      </c>
      <c r="F424" s="139" t="n">
        <v>2013</v>
      </c>
      <c r="G424" s="139" t="s">
        <v>4</v>
      </c>
      <c r="H424" s="139" t="n">
        <v>4</v>
      </c>
      <c r="I424" s="139" t="n">
        <v>4</v>
      </c>
      <c r="J424" s="17" t="n">
        <v>2722.8</v>
      </c>
      <c r="K424" s="17" t="n">
        <v>2468.7</v>
      </c>
      <c r="L424" s="17" t="n">
        <v>72.1</v>
      </c>
      <c r="M424" s="140" t="n">
        <v>146</v>
      </c>
      <c r="N424" s="16" t="n">
        <f aca="false" ca="false" dt2D="false" dtr="false" t="normal">SUM(P424:T424)</f>
        <v>1823889.76</v>
      </c>
      <c r="O424" s="18" t="n"/>
      <c r="P424" s="18" t="n"/>
      <c r="Q424" s="18" t="n"/>
      <c r="R424" s="18" t="n">
        <v>254690.25</v>
      </c>
      <c r="S424" s="18" t="n">
        <v>1569199.51</v>
      </c>
      <c r="T424" s="17" t="n"/>
      <c r="U424" s="17" t="n">
        <v>10175.7369118931</v>
      </c>
      <c r="V424" s="17" t="n">
        <v>10175.7369118931</v>
      </c>
      <c r="W424" s="21" t="n">
        <v>2023</v>
      </c>
      <c r="X424" s="1" t="n">
        <f aca="false" ca="false" dt2D="false" dtr="false" t="normal">1230267.29-95960.13</f>
        <v>1134307.1600000001</v>
      </c>
      <c r="Y424" s="3" t="n">
        <f aca="false" ca="false" dt2D="false" dtr="false" t="normal">+(K424*10+L424*20)*12*0.85</f>
        <v>266515.8</v>
      </c>
      <c r="Z424" s="3" t="n">
        <f aca="false" ca="false" dt2D="false" dtr="false" t="normal">+(K424*10+L424*20)*12*30</f>
        <v>9406440</v>
      </c>
      <c r="AB424" s="23" t="n">
        <f aca="false" ca="true" dt2D="false" dtr="false" t="normal">SUBTOTAL(9, AC424:AQ424)</f>
        <v>1823889.76</v>
      </c>
      <c r="AC424" s="18" t="n"/>
      <c r="AD424" s="18" t="n">
        <v>1788007.61</v>
      </c>
      <c r="AE424" s="18" t="n"/>
      <c r="AF424" s="18" t="n"/>
      <c r="AG424" s="18" t="n"/>
      <c r="AH424" s="18" t="n"/>
      <c r="AI424" s="18" t="n"/>
      <c r="AJ424" s="18" t="n">
        <v>0</v>
      </c>
      <c r="AK424" s="18" t="n"/>
      <c r="AL424" s="18" t="n">
        <v>0</v>
      </c>
      <c r="AM424" s="18" t="n">
        <v>0</v>
      </c>
      <c r="AN424" s="18" t="n">
        <v>0</v>
      </c>
      <c r="AO424" s="18" t="n">
        <v>31082.15</v>
      </c>
      <c r="AP424" s="18" t="n">
        <v>4800</v>
      </c>
      <c r="AQ424" s="24" t="n"/>
      <c r="AR424" s="3" t="n">
        <f aca="false" ca="false" dt2D="false" dtr="false" t="normal">N424-AB424</f>
        <v>0</v>
      </c>
    </row>
    <row outlineLevel="0" r="425">
      <c r="A425" s="5" t="n">
        <f aca="false" ca="false" dt2D="false" dtr="false" t="normal">+A424+1</f>
        <v>407</v>
      </c>
      <c r="B425" s="6" t="s">
        <v>76</v>
      </c>
      <c r="C425" s="138" t="s">
        <v>177</v>
      </c>
      <c r="D425" s="6" t="s">
        <v>579</v>
      </c>
      <c r="E425" s="139" t="n">
        <v>1970</v>
      </c>
      <c r="F425" s="139" t="n">
        <v>2013</v>
      </c>
      <c r="G425" s="139" t="s">
        <v>4</v>
      </c>
      <c r="H425" s="139" t="n">
        <v>4</v>
      </c>
      <c r="I425" s="139" t="n">
        <v>4</v>
      </c>
      <c r="J425" s="17" t="n">
        <v>2981.5</v>
      </c>
      <c r="K425" s="17" t="n">
        <v>2738.8</v>
      </c>
      <c r="L425" s="17" t="n">
        <v>0</v>
      </c>
      <c r="M425" s="140" t="n">
        <v>153</v>
      </c>
      <c r="N425" s="16" t="n">
        <f aca="false" ca="false" dt2D="false" dtr="false" t="normal">SUM(P425:T425)</f>
        <v>7879770.539999999</v>
      </c>
      <c r="O425" s="18" t="n"/>
      <c r="P425" s="18" t="n">
        <v>3573040.04</v>
      </c>
      <c r="Q425" s="18" t="n"/>
      <c r="R425" s="18" t="n">
        <v>565070.674420919</v>
      </c>
      <c r="S425" s="18" t="n">
        <v>3741659.82557908</v>
      </c>
      <c r="T425" s="18" t="n"/>
      <c r="U425" s="17" t="n">
        <v>10190.5104018665</v>
      </c>
      <c r="V425" s="17" t="n">
        <v>10190.5104018665</v>
      </c>
      <c r="W425" s="21" t="n">
        <v>2023</v>
      </c>
      <c r="X425" s="1" t="n">
        <f aca="false" ca="false" dt2D="false" dtr="false" t="normal">1220932.16-96512.28</f>
        <v>1124419.88</v>
      </c>
      <c r="Y425" s="3" t="n">
        <f aca="false" ca="false" dt2D="false" dtr="false" t="normal">+(K425*10+L425*20)*12*0.85</f>
        <v>279357.6</v>
      </c>
      <c r="Z425" s="3" t="n">
        <f aca="false" ca="false" dt2D="false" dtr="false" t="normal">+(K425*10+L425*20)*12*30</f>
        <v>9859680</v>
      </c>
      <c r="AB425" s="23" t="n">
        <f aca="false" ca="true" dt2D="false" dtr="false" t="normal">SUBTOTAL(9, AC425:AQ425)</f>
        <v>7879770.54</v>
      </c>
      <c r="AC425" s="18" t="n">
        <v>6881617.84</v>
      </c>
      <c r="AD425" s="18" t="n">
        <v>998152.7</v>
      </c>
      <c r="AE425" s="18" t="n"/>
      <c r="AF425" s="18" t="n"/>
      <c r="AG425" s="18" t="n"/>
      <c r="AH425" s="18" t="n"/>
      <c r="AI425" s="18" t="n"/>
      <c r="AJ425" s="18" t="n">
        <v>0</v>
      </c>
      <c r="AK425" s="18" t="n"/>
      <c r="AL425" s="18" t="n">
        <v>0</v>
      </c>
      <c r="AM425" s="18" t="n">
        <v>0</v>
      </c>
      <c r="AN425" s="18" t="n"/>
      <c r="AO425" s="18" t="n"/>
      <c r="AP425" s="18" t="n"/>
      <c r="AQ425" s="24" t="n"/>
      <c r="AR425" s="3" t="n">
        <f aca="false" ca="false" dt2D="false" dtr="false" t="normal">N425-AB425</f>
        <v>0</v>
      </c>
    </row>
    <row outlineLevel="0" r="426">
      <c r="A426" s="5" t="n">
        <f aca="false" ca="false" dt2D="false" dtr="false" t="normal">+A425+1</f>
        <v>408</v>
      </c>
      <c r="B426" s="6" t="s">
        <v>76</v>
      </c>
      <c r="C426" s="138" t="s">
        <v>177</v>
      </c>
      <c r="D426" s="138" t="s">
        <v>294</v>
      </c>
      <c r="E426" s="139" t="n">
        <v>1980</v>
      </c>
      <c r="F426" s="139" t="n">
        <v>2008</v>
      </c>
      <c r="G426" s="139" t="s">
        <v>4</v>
      </c>
      <c r="H426" s="139" t="n">
        <v>5</v>
      </c>
      <c r="I426" s="139" t="n">
        <v>6</v>
      </c>
      <c r="J426" s="17" t="n">
        <v>7149.4</v>
      </c>
      <c r="K426" s="17" t="n">
        <v>6325.2</v>
      </c>
      <c r="L426" s="17" t="n">
        <v>0</v>
      </c>
      <c r="M426" s="140" t="n">
        <v>293</v>
      </c>
      <c r="N426" s="16" t="n">
        <f aca="false" ca="false" dt2D="false" dtr="false" t="normal">SUM(P426:T426)</f>
        <v>46145720.29000001</v>
      </c>
      <c r="O426" s="17" t="n"/>
      <c r="P426" s="18" t="n">
        <v>41523268.41</v>
      </c>
      <c r="Q426" s="18" t="n"/>
      <c r="R426" s="18" t="n">
        <v>2344035.82286057</v>
      </c>
      <c r="S426" s="18" t="n">
        <v>0</v>
      </c>
      <c r="T426" s="18" t="n">
        <v>2278416.05713944</v>
      </c>
      <c r="U426" s="17" t="n">
        <v>10739.0943856371</v>
      </c>
      <c r="V426" s="17" t="n">
        <v>10739.0943856371</v>
      </c>
      <c r="W426" s="21" t="n">
        <v>2023</v>
      </c>
      <c r="X426" s="12" t="n">
        <f aca="false" ca="false" dt2D="false" dtr="false" t="normal">3044323.81-R263</f>
        <v>703621.0699999998</v>
      </c>
      <c r="Y426" s="3" t="n">
        <f aca="false" ca="false" dt2D="false" dtr="false" t="normal">+(K426*10+L426*20)*12*0.85</f>
        <v>645170.4</v>
      </c>
      <c r="Z426" s="3" t="n">
        <f aca="false" ca="false" dt2D="false" dtr="false" t="normal">+(K426*10+L426*20)*12*30-S263</f>
        <v>20481614.86</v>
      </c>
      <c r="AB426" s="23" t="n">
        <f aca="false" ca="true" dt2D="false" dtr="false" t="normal">SUBTOTAL(9, AC426:AQ426)</f>
        <v>46145720.29000001</v>
      </c>
      <c r="AC426" s="18" t="n"/>
      <c r="AD426" s="18" t="n"/>
      <c r="AE426" s="18" t="n"/>
      <c r="AF426" s="18" t="n"/>
      <c r="AG426" s="18" t="n"/>
      <c r="AH426" s="18" t="n"/>
      <c r="AI426" s="18" t="n"/>
      <c r="AJ426" s="18" t="n"/>
      <c r="AK426" s="18" t="n"/>
      <c r="AL426" s="18" t="n"/>
      <c r="AM426" s="18" t="n">
        <v>27117129.62</v>
      </c>
      <c r="AN426" s="18" t="n">
        <v>18561498.89</v>
      </c>
      <c r="AO426" s="18" t="n">
        <v>325518.36</v>
      </c>
      <c r="AP426" s="18" t="n">
        <v>28000</v>
      </c>
      <c r="AQ426" s="156" t="n">
        <v>113573.42</v>
      </c>
      <c r="AR426" s="3" t="n">
        <f aca="false" ca="false" dt2D="false" dtr="false" t="normal">N426-AB426</f>
        <v>0</v>
      </c>
    </row>
    <row customFormat="true" ht="15" outlineLevel="0" r="427" s="184">
      <c r="A427" s="5" t="n">
        <f aca="false" ca="false" dt2D="false" dtr="false" t="normal">+A426+1</f>
        <v>409</v>
      </c>
      <c r="B427" s="6" t="s">
        <v>76</v>
      </c>
      <c r="C427" s="6" t="s">
        <v>177</v>
      </c>
      <c r="D427" s="6" t="s">
        <v>409</v>
      </c>
      <c r="E427" s="164" t="s">
        <v>343</v>
      </c>
      <c r="F427" s="164" t="n"/>
      <c r="G427" s="164" t="s">
        <v>4</v>
      </c>
      <c r="H427" s="164" t="s">
        <v>165</v>
      </c>
      <c r="I427" s="164" t="s">
        <v>212</v>
      </c>
      <c r="J427" s="18" t="n">
        <v>7651.5</v>
      </c>
      <c r="K427" s="18" t="n">
        <v>6138</v>
      </c>
      <c r="L427" s="18" t="n">
        <v>119</v>
      </c>
      <c r="M427" s="165" t="n">
        <v>293</v>
      </c>
      <c r="N427" s="16" t="n">
        <f aca="false" ca="false" dt2D="false" dtr="false" t="normal">SUM(P427:T427)</f>
        <v>6630811.4700000025</v>
      </c>
      <c r="O427" s="18" t="n">
        <v>0</v>
      </c>
      <c r="P427" s="18" t="n"/>
      <c r="Q427" s="18" t="n">
        <v>0</v>
      </c>
      <c r="R427" s="18" t="n">
        <v>259780.512857143</v>
      </c>
      <c r="S427" s="18" t="n">
        <v>6371030.95714286</v>
      </c>
      <c r="T427" s="18" t="n"/>
      <c r="U427" s="18" t="n">
        <v>5118.14134739371</v>
      </c>
      <c r="V427" s="18" t="n">
        <v>5118.14134739371</v>
      </c>
      <c r="W427" s="21" t="n">
        <v>2023</v>
      </c>
      <c r="X427" s="192" t="n">
        <f aca="false" ca="false" dt2D="false" dtr="false" t="normal">2725811.3-R91</f>
        <v>759151.1799999997</v>
      </c>
      <c r="Y427" s="3" t="n">
        <f aca="false" ca="false" dt2D="false" dtr="false" t="normal">+(K427*10+L427*20)*12*0.85</f>
        <v>650352</v>
      </c>
      <c r="Z427" s="3" t="n">
        <f aca="false" ca="false" dt2D="false" dtr="false" t="normal">+(K427*10+L427*20)*12*30-S91</f>
        <v>22953600</v>
      </c>
      <c r="AA427" s="3" t="n"/>
      <c r="AB427" s="23" t="n">
        <f aca="false" ca="true" dt2D="false" dtr="false" t="normal">SUBTOTAL(9, AC427:AQ427)</f>
        <v>6630811.47</v>
      </c>
      <c r="AC427" s="17" t="n"/>
      <c r="AD427" s="18" t="n"/>
      <c r="AE427" s="18" t="n"/>
      <c r="AF427" s="18" t="n"/>
      <c r="AG427" s="18" t="n"/>
      <c r="AH427" s="18" t="n"/>
      <c r="AI427" s="18" t="n"/>
      <c r="AJ427" s="18" t="n"/>
      <c r="AK427" s="18" t="n"/>
      <c r="AL427" s="18" t="n"/>
      <c r="AM427" s="18" t="n"/>
      <c r="AN427" s="18" t="n">
        <v>6630811.47</v>
      </c>
      <c r="AO427" s="18" t="n"/>
      <c r="AP427" s="18" t="n"/>
      <c r="AQ427" s="24" t="n"/>
      <c r="AR427" s="3" t="n">
        <f aca="false" ca="false" dt2D="false" dtr="false" t="normal">N427-AB427</f>
        <v>0</v>
      </c>
      <c r="AT427" s="187" t="n"/>
    </row>
    <row outlineLevel="0" r="428">
      <c r="A428" s="5" t="n">
        <f aca="false" ca="false" dt2D="false" dtr="false" t="normal">+A427+1</f>
        <v>410</v>
      </c>
      <c r="B428" s="6" t="s">
        <v>76</v>
      </c>
      <c r="C428" s="138" t="s">
        <v>177</v>
      </c>
      <c r="D428" s="138" t="s">
        <v>588</v>
      </c>
      <c r="E428" s="139" t="n">
        <v>1971</v>
      </c>
      <c r="F428" s="139" t="n">
        <v>2013</v>
      </c>
      <c r="G428" s="139" t="s">
        <v>4</v>
      </c>
      <c r="H428" s="139" t="n">
        <v>4</v>
      </c>
      <c r="I428" s="139" t="n">
        <v>4</v>
      </c>
      <c r="J428" s="17" t="n">
        <v>3003.8</v>
      </c>
      <c r="K428" s="17" t="n">
        <v>2693.7</v>
      </c>
      <c r="L428" s="17" t="n">
        <v>0</v>
      </c>
      <c r="M428" s="140" t="n">
        <v>120</v>
      </c>
      <c r="N428" s="16" t="n">
        <f aca="false" ca="false" dt2D="false" dtr="false" t="normal">SUM(P428:T428)</f>
        <v>2642400.08</v>
      </c>
      <c r="O428" s="17" t="n"/>
      <c r="P428" s="18" t="n">
        <v>273173.86</v>
      </c>
      <c r="Q428" s="18" t="n"/>
      <c r="R428" s="18" t="n">
        <v>247704.3</v>
      </c>
      <c r="S428" s="18" t="n">
        <v>2121521.92</v>
      </c>
      <c r="T428" s="18" t="n"/>
      <c r="U428" s="17" t="n">
        <v>3814.02659601257</v>
      </c>
      <c r="V428" s="17" t="n">
        <v>3814.02659601257</v>
      </c>
      <c r="W428" s="21" t="n">
        <v>2023</v>
      </c>
      <c r="X428" s="1" t="n">
        <f aca="false" ca="false" dt2D="false" dtr="false" t="normal">1245150.45-129665.9434</f>
        <v>1115484.5066</v>
      </c>
      <c r="Y428" s="3" t="n">
        <f aca="false" ca="false" dt2D="false" dtr="false" t="normal">+(K428*10+L428*20)*12*0.85</f>
        <v>274757.39999999997</v>
      </c>
      <c r="Z428" s="3" t="n">
        <f aca="false" ca="false" dt2D="false" dtr="false" t="normal">+(K428*10+L428*20)*12*30-552777.2166</f>
        <v>9144542.7834</v>
      </c>
      <c r="AB428" s="23" t="n">
        <f aca="false" ca="true" dt2D="false" dtr="false" t="normal">SUBTOTAL(9, AC428:AQ428)</f>
        <v>2642400.08</v>
      </c>
      <c r="AC428" s="18" t="n"/>
      <c r="AD428" s="18" t="n"/>
      <c r="AE428" s="18" t="n">
        <v>2642400.08</v>
      </c>
      <c r="AF428" s="18" t="n">
        <v>0</v>
      </c>
      <c r="AG428" s="18" t="n"/>
      <c r="AH428" s="18" t="n"/>
      <c r="AI428" s="18" t="n"/>
      <c r="AJ428" s="18" t="n"/>
      <c r="AK428" s="18" t="n"/>
      <c r="AL428" s="18" t="n"/>
      <c r="AM428" s="18" t="n"/>
      <c r="AN428" s="18" t="n"/>
      <c r="AO428" s="18" t="n"/>
      <c r="AP428" s="18" t="n"/>
      <c r="AQ428" s="24" t="n"/>
      <c r="AR428" s="3" t="n">
        <f aca="false" ca="false" dt2D="false" dtr="false" t="normal">N428-AB428</f>
        <v>0</v>
      </c>
    </row>
    <row customFormat="true" ht="15" outlineLevel="0" r="429" s="184">
      <c r="A429" s="5" t="n">
        <f aca="false" ca="false" dt2D="false" dtr="false" t="normal">+A428+1</f>
        <v>411</v>
      </c>
      <c r="B429" s="6" t="n">
        <v>204</v>
      </c>
      <c r="C429" s="138" t="s">
        <v>177</v>
      </c>
      <c r="D429" s="138" t="s">
        <v>722</v>
      </c>
      <c r="E429" s="139" t="s">
        <v>28</v>
      </c>
      <c r="F429" s="139" t="n"/>
      <c r="G429" s="139" t="s">
        <v>4</v>
      </c>
      <c r="H429" s="139" t="s">
        <v>159</v>
      </c>
      <c r="I429" s="139" t="s">
        <v>159</v>
      </c>
      <c r="J429" s="17" t="n">
        <v>2630.5</v>
      </c>
      <c r="K429" s="17" t="n">
        <v>2361.1</v>
      </c>
      <c r="L429" s="17" t="n">
        <v>37.5</v>
      </c>
      <c r="M429" s="140" t="n">
        <v>122</v>
      </c>
      <c r="N429" s="16" t="n">
        <f aca="false" ca="false" dt2D="false" dtr="false" t="normal">SUM(P429:T429)</f>
        <v>5699797.86</v>
      </c>
      <c r="O429" s="17" t="n">
        <v>0</v>
      </c>
      <c r="P429" s="18" t="n"/>
      <c r="Q429" s="18" t="n">
        <v>0</v>
      </c>
      <c r="R429" s="18" t="n">
        <v>1380626.28</v>
      </c>
      <c r="S429" s="18" t="n">
        <v>4319171.58</v>
      </c>
      <c r="T429" s="18" t="n"/>
      <c r="U429" s="17" t="n">
        <v>4974.17844992913</v>
      </c>
      <c r="V429" s="17" t="n">
        <v>4974.17844992913</v>
      </c>
      <c r="W429" s="21" t="n">
        <v>2023</v>
      </c>
      <c r="X429" s="184" t="n">
        <v>1132144.08</v>
      </c>
      <c r="Y429" s="3" t="n">
        <f aca="false" ca="false" dt2D="false" dtr="false" t="normal">+(K429*10+L429*20)*12*0.85</f>
        <v>248482.19999999998</v>
      </c>
      <c r="Z429" s="3" t="n">
        <f aca="false" ca="false" dt2D="false" dtr="false" t="normal">+(K429*10+L429*20)*12*30</f>
        <v>8769960</v>
      </c>
      <c r="AA429" s="3" t="n"/>
      <c r="AB429" s="23" t="n">
        <f aca="false" ca="true" dt2D="false" dtr="false" t="normal">SUBTOTAL(9, AC429:AQ429)</f>
        <v>5699797.859999999</v>
      </c>
      <c r="AC429" s="18" t="n"/>
      <c r="AD429" s="18" t="n"/>
      <c r="AE429" s="18" t="n"/>
      <c r="AF429" s="18" t="n"/>
      <c r="AG429" s="18" t="n"/>
      <c r="AH429" s="18" t="n"/>
      <c r="AI429" s="18" t="n"/>
      <c r="AJ429" s="18" t="n"/>
      <c r="AK429" s="18" t="n">
        <v>5449539.43</v>
      </c>
      <c r="AL429" s="18" t="n"/>
      <c r="AM429" s="18" t="n"/>
      <c r="AN429" s="18" t="n"/>
      <c r="AO429" s="18" t="n">
        <v>226258.43</v>
      </c>
      <c r="AP429" s="18" t="n">
        <v>24000</v>
      </c>
      <c r="AQ429" s="24" t="n"/>
      <c r="AR429" s="3" t="n">
        <f aca="false" ca="false" dt2D="false" dtr="false" t="normal">N429-AB429</f>
        <v>0</v>
      </c>
      <c r="AT429" s="187" t="n"/>
    </row>
    <row customFormat="true" ht="15" outlineLevel="0" r="430" s="184">
      <c r="A430" s="5" t="n">
        <f aca="false" ca="false" dt2D="false" dtr="false" t="normal">+A429+1</f>
        <v>412</v>
      </c>
      <c r="B430" s="6" t="s">
        <v>76</v>
      </c>
      <c r="C430" s="138" t="s">
        <v>309</v>
      </c>
      <c r="D430" s="138" t="s">
        <v>590</v>
      </c>
      <c r="E430" s="139" t="s">
        <v>353</v>
      </c>
      <c r="F430" s="139" t="n"/>
      <c r="G430" s="139" t="s">
        <v>4</v>
      </c>
      <c r="H430" s="139" t="s">
        <v>159</v>
      </c>
      <c r="I430" s="139" t="s">
        <v>151</v>
      </c>
      <c r="J430" s="17" t="n">
        <v>3411.7</v>
      </c>
      <c r="K430" s="17" t="n">
        <v>2190.7</v>
      </c>
      <c r="L430" s="17" t="n">
        <v>1221</v>
      </c>
      <c r="M430" s="140" t="n">
        <v>86</v>
      </c>
      <c r="N430" s="16" t="n">
        <f aca="false" ca="false" dt2D="false" dtr="false" t="normal">SUM(P430:T430)</f>
        <v>13682647.21</v>
      </c>
      <c r="O430" s="17" t="n">
        <v>0</v>
      </c>
      <c r="P430" s="18" t="n">
        <v>2950310.40275136</v>
      </c>
      <c r="Q430" s="18" t="n">
        <v>0</v>
      </c>
      <c r="R430" s="18" t="n">
        <v>1657542.49022264</v>
      </c>
      <c r="S430" s="18" t="n">
        <v>9074794.317026</v>
      </c>
      <c r="T430" s="18" t="n"/>
      <c r="U430" s="18" t="n">
        <v>14950.9382357458</v>
      </c>
      <c r="V430" s="18" t="n">
        <v>1322.283020064</v>
      </c>
      <c r="W430" s="21" t="n">
        <v>2023</v>
      </c>
      <c r="X430" s="103" t="n">
        <v>2892323.62</v>
      </c>
      <c r="Y430" s="3" t="n">
        <f aca="false" ca="false" dt2D="false" dtr="false" t="normal">+(K430*10.5+L430*21)*12*0.85</f>
        <v>496162.1699999999</v>
      </c>
      <c r="Z430" s="3" t="n">
        <f aca="false" ca="false" dt2D="false" dtr="false" t="normal">+(K430*10.5+L430*21)*12*30</f>
        <v>17511606</v>
      </c>
      <c r="AA430" s="3" t="n"/>
      <c r="AB430" s="158" t="n">
        <f aca="false" ca="true" dt2D="false" dtr="false" t="normal">SUBTOTAL(9, AC430:AQ430)</f>
        <v>13682647.209999999</v>
      </c>
      <c r="AC430" s="18" t="n">
        <v>5021208.78</v>
      </c>
      <c r="AD430" s="18" t="n">
        <v>734322.14</v>
      </c>
      <c r="AE430" s="18" t="n"/>
      <c r="AF430" s="18" t="n">
        <v>1975667.5</v>
      </c>
      <c r="AG430" s="18" t="n"/>
      <c r="AH430" s="18" t="n"/>
      <c r="AI430" s="18" t="n"/>
      <c r="AJ430" s="18" t="n">
        <v>0</v>
      </c>
      <c r="AK430" s="18" t="n">
        <v>0</v>
      </c>
      <c r="AL430" s="18" t="n">
        <v>0</v>
      </c>
      <c r="AM430" s="18" t="n">
        <v>5170020</v>
      </c>
      <c r="AN430" s="18" t="n"/>
      <c r="AO430" s="18" t="n">
        <v>767714.5</v>
      </c>
      <c r="AP430" s="18" t="n">
        <v>13714.29</v>
      </c>
      <c r="AQ430" s="24" t="n"/>
      <c r="AR430" s="3" t="n">
        <f aca="false" ca="false" dt2D="false" dtr="false" t="normal">N430-AB430</f>
        <v>0</v>
      </c>
      <c r="AT430" s="187" t="n"/>
    </row>
    <row outlineLevel="0" r="431">
      <c r="A431" s="5" t="n">
        <f aca="false" ca="false" dt2D="false" dtr="false" t="normal">+A430+1</f>
        <v>413</v>
      </c>
      <c r="B431" s="159" t="s">
        <v>76</v>
      </c>
      <c r="C431" s="6" t="s">
        <v>177</v>
      </c>
      <c r="D431" s="6" t="s">
        <v>303</v>
      </c>
      <c r="E431" s="139" t="n">
        <v>1966</v>
      </c>
      <c r="F431" s="139" t="n">
        <v>2013</v>
      </c>
      <c r="G431" s="139" t="s">
        <v>4</v>
      </c>
      <c r="H431" s="139" t="n">
        <v>4</v>
      </c>
      <c r="I431" s="139" t="n">
        <v>6</v>
      </c>
      <c r="J431" s="17" t="n">
        <v>2829.5</v>
      </c>
      <c r="K431" s="17" t="n">
        <v>2537.8</v>
      </c>
      <c r="L431" s="17" t="n">
        <v>230.6</v>
      </c>
      <c r="M431" s="140" t="n">
        <v>144</v>
      </c>
      <c r="N431" s="16" t="n">
        <f aca="false" ca="false" dt2D="false" dtr="false" t="normal">SUM(P431:T431)</f>
        <v>9347701.01</v>
      </c>
      <c r="O431" s="18" t="n"/>
      <c r="P431" s="18" t="n">
        <v>5819327.38</v>
      </c>
      <c r="Q431" s="18" t="n"/>
      <c r="R431" s="18" t="n">
        <v>291228.86</v>
      </c>
      <c r="S431" s="18" t="n">
        <v>3237144.77</v>
      </c>
      <c r="T431" s="18" t="n"/>
      <c r="U431" s="18" t="n">
        <v>9188.10009785138</v>
      </c>
      <c r="V431" s="18" t="n">
        <v>1324.283020064</v>
      </c>
      <c r="W431" s="212" t="n">
        <v>2023</v>
      </c>
      <c r="X431" s="202" t="n">
        <v>1632407.51</v>
      </c>
      <c r="Y431" s="3" t="n">
        <f aca="false" ca="false" dt2D="false" dtr="false" t="normal">+(K431*10.5+L431*21)*12*0.85</f>
        <v>321192.89999999997</v>
      </c>
      <c r="Z431" s="3" t="n">
        <f aca="false" ca="false" dt2D="false" dtr="false" t="normal">+(K431*10.5+L431*21)*12*30</f>
        <v>11336220</v>
      </c>
      <c r="AB431" s="158" t="n">
        <f aca="false" ca="true" dt2D="false" dtr="false" t="normal">SUBTOTAL(9, AC431:AQ431)</f>
        <v>9347701.01</v>
      </c>
      <c r="AC431" s="18" t="n"/>
      <c r="AD431" s="18" t="n"/>
      <c r="AE431" s="18" t="n"/>
      <c r="AF431" s="18" t="n"/>
      <c r="AG431" s="18" t="n"/>
      <c r="AH431" s="18" t="n"/>
      <c r="AI431" s="18" t="n"/>
      <c r="AJ431" s="18" t="n"/>
      <c r="AK431" s="18" t="n"/>
      <c r="AL431" s="18" t="n">
        <v>0</v>
      </c>
      <c r="AM431" s="18" t="n"/>
      <c r="AN431" s="18" t="n">
        <v>8872451.2</v>
      </c>
      <c r="AO431" s="18" t="n">
        <v>459249.81</v>
      </c>
      <c r="AP431" s="18" t="n">
        <v>16000</v>
      </c>
      <c r="AQ431" s="24" t="n"/>
      <c r="AR431" s="3" t="n">
        <f aca="false" ca="false" dt2D="false" dtr="false" t="normal">N431-AB431</f>
        <v>0</v>
      </c>
    </row>
    <row customFormat="true" ht="15" outlineLevel="0" r="432" s="184">
      <c r="A432" s="5" t="n">
        <f aca="false" ca="false" dt2D="false" dtr="false" t="normal">+A430+1</f>
        <v>413</v>
      </c>
      <c r="B432" s="6" t="s">
        <v>76</v>
      </c>
      <c r="C432" s="138" t="s">
        <v>309</v>
      </c>
      <c r="D432" s="138" t="s">
        <v>436</v>
      </c>
      <c r="E432" s="139" t="s">
        <v>311</v>
      </c>
      <c r="F432" s="139" t="n"/>
      <c r="G432" s="139" t="s">
        <v>4</v>
      </c>
      <c r="H432" s="139" t="s">
        <v>159</v>
      </c>
      <c r="I432" s="139" t="s">
        <v>312</v>
      </c>
      <c r="J432" s="17" t="n">
        <v>5751.1</v>
      </c>
      <c r="K432" s="17" t="n">
        <v>4971.6</v>
      </c>
      <c r="L432" s="17" t="n">
        <v>0</v>
      </c>
      <c r="M432" s="140" t="n">
        <v>221</v>
      </c>
      <c r="N432" s="16" t="n">
        <f aca="false" ca="false" dt2D="false" dtr="false" t="normal">SUM(P432:T432)</f>
        <v>11509868.829999998</v>
      </c>
      <c r="O432" s="17" t="n">
        <v>0</v>
      </c>
      <c r="P432" s="18" t="n">
        <v>7343308.14</v>
      </c>
      <c r="Q432" s="18" t="n">
        <v>0</v>
      </c>
      <c r="R432" s="18" t="n">
        <v>470172.68</v>
      </c>
      <c r="S432" s="18" t="n">
        <v>3696388.01</v>
      </c>
      <c r="T432" s="18" t="n"/>
      <c r="U432" s="18" t="n">
        <v>10054.0694105366</v>
      </c>
      <c r="V432" s="18" t="n">
        <v>1330.283020064</v>
      </c>
      <c r="W432" s="21" t="n">
        <v>2023</v>
      </c>
      <c r="X432" s="103" t="n">
        <v>2885684.78</v>
      </c>
      <c r="Y432" s="3" t="n">
        <f aca="false" ca="false" dt2D="false" dtr="false" t="normal">+(K432*10.5+L432*21)*12*0.85</f>
        <v>532458.3600000001</v>
      </c>
      <c r="Z432" s="3" t="n">
        <f aca="false" ca="false" dt2D="false" dtr="false" t="normal">+(K432*10.5+L432*21)*12*30</f>
        <v>18792648.000000004</v>
      </c>
      <c r="AA432" s="3" t="n"/>
      <c r="AB432" s="158" t="n">
        <f aca="false" ca="true" dt2D="false" dtr="false" t="normal">SUBTOTAL(9, AC432:AQ432)</f>
        <v>11509868.83</v>
      </c>
      <c r="AC432" s="18" t="n">
        <v>8087620.75</v>
      </c>
      <c r="AD432" s="18" t="n">
        <v>3000884.73</v>
      </c>
      <c r="AE432" s="18" t="n">
        <v>0</v>
      </c>
      <c r="AF432" s="18" t="n">
        <v>0</v>
      </c>
      <c r="AG432" s="18" t="n"/>
      <c r="AH432" s="18" t="n"/>
      <c r="AI432" s="18" t="n"/>
      <c r="AJ432" s="18" t="n">
        <v>0</v>
      </c>
      <c r="AK432" s="18" t="n"/>
      <c r="AL432" s="18" t="n">
        <v>0</v>
      </c>
      <c r="AM432" s="18" t="n"/>
      <c r="AN432" s="18" t="n"/>
      <c r="AO432" s="18" t="n">
        <v>411763.35</v>
      </c>
      <c r="AP432" s="18" t="n">
        <v>9600</v>
      </c>
      <c r="AQ432" s="24" t="n"/>
      <c r="AR432" s="3" t="n">
        <f aca="false" ca="false" dt2D="false" dtr="false" t="normal">N432-AB432</f>
        <v>0</v>
      </c>
      <c r="AT432" s="187" t="n"/>
    </row>
    <row customFormat="true" ht="15" outlineLevel="0" r="433" s="184">
      <c r="A433" s="5" t="n">
        <f aca="false" ca="false" dt2D="false" dtr="false" t="normal">+A432+1</f>
        <v>414</v>
      </c>
      <c r="B433" s="6" t="s">
        <v>76</v>
      </c>
      <c r="C433" s="6" t="s">
        <v>177</v>
      </c>
      <c r="D433" s="6" t="s">
        <v>444</v>
      </c>
      <c r="E433" s="164" t="s">
        <v>340</v>
      </c>
      <c r="F433" s="164" t="n"/>
      <c r="G433" s="164" t="s">
        <v>4</v>
      </c>
      <c r="H433" s="164" t="s">
        <v>159</v>
      </c>
      <c r="I433" s="164" t="s">
        <v>159</v>
      </c>
      <c r="J433" s="18" t="n">
        <v>2960.3</v>
      </c>
      <c r="K433" s="18" t="n">
        <v>2725</v>
      </c>
      <c r="L433" s="18" t="n">
        <v>0</v>
      </c>
      <c r="M433" s="165" t="n">
        <v>121</v>
      </c>
      <c r="N433" s="16" t="n">
        <f aca="false" ca="false" dt2D="false" dtr="false" t="normal">SUM(P433:T433)</f>
        <v>3403308.6</v>
      </c>
      <c r="O433" s="18" t="n">
        <v>0</v>
      </c>
      <c r="P433" s="18" t="n">
        <v>1392525.5544978</v>
      </c>
      <c r="Q433" s="18" t="n">
        <v>0</v>
      </c>
      <c r="R433" s="18" t="n">
        <v>193625.18</v>
      </c>
      <c r="S433" s="18" t="n">
        <v>1817157.8655022</v>
      </c>
      <c r="T433" s="18" t="n"/>
      <c r="U433" s="18" t="n">
        <v>8362.46221489454</v>
      </c>
      <c r="V433" s="18" t="n">
        <v>8362.46221489454</v>
      </c>
      <c r="W433" s="21" t="n">
        <v>2023</v>
      </c>
      <c r="X433" s="192" t="n">
        <f aca="false" ca="false" dt2D="false" dtr="false" t="normal">1333137.2-R315</f>
        <v>576703.4299999999</v>
      </c>
      <c r="Y433" s="3" t="n">
        <f aca="false" ca="false" dt2D="false" dtr="false" t="normal">+(K433*10+L433*20)*12*0.85</f>
        <v>277950</v>
      </c>
      <c r="Z433" s="3" t="n">
        <f aca="false" ca="false" dt2D="false" dtr="false" t="normal">+(K433*10+L433*20)*12*30-S315</f>
        <v>6590238.470000001</v>
      </c>
      <c r="AA433" s="3" t="n"/>
      <c r="AB433" s="23" t="n">
        <f aca="false" ca="true" dt2D="false" dtr="false" t="normal">SUBTOTAL(9, AC433:AQ433)</f>
        <v>3403308.6</v>
      </c>
      <c r="AC433" s="18" t="n"/>
      <c r="AD433" s="18" t="n"/>
      <c r="AE433" s="18" t="n"/>
      <c r="AF433" s="18" t="n">
        <v>2042385.11</v>
      </c>
      <c r="AG433" s="18" t="n">
        <v>1046167.7</v>
      </c>
      <c r="AH433" s="18" t="n"/>
      <c r="AI433" s="18" t="n"/>
      <c r="AJ433" s="18" t="n"/>
      <c r="AK433" s="18" t="n"/>
      <c r="AL433" s="18" t="n"/>
      <c r="AM433" s="18" t="n"/>
      <c r="AN433" s="18" t="n"/>
      <c r="AO433" s="18" t="n">
        <v>302755.79</v>
      </c>
      <c r="AP433" s="18" t="n">
        <v>12000</v>
      </c>
      <c r="AQ433" s="24" t="n"/>
      <c r="AR433" s="3" t="n">
        <f aca="false" ca="false" dt2D="false" dtr="false" t="normal">N433-AB433</f>
        <v>0</v>
      </c>
      <c r="AT433" s="187" t="n"/>
    </row>
    <row outlineLevel="0" r="434">
      <c r="A434" s="5" t="n">
        <f aca="false" ca="false" dt2D="false" dtr="false" t="normal">+A433+1</f>
        <v>415</v>
      </c>
      <c r="B434" s="6" t="n">
        <v>205</v>
      </c>
      <c r="C434" s="138" t="s">
        <v>177</v>
      </c>
      <c r="D434" s="138" t="s">
        <v>329</v>
      </c>
      <c r="E434" s="139" t="n">
        <v>1974</v>
      </c>
      <c r="F434" s="139" t="n">
        <v>2013</v>
      </c>
      <c r="G434" s="139" t="s">
        <v>4</v>
      </c>
      <c r="H434" s="139" t="n">
        <v>4</v>
      </c>
      <c r="I434" s="139" t="n">
        <v>4</v>
      </c>
      <c r="J434" s="17" t="n">
        <v>3940.9</v>
      </c>
      <c r="K434" s="17" t="n">
        <v>3373.8</v>
      </c>
      <c r="L434" s="17" t="n">
        <v>212.7</v>
      </c>
      <c r="M434" s="140" t="n">
        <v>140</v>
      </c>
      <c r="N434" s="16" t="n">
        <f aca="false" ca="false" dt2D="false" dtr="false" t="normal">SUM(P434:T434)</f>
        <v>790873.3</v>
      </c>
      <c r="O434" s="17" t="n"/>
      <c r="P434" s="18" t="n"/>
      <c r="Q434" s="18" t="n"/>
      <c r="R434" s="18" t="n">
        <v>396466.4</v>
      </c>
      <c r="S434" s="18" t="n">
        <v>394406.9</v>
      </c>
      <c r="T434" s="18" t="n"/>
      <c r="U434" s="17" t="n">
        <v>1279.01811968235</v>
      </c>
      <c r="V434" s="17" t="n">
        <v>1279.01811968235</v>
      </c>
      <c r="W434" s="21" t="n">
        <v>2023</v>
      </c>
      <c r="X434" s="12" t="n">
        <f aca="false" ca="false" dt2D="false" dtr="false" t="normal">1707386.79-112573.23-R132</f>
        <v>-387518.3999999999</v>
      </c>
      <c r="Y434" s="3" t="n">
        <f aca="false" ca="false" dt2D="false" dtr="false" t="normal">+(K434*10+L434*20)*12*0.85</f>
        <v>387518.39999999997</v>
      </c>
      <c r="Z434" s="3" t="n">
        <f aca="false" ca="false" dt2D="false" dtr="false" t="normal">+(K434*10+L434*20)*12*30-810211.65-S132</f>
        <v>2324580.0037593003</v>
      </c>
      <c r="AB434" s="23" t="n">
        <f aca="false" ca="true" dt2D="false" dtr="false" t="normal">SUBTOTAL(9, AC434:AQ434)</f>
        <v>790873.3</v>
      </c>
      <c r="AC434" s="18" t="n"/>
      <c r="AD434" s="18" t="n"/>
      <c r="AE434" s="18" t="n"/>
      <c r="AF434" s="18" t="n">
        <v>790873.3</v>
      </c>
      <c r="AG434" s="18" t="n"/>
      <c r="AH434" s="18" t="n"/>
      <c r="AI434" s="18" t="n"/>
      <c r="AJ434" s="18" t="n"/>
      <c r="AK434" s="18" t="n"/>
      <c r="AL434" s="18" t="n"/>
      <c r="AM434" s="18" t="n"/>
      <c r="AN434" s="18" t="n"/>
      <c r="AO434" s="18" t="n"/>
      <c r="AP434" s="18" t="n"/>
      <c r="AQ434" s="24" t="n"/>
      <c r="AR434" s="3" t="n">
        <f aca="false" ca="false" dt2D="false" dtr="false" t="normal">N434-AB434</f>
        <v>0</v>
      </c>
    </row>
    <row outlineLevel="0" r="435">
      <c r="A435" s="5" t="n">
        <f aca="false" ca="false" dt2D="false" dtr="false" t="normal">+A434+1</f>
        <v>416</v>
      </c>
      <c r="B435" s="6" t="s">
        <v>76</v>
      </c>
      <c r="C435" s="6" t="s">
        <v>177</v>
      </c>
      <c r="D435" s="6" t="s">
        <v>595</v>
      </c>
      <c r="E435" s="139" t="n">
        <v>1994</v>
      </c>
      <c r="F435" s="139" t="n">
        <v>2005</v>
      </c>
      <c r="G435" s="139" t="s">
        <v>4</v>
      </c>
      <c r="H435" s="139" t="n">
        <v>5</v>
      </c>
      <c r="I435" s="139" t="n">
        <v>2</v>
      </c>
      <c r="J435" s="17" t="n">
        <v>2052</v>
      </c>
      <c r="K435" s="17" t="n">
        <v>1876.9</v>
      </c>
      <c r="L435" s="17" t="n">
        <v>0</v>
      </c>
      <c r="M435" s="140" t="n">
        <v>80</v>
      </c>
      <c r="N435" s="16" t="n">
        <f aca="false" ca="false" dt2D="false" dtr="false" t="normal">SUM(P435:T435)</f>
        <v>7589452.779999999</v>
      </c>
      <c r="O435" s="18" t="n"/>
      <c r="P435" s="18" t="n">
        <v>3592852.06</v>
      </c>
      <c r="Q435" s="18" t="n"/>
      <c r="R435" s="18" t="n">
        <v>866180.65</v>
      </c>
      <c r="S435" s="18" t="n">
        <v>3130420.07</v>
      </c>
      <c r="T435" s="18" t="n"/>
      <c r="U435" s="18" t="n">
        <v>14282.4062532414</v>
      </c>
      <c r="V435" s="18" t="n">
        <v>1336.283020064</v>
      </c>
      <c r="W435" s="21" t="n">
        <v>2023</v>
      </c>
      <c r="X435" s="1" t="n">
        <v>1111921.7</v>
      </c>
      <c r="Y435" s="3" t="n">
        <f aca="false" ca="false" dt2D="false" dtr="false" t="normal">+(K435*10.5+L435*21)*12*0.85</f>
        <v>201015.99000000002</v>
      </c>
      <c r="Z435" s="3" t="n">
        <f aca="false" ca="false" dt2D="false" dtr="false" t="normal">+(K435*10.5+L435*21)*12*30</f>
        <v>7094682.000000001</v>
      </c>
      <c r="AB435" s="158" t="n">
        <f aca="false" ca="true" dt2D="false" dtr="false" t="normal">SUBTOTAL(9, AC435:AQ435)</f>
        <v>7589452.780000001</v>
      </c>
      <c r="AC435" s="18" t="n">
        <v>3126691.49</v>
      </c>
      <c r="AD435" s="18" t="n">
        <v>1010526.62</v>
      </c>
      <c r="AE435" s="18" t="n"/>
      <c r="AF435" s="18" t="n">
        <v>965070.61</v>
      </c>
      <c r="AG435" s="18" t="n"/>
      <c r="AH435" s="18" t="n"/>
      <c r="AI435" s="18" t="n"/>
      <c r="AJ435" s="18" t="n">
        <v>0</v>
      </c>
      <c r="AK435" s="18" t="n"/>
      <c r="AL435" s="18" t="n">
        <v>0</v>
      </c>
      <c r="AM435" s="18" t="n"/>
      <c r="AN435" s="18" t="n">
        <v>2487164.06</v>
      </c>
      <c r="AO435" s="18" t="n"/>
      <c r="AP435" s="18" t="n"/>
      <c r="AQ435" s="24" t="n"/>
      <c r="AR435" s="3" t="n">
        <f aca="false" ca="false" dt2D="false" dtr="false" t="normal">N435-AB435</f>
        <v>0</v>
      </c>
    </row>
    <row outlineLevel="0" r="436">
      <c r="A436" s="5" t="n">
        <f aca="false" ca="false" dt2D="false" dtr="false" t="normal">+A435+1</f>
        <v>417</v>
      </c>
      <c r="B436" s="6" t="n">
        <v>206</v>
      </c>
      <c r="C436" s="7" t="s">
        <v>331</v>
      </c>
      <c r="D436" s="7" t="s">
        <v>335</v>
      </c>
      <c r="E436" s="9" t="n">
        <v>1969</v>
      </c>
      <c r="F436" s="9" t="n">
        <v>2013</v>
      </c>
      <c r="G436" s="9" t="s">
        <v>4</v>
      </c>
      <c r="H436" s="9" t="n">
        <v>4</v>
      </c>
      <c r="I436" s="9" t="n">
        <v>4</v>
      </c>
      <c r="J436" s="88" t="n">
        <v>3016.9</v>
      </c>
      <c r="K436" s="88" t="n">
        <v>2778.3</v>
      </c>
      <c r="L436" s="88" t="n">
        <v>0</v>
      </c>
      <c r="M436" s="95" t="n">
        <v>148</v>
      </c>
      <c r="N436" s="16" t="n">
        <f aca="false" ca="false" dt2D="false" dtr="false" t="normal">SUM(P436:T436)</f>
        <v>1451159.65</v>
      </c>
      <c r="O436" s="88" t="n"/>
      <c r="P436" s="88" t="n">
        <v>582922.99</v>
      </c>
      <c r="Q436" s="18" t="n"/>
      <c r="R436" s="18" t="n">
        <v>618112.7</v>
      </c>
      <c r="S436" s="18" t="n">
        <v>250123.96</v>
      </c>
      <c r="T436" s="18" t="n"/>
      <c r="U436" s="18" t="n">
        <v>908.503456538171</v>
      </c>
      <c r="V436" s="18" t="n">
        <v>1343.283020064</v>
      </c>
      <c r="W436" s="21" t="n">
        <v>2023</v>
      </c>
      <c r="X436" s="12" t="n">
        <f aca="false" ca="false" dt2D="false" dtr="false" t="normal">1456293.05-R136</f>
        <v>608495.8500000001</v>
      </c>
      <c r="Y436" s="3" t="n">
        <f aca="false" ca="false" dt2D="false" dtr="false" t="normal">+(K436*10.5+L436*21)*12*0.85</f>
        <v>297555.93000000005</v>
      </c>
      <c r="Z436" s="3" t="n">
        <f aca="false" ca="false" dt2D="false" dtr="false" t="normal">+(K436*10.5+L436*21)*12*30-7837046.47-R136</f>
        <v>1817130.3300000022</v>
      </c>
      <c r="AB436" s="23" t="n">
        <f aca="false" ca="true" dt2D="false" dtr="false" t="normal">SUBTOTAL(9, AC436:AQ436)</f>
        <v>1451159.65</v>
      </c>
      <c r="AC436" s="18" t="n"/>
      <c r="AD436" s="18" t="n"/>
      <c r="AE436" s="18" t="n">
        <v>1451159.65</v>
      </c>
      <c r="AF436" s="18" t="n">
        <v>0</v>
      </c>
      <c r="AG436" s="18" t="n"/>
      <c r="AH436" s="18" t="n"/>
      <c r="AI436" s="18" t="n"/>
      <c r="AJ436" s="18" t="n"/>
      <c r="AK436" s="18" t="n"/>
      <c r="AL436" s="18" t="n"/>
      <c r="AM436" s="18" t="n"/>
      <c r="AN436" s="18" t="n"/>
      <c r="AO436" s="18" t="n"/>
      <c r="AP436" s="18" t="n"/>
      <c r="AQ436" s="24" t="n"/>
      <c r="AR436" s="3" t="n">
        <f aca="false" ca="false" dt2D="false" dtr="false" t="normal">N436-AB436</f>
        <v>0</v>
      </c>
    </row>
    <row outlineLevel="0" r="437">
      <c r="A437" s="5" t="n">
        <f aca="false" ca="false" dt2D="false" dtr="false" t="normal">+A436+1</f>
        <v>418</v>
      </c>
      <c r="B437" s="6" t="n">
        <f aca="false" ca="false" dt2D="false" dtr="false" t="normal">+B436+1</f>
        <v>207</v>
      </c>
      <c r="C437" s="7" t="s">
        <v>331</v>
      </c>
      <c r="D437" s="7" t="s">
        <v>338</v>
      </c>
      <c r="E437" s="9" t="n">
        <v>1962</v>
      </c>
      <c r="F437" s="9" t="n">
        <v>1962</v>
      </c>
      <c r="G437" s="9" t="s">
        <v>4</v>
      </c>
      <c r="H437" s="9" t="n">
        <v>2</v>
      </c>
      <c r="I437" s="9" t="n">
        <v>1</v>
      </c>
      <c r="J437" s="88" t="n">
        <v>618.7</v>
      </c>
      <c r="K437" s="88" t="n">
        <v>460.5</v>
      </c>
      <c r="L437" s="88" t="n">
        <v>0</v>
      </c>
      <c r="M437" s="95" t="n">
        <v>45</v>
      </c>
      <c r="N437" s="16" t="n">
        <f aca="false" ca="false" dt2D="false" dtr="false" t="normal">SUM(P437:T437)</f>
        <v>536702.36</v>
      </c>
      <c r="O437" s="88" t="n"/>
      <c r="P437" s="88" t="n">
        <v>0</v>
      </c>
      <c r="Q437" s="18" t="n"/>
      <c r="R437" s="18" t="n">
        <v>0</v>
      </c>
      <c r="S437" s="3" t="n">
        <v>536702.36</v>
      </c>
      <c r="T437" s="18" t="n"/>
      <c r="U437" s="18" t="n">
        <v>912.775148317047</v>
      </c>
      <c r="V437" s="18" t="n">
        <v>1344.283020064</v>
      </c>
      <c r="W437" s="21" t="n">
        <v>2023</v>
      </c>
      <c r="X437" s="12" t="n">
        <f aca="false" ca="false" dt2D="false" dtr="false" t="normal">248516.58-R138</f>
        <v>-4385.170000000013</v>
      </c>
      <c r="Y437" s="3" t="n">
        <f aca="false" ca="false" dt2D="false" dtr="false" t="normal">+(K437*10.5+L437*21)*12*0.85</f>
        <v>49319.549999999996</v>
      </c>
      <c r="Z437" s="3" t="n">
        <f aca="false" ca="false" dt2D="false" dtr="false" t="normal">+(K437*10.5+L437*21)*12*30-R138</f>
        <v>1487788.25</v>
      </c>
      <c r="AB437" s="23" t="n">
        <f aca="false" ca="true" dt2D="false" dtr="false" t="normal">SUBTOTAL(9, AC437:AQ437)</f>
        <v>536702.36</v>
      </c>
      <c r="AC437" s="18" t="n">
        <v>0</v>
      </c>
      <c r="AD437" s="18" t="n"/>
      <c r="AE437" s="18" t="n">
        <v>536702.36</v>
      </c>
      <c r="AF437" s="18" t="n"/>
      <c r="AG437" s="18" t="n">
        <v>0</v>
      </c>
      <c r="AH437" s="18" t="n"/>
      <c r="AI437" s="18" t="n"/>
      <c r="AJ437" s="18" t="n">
        <v>0</v>
      </c>
      <c r="AK437" s="18" t="n"/>
      <c r="AL437" s="18" t="n">
        <v>0</v>
      </c>
      <c r="AM437" s="18" t="n">
        <v>0</v>
      </c>
      <c r="AN437" s="18" t="n">
        <v>0</v>
      </c>
      <c r="AO437" s="18" t="n"/>
      <c r="AP437" s="18" t="n"/>
      <c r="AQ437" s="24" t="n"/>
      <c r="AR437" s="3" t="n">
        <f aca="false" ca="false" dt2D="false" dtr="false" t="normal">N437-AB437</f>
        <v>0</v>
      </c>
    </row>
    <row outlineLevel="0" r="438">
      <c r="A438" s="5" t="n">
        <f aca="false" ca="false" dt2D="false" dtr="false" t="normal">+A437+1</f>
        <v>419</v>
      </c>
      <c r="B438" s="6" t="n">
        <f aca="false" ca="false" dt2D="false" dtr="false" t="normal">+B437+1</f>
        <v>208</v>
      </c>
      <c r="C438" s="7" t="s">
        <v>0</v>
      </c>
      <c r="D438" s="7" t="s">
        <v>731</v>
      </c>
      <c r="E438" s="9" t="s">
        <v>732</v>
      </c>
      <c r="F438" s="9" t="n"/>
      <c r="G438" s="9" t="s">
        <v>4</v>
      </c>
      <c r="H438" s="9" t="s">
        <v>5</v>
      </c>
      <c r="I438" s="9" t="s">
        <v>5</v>
      </c>
      <c r="J438" s="7" t="n">
        <v>706.48</v>
      </c>
      <c r="K438" s="7" t="n">
        <v>667.89</v>
      </c>
      <c r="L438" s="7" t="n">
        <v>0</v>
      </c>
      <c r="M438" s="7" t="n">
        <v>23</v>
      </c>
      <c r="N438" s="16" t="n">
        <f aca="false" ca="false" dt2D="false" dtr="false" t="normal">SUM(P438:T438)</f>
        <v>5183657.059999997</v>
      </c>
      <c r="O438" s="7" t="n"/>
      <c r="P438" s="17" t="n">
        <v>1791115.96</v>
      </c>
      <c r="Q438" s="18" t="n">
        <v>507855.56</v>
      </c>
      <c r="R438" s="18" t="n">
        <v>480261.088486067</v>
      </c>
      <c r="S438" s="18" t="n">
        <v>2404424.45151393</v>
      </c>
      <c r="T438" s="19" t="n"/>
      <c r="U438" s="18" t="n">
        <v>8421.7620819582</v>
      </c>
      <c r="V438" s="18" t="n">
        <v>8421.7620819582</v>
      </c>
      <c r="W438" s="21" t="n">
        <v>2023</v>
      </c>
      <c r="X438" s="1" t="n">
        <v>381479.63</v>
      </c>
      <c r="Y438" s="3" t="n">
        <v>71531.019</v>
      </c>
      <c r="Z438" s="3" t="n">
        <v>2524624.2</v>
      </c>
      <c r="AB438" s="23" t="n">
        <f aca="false" ca="false" dt2D="false" dtr="false" t="normal">SUM(AC438:AQ438)</f>
        <v>5183657.06</v>
      </c>
      <c r="AC438" s="6" t="n"/>
      <c r="AD438" s="18" t="n"/>
      <c r="AE438" s="18" t="n"/>
      <c r="AF438" s="18" t="n"/>
      <c r="AG438" s="18" t="n"/>
      <c r="AH438" s="18" t="n"/>
      <c r="AI438" s="18" t="n"/>
      <c r="AJ438" s="18" t="n"/>
      <c r="AK438" s="18" t="n"/>
      <c r="AL438" s="18" t="n"/>
      <c r="AM438" s="18" t="n">
        <v>5178857.06</v>
      </c>
      <c r="AN438" s="18" t="n"/>
      <c r="AO438" s="18" t="n"/>
      <c r="AP438" s="18" t="n">
        <v>4800</v>
      </c>
      <c r="AQ438" s="24" t="n"/>
      <c r="AR438" s="3" t="n">
        <f aca="false" ca="false" dt2D="false" dtr="false" t="normal">N438-AB438</f>
        <v>0</v>
      </c>
    </row>
    <row outlineLevel="0" r="439">
      <c r="A439" s="5" t="n">
        <f aca="false" ca="false" dt2D="false" dtr="false" t="normal">+A438+1</f>
        <v>420</v>
      </c>
      <c r="B439" s="6" t="n">
        <f aca="false" ca="false" dt2D="false" dtr="false" t="normal">+B438+1</f>
        <v>209</v>
      </c>
      <c r="C439" s="7" t="s">
        <v>0</v>
      </c>
      <c r="D439" s="7" t="s">
        <v>734</v>
      </c>
      <c r="E439" s="9" t="s">
        <v>732</v>
      </c>
      <c r="F439" s="9" t="n"/>
      <c r="G439" s="9" t="s">
        <v>4</v>
      </c>
      <c r="H439" s="9" t="s">
        <v>5</v>
      </c>
      <c r="I439" s="9" t="s">
        <v>5</v>
      </c>
      <c r="J439" s="7" t="n">
        <v>685.95</v>
      </c>
      <c r="K439" s="7" t="n">
        <v>641.14</v>
      </c>
      <c r="L439" s="7" t="n">
        <v>0</v>
      </c>
      <c r="M439" s="7" t="n">
        <v>27</v>
      </c>
      <c r="N439" s="16" t="n">
        <f aca="false" ca="false" dt2D="false" dtr="false" t="normal">SUM(P439:T439)</f>
        <v>4752736.23</v>
      </c>
      <c r="O439" s="7" t="n"/>
      <c r="P439" s="17" t="n">
        <v>1430686.83</v>
      </c>
      <c r="Q439" s="18" t="n">
        <v>507855.56</v>
      </c>
      <c r="R439" s="18" t="n">
        <v>506070.20759999</v>
      </c>
      <c r="S439" s="18" t="n">
        <v>2308123.63240001</v>
      </c>
      <c r="T439" s="19" t="n"/>
      <c r="U439" s="18" t="n">
        <v>8422.26183559063</v>
      </c>
      <c r="V439" s="18" t="n">
        <v>8422.26183559063</v>
      </c>
      <c r="W439" s="21" t="n">
        <v>2023</v>
      </c>
      <c r="X439" s="1" t="n">
        <v>374519.63</v>
      </c>
      <c r="Y439" s="3" t="n">
        <v>68666.094</v>
      </c>
      <c r="Z439" s="3" t="n">
        <v>2423509.2</v>
      </c>
      <c r="AB439" s="23" t="n">
        <f aca="false" ca="false" dt2D="false" dtr="false" t="normal">SUM(AC439:AQ439)</f>
        <v>4752736.23</v>
      </c>
      <c r="AC439" s="6" t="n"/>
      <c r="AD439" s="18" t="n"/>
      <c r="AE439" s="18" t="n"/>
      <c r="AF439" s="18" t="n"/>
      <c r="AG439" s="18" t="n"/>
      <c r="AH439" s="18" t="n"/>
      <c r="AI439" s="18" t="n"/>
      <c r="AJ439" s="18" t="n"/>
      <c r="AK439" s="18" t="n"/>
      <c r="AL439" s="18" t="n"/>
      <c r="AM439" s="18" t="n">
        <v>4728736.23</v>
      </c>
      <c r="AN439" s="18" t="n"/>
      <c r="AO439" s="18" t="n"/>
      <c r="AP439" s="18" t="n">
        <v>24000</v>
      </c>
      <c r="AQ439" s="24" t="n"/>
      <c r="AR439" s="3" t="n">
        <f aca="false" ca="false" dt2D="false" dtr="false" t="normal">N439-AB439</f>
        <v>0</v>
      </c>
    </row>
    <row outlineLevel="0" r="440">
      <c r="A440" s="5" t="n">
        <f aca="false" ca="false" dt2D="false" dtr="false" t="normal">+A439+1</f>
        <v>421</v>
      </c>
      <c r="B440" s="6" t="n">
        <f aca="false" ca="false" dt2D="false" dtr="false" t="normal">+B439+1</f>
        <v>210</v>
      </c>
      <c r="C440" s="7" t="s">
        <v>0</v>
      </c>
      <c r="D440" s="7" t="s">
        <v>736</v>
      </c>
      <c r="E440" s="9" t="s">
        <v>3</v>
      </c>
      <c r="F440" s="9" t="n"/>
      <c r="G440" s="9" t="s">
        <v>4</v>
      </c>
      <c r="H440" s="9" t="s">
        <v>5</v>
      </c>
      <c r="I440" s="9" t="s">
        <v>5</v>
      </c>
      <c r="J440" s="7" t="n">
        <v>785.98</v>
      </c>
      <c r="K440" s="7" t="n">
        <v>722.6</v>
      </c>
      <c r="L440" s="7" t="n">
        <v>0</v>
      </c>
      <c r="M440" s="7" t="n">
        <v>29</v>
      </c>
      <c r="N440" s="16" t="n">
        <f aca="false" ca="false" dt2D="false" dtr="false" t="normal">SUM(P440:T440)</f>
        <v>4847207.980000004</v>
      </c>
      <c r="O440" s="7" t="n"/>
      <c r="P440" s="17" t="n">
        <v>1189850.69</v>
      </c>
      <c r="Q440" s="18" t="n">
        <v>507855.56</v>
      </c>
      <c r="R440" s="18" t="n">
        <v>548119.603206714</v>
      </c>
      <c r="S440" s="18" t="n">
        <v>2601382.12679329</v>
      </c>
      <c r="T440" s="19" t="n"/>
      <c r="U440" s="18" t="n">
        <v>8420.85519364876</v>
      </c>
      <c r="V440" s="18" t="n">
        <v>8420.85519364876</v>
      </c>
      <c r="W440" s="21" t="n">
        <v>2023</v>
      </c>
      <c r="X440" s="1" t="n">
        <v>408593.99</v>
      </c>
      <c r="Y440" s="3" t="n">
        <v>77390.46</v>
      </c>
      <c r="Z440" s="3" t="n">
        <v>2731428</v>
      </c>
      <c r="AB440" s="23" t="n">
        <f aca="false" ca="false" dt2D="false" dtr="false" t="normal">SUM(AC440:AQ440)</f>
        <v>4847207.98</v>
      </c>
      <c r="AC440" s="6" t="n"/>
      <c r="AD440" s="18" t="n"/>
      <c r="AE440" s="18" t="n"/>
      <c r="AF440" s="18" t="n"/>
      <c r="AG440" s="18" t="n"/>
      <c r="AH440" s="18" t="n"/>
      <c r="AI440" s="18" t="n"/>
      <c r="AJ440" s="18" t="n"/>
      <c r="AK440" s="18" t="n"/>
      <c r="AL440" s="18" t="n"/>
      <c r="AM440" s="18" t="n">
        <v>4842407.98</v>
      </c>
      <c r="AN440" s="18" t="n"/>
      <c r="AO440" s="18" t="n"/>
      <c r="AP440" s="18" t="n">
        <v>4800</v>
      </c>
      <c r="AQ440" s="24" t="n"/>
      <c r="AR440" s="3" t="n">
        <f aca="false" ca="false" dt2D="false" dtr="false" t="normal">N440-AB440</f>
        <v>0</v>
      </c>
    </row>
    <row outlineLevel="0" r="441">
      <c r="A441" s="5" t="n">
        <f aca="false" ca="false" dt2D="false" dtr="false" t="normal">+A440+1</f>
        <v>422</v>
      </c>
      <c r="B441" s="6" t="n">
        <f aca="false" ca="false" dt2D="false" dtr="false" t="normal">+B440+1</f>
        <v>211</v>
      </c>
      <c r="C441" s="7" t="s">
        <v>0</v>
      </c>
      <c r="D441" s="7" t="s">
        <v>2</v>
      </c>
      <c r="E441" s="9" t="s">
        <v>3</v>
      </c>
      <c r="F441" s="9" t="n"/>
      <c r="G441" s="9" t="s">
        <v>4</v>
      </c>
      <c r="H441" s="9" t="s">
        <v>5</v>
      </c>
      <c r="I441" s="9" t="s">
        <v>5</v>
      </c>
      <c r="J441" s="7" t="n">
        <v>691.94</v>
      </c>
      <c r="K441" s="7" t="n">
        <v>653.61</v>
      </c>
      <c r="L441" s="7" t="n">
        <v>0</v>
      </c>
      <c r="M441" s="7" t="n">
        <v>26</v>
      </c>
      <c r="N441" s="16" t="n">
        <f aca="false" ca="false" dt2D="false" dtr="false" t="normal">SUM(P441:T441)</f>
        <v>4753460.039999997</v>
      </c>
      <c r="O441" s="7" t="n"/>
      <c r="P441" s="17" t="n">
        <v>1369860.41</v>
      </c>
      <c r="Q441" s="18" t="n">
        <v>507855.56</v>
      </c>
      <c r="R441" s="18" t="n">
        <v>579238.635755107</v>
      </c>
      <c r="S441" s="18" t="n">
        <v>2296505.43424489</v>
      </c>
      <c r="T441" s="19" t="n"/>
      <c r="U441" s="18" t="n">
        <v>8422.02377644015</v>
      </c>
      <c r="V441" s="18" t="n">
        <v>8422.02377644015</v>
      </c>
      <c r="W441" s="21" t="n">
        <v>2023</v>
      </c>
      <c r="X441" s="1" t="n">
        <v>396107.32</v>
      </c>
      <c r="Y441" s="3" t="n">
        <v>70001.631</v>
      </c>
      <c r="Z441" s="3" t="n">
        <v>2470645.8</v>
      </c>
      <c r="AB441" s="23" t="n">
        <f aca="false" ca="false" dt2D="false" dtr="false" t="normal">SUM(AC441:AQ441)</f>
        <v>4753460.04</v>
      </c>
      <c r="AC441" s="6" t="n"/>
      <c r="AD441" s="18" t="n"/>
      <c r="AE441" s="18" t="n"/>
      <c r="AF441" s="18" t="n"/>
      <c r="AG441" s="18" t="n"/>
      <c r="AH441" s="18" t="n"/>
      <c r="AI441" s="18" t="n"/>
      <c r="AJ441" s="18" t="n"/>
      <c r="AK441" s="18" t="n"/>
      <c r="AL441" s="18" t="n"/>
      <c r="AM441" s="18" t="n">
        <v>4747460.04</v>
      </c>
      <c r="AN441" s="18" t="n"/>
      <c r="AO441" s="18" t="n"/>
      <c r="AP441" s="18" t="n">
        <v>6000</v>
      </c>
      <c r="AQ441" s="24" t="n"/>
      <c r="AR441" s="3" t="n">
        <f aca="false" ca="false" dt2D="false" dtr="false" t="normal">N441-AB441</f>
        <v>0</v>
      </c>
    </row>
    <row outlineLevel="0" r="442">
      <c r="A442" s="5" t="n">
        <f aca="false" ca="false" dt2D="false" dtr="false" t="normal">+A441+1</f>
        <v>423</v>
      </c>
      <c r="B442" s="6" t="n">
        <f aca="false" ca="false" dt2D="false" dtr="false" t="normal">+B441+1</f>
        <v>212</v>
      </c>
      <c r="C442" s="7" t="s">
        <v>0</v>
      </c>
      <c r="D442" s="7" t="s">
        <v>9</v>
      </c>
      <c r="E442" s="9" t="s">
        <v>10</v>
      </c>
      <c r="F442" s="9" t="n"/>
      <c r="G442" s="9" t="s">
        <v>4</v>
      </c>
      <c r="H442" s="9" t="s">
        <v>5</v>
      </c>
      <c r="I442" s="9" t="s">
        <v>5</v>
      </c>
      <c r="J442" s="7" t="n">
        <v>681.08</v>
      </c>
      <c r="K442" s="7" t="n">
        <v>633.24</v>
      </c>
      <c r="L442" s="7" t="n">
        <v>0</v>
      </c>
      <c r="M442" s="7" t="n">
        <v>30</v>
      </c>
      <c r="N442" s="16" t="n">
        <f aca="false" ca="false" dt2D="false" dtr="false" t="normal">SUM(P442:T442)</f>
        <v>4872127.520000001</v>
      </c>
      <c r="O442" s="7" t="n"/>
      <c r="P442" s="17" t="n">
        <v>1593756.59</v>
      </c>
      <c r="Q442" s="18" t="n">
        <v>507855.56</v>
      </c>
      <c r="R442" s="18" t="n">
        <v>545581.389506532</v>
      </c>
      <c r="S442" s="18" t="n">
        <v>2224933.98049347</v>
      </c>
      <c r="T442" s="19" t="n"/>
      <c r="U442" s="18" t="n">
        <v>8422.41750234309</v>
      </c>
      <c r="V442" s="18" t="n">
        <v>8422.41750234309</v>
      </c>
      <c r="W442" s="21" t="n">
        <v>2023</v>
      </c>
      <c r="X442" s="1" t="n">
        <v>368732.53</v>
      </c>
      <c r="Y442" s="3" t="n">
        <v>67820.004</v>
      </c>
      <c r="Z442" s="3" t="n">
        <v>2393647.2</v>
      </c>
      <c r="AB442" s="23" t="n">
        <f aca="false" ca="false" dt2D="false" dtr="false" t="normal">SUM(AC442:AQ442)</f>
        <v>4872127.52</v>
      </c>
      <c r="AC442" s="6" t="n"/>
      <c r="AD442" s="18" t="n"/>
      <c r="AE442" s="18" t="n"/>
      <c r="AF442" s="18" t="n"/>
      <c r="AG442" s="18" t="n"/>
      <c r="AH442" s="18" t="n"/>
      <c r="AI442" s="18" t="n"/>
      <c r="AJ442" s="18" t="n"/>
      <c r="AK442" s="18" t="n"/>
      <c r="AL442" s="18" t="n"/>
      <c r="AM442" s="18" t="n">
        <v>4867327.52</v>
      </c>
      <c r="AN442" s="18" t="n"/>
      <c r="AO442" s="18" t="n"/>
      <c r="AP442" s="18" t="n">
        <v>4800</v>
      </c>
      <c r="AQ442" s="24" t="n"/>
      <c r="AR442" s="3" t="n">
        <f aca="false" ca="false" dt2D="false" dtr="false" t="normal">N442-AB442</f>
        <v>0</v>
      </c>
    </row>
    <row outlineLevel="0" r="443">
      <c r="A443" s="5" t="n">
        <f aca="false" ca="false" dt2D="false" dtr="false" t="normal">+A442+1</f>
        <v>424</v>
      </c>
      <c r="B443" s="6" t="n">
        <f aca="false" ca="false" dt2D="false" dtr="false" t="normal">+B442+1</f>
        <v>213</v>
      </c>
      <c r="C443" s="7" t="s">
        <v>0</v>
      </c>
      <c r="D443" s="7" t="s">
        <v>27</v>
      </c>
      <c r="E443" s="9" t="s">
        <v>28</v>
      </c>
      <c r="F443" s="9" t="n"/>
      <c r="G443" s="9" t="s">
        <v>4</v>
      </c>
      <c r="H443" s="9" t="s">
        <v>5</v>
      </c>
      <c r="I443" s="9" t="s">
        <v>5</v>
      </c>
      <c r="J443" s="7" t="n">
        <v>989.4</v>
      </c>
      <c r="K443" s="7" t="n">
        <v>861.1</v>
      </c>
      <c r="L443" s="7" t="n">
        <v>0</v>
      </c>
      <c r="M443" s="7" t="n">
        <v>40</v>
      </c>
      <c r="N443" s="16" t="n">
        <f aca="false" ca="false" dt2D="false" dtr="false" t="normal">SUM(P443:T443)</f>
        <v>7963657.869999995</v>
      </c>
      <c r="O443" s="7" t="n"/>
      <c r="P443" s="17" t="n">
        <v>3654295.31</v>
      </c>
      <c r="Q443" s="18" t="n">
        <v>507855.56</v>
      </c>
      <c r="R443" s="18" t="n">
        <v>701520.632186966</v>
      </c>
      <c r="S443" s="18" t="n">
        <v>3099986.36781303</v>
      </c>
      <c r="T443" s="19" t="n"/>
      <c r="U443" s="18" t="n">
        <v>8419.07450408283</v>
      </c>
      <c r="V443" s="18" t="n">
        <v>8419.07450408283</v>
      </c>
      <c r="W443" s="21" t="n">
        <v>2023</v>
      </c>
      <c r="X443" s="1" t="n">
        <v>533284.21</v>
      </c>
      <c r="Y443" s="3" t="n">
        <v>92223.81</v>
      </c>
      <c r="Z443" s="3" t="n">
        <v>3254958</v>
      </c>
      <c r="AB443" s="23" t="n">
        <f aca="false" ca="false" dt2D="false" dtr="false" t="normal">SUM(AC443:AQ443)</f>
        <v>7963657.87</v>
      </c>
      <c r="AC443" s="6" t="n"/>
      <c r="AD443" s="18" t="n"/>
      <c r="AE443" s="18" t="n"/>
      <c r="AF443" s="18" t="n"/>
      <c r="AG443" s="18" t="n"/>
      <c r="AH443" s="18" t="n"/>
      <c r="AI443" s="18" t="n"/>
      <c r="AJ443" s="18" t="n"/>
      <c r="AK443" s="18" t="n"/>
      <c r="AL443" s="18" t="n"/>
      <c r="AM443" s="18" t="n">
        <v>7955657.87</v>
      </c>
      <c r="AN443" s="18" t="n"/>
      <c r="AO443" s="18" t="n"/>
      <c r="AP443" s="18" t="n">
        <v>8000</v>
      </c>
      <c r="AQ443" s="24" t="n"/>
      <c r="AR443" s="3" t="n">
        <f aca="false" ca="false" dt2D="false" dtr="false" t="normal">N443-AB443</f>
        <v>0</v>
      </c>
    </row>
    <row outlineLevel="0" r="444">
      <c r="A444" s="5" t="n">
        <f aca="false" ca="false" dt2D="false" dtr="false" t="normal">+A443+1</f>
        <v>425</v>
      </c>
      <c r="B444" s="6" t="n">
        <f aca="false" ca="false" dt2D="false" dtr="false" t="normal">+B443+1</f>
        <v>214</v>
      </c>
      <c r="C444" s="7" t="s">
        <v>42</v>
      </c>
      <c r="D444" s="7" t="s">
        <v>44</v>
      </c>
      <c r="E444" s="9" t="n">
        <v>1985</v>
      </c>
      <c r="F444" s="9" t="n">
        <v>1985</v>
      </c>
      <c r="G444" s="9" t="s">
        <v>4</v>
      </c>
      <c r="H444" s="9" t="n">
        <v>2</v>
      </c>
      <c r="I444" s="9" t="n">
        <v>2</v>
      </c>
      <c r="J444" s="88" t="n">
        <v>914.7</v>
      </c>
      <c r="K444" s="88" t="n">
        <v>845.7</v>
      </c>
      <c r="L444" s="88" t="n">
        <v>0</v>
      </c>
      <c r="M444" s="95" t="n">
        <v>33</v>
      </c>
      <c r="N444" s="16" t="n">
        <f aca="false" ca="false" dt2D="false" dtr="false" t="normal">SUM(P444:T444)</f>
        <v>2107622.31</v>
      </c>
      <c r="O444" s="88" t="n"/>
      <c r="P444" s="88" t="n">
        <v>1110406.54</v>
      </c>
      <c r="Q444" s="18" t="n"/>
      <c r="R444" s="18" t="n">
        <v>468014.46</v>
      </c>
      <c r="S444" s="18" t="n">
        <v>529201.31</v>
      </c>
      <c r="T444" s="100" t="n"/>
      <c r="U444" s="18" t="n">
        <v>6484.70322809507</v>
      </c>
      <c r="V444" s="18" t="n">
        <v>1354.283020064</v>
      </c>
      <c r="W444" s="21" t="n">
        <v>2023</v>
      </c>
      <c r="X444" s="103" t="n">
        <v>429198.67</v>
      </c>
      <c r="Y444" s="3" t="n">
        <f aca="false" ca="false" dt2D="false" dtr="false" t="normal">+(K444*10+L444*20)*12*0.85</f>
        <v>86261.4</v>
      </c>
      <c r="Z444" s="3" t="n">
        <f aca="false" ca="false" dt2D="false" dtr="false" t="normal">+(K444*10+L444*20)*12*30</f>
        <v>3044520</v>
      </c>
      <c r="AB444" s="23" t="n">
        <f aca="false" ca="true" dt2D="false" dtr="false" t="normal">SUBTOTAL(9, AC444:AQ444)</f>
        <v>2107622.31</v>
      </c>
      <c r="AC444" s="18" t="n">
        <v>992115.39</v>
      </c>
      <c r="AD444" s="18" t="n">
        <v>816974.44</v>
      </c>
      <c r="AE444" s="18" t="n"/>
      <c r="AF444" s="18" t="n">
        <v>242295.61</v>
      </c>
      <c r="AG444" s="18" t="n">
        <v>0</v>
      </c>
      <c r="AH444" s="18" t="n"/>
      <c r="AI444" s="18" t="n"/>
      <c r="AJ444" s="18" t="n">
        <v>0</v>
      </c>
      <c r="AK444" s="18" t="n">
        <v>0</v>
      </c>
      <c r="AL444" s="18" t="n">
        <v>0</v>
      </c>
      <c r="AM444" s="18" t="n">
        <v>0</v>
      </c>
      <c r="AN444" s="18" t="n">
        <v>0</v>
      </c>
      <c r="AO444" s="18" t="n">
        <v>38236.87</v>
      </c>
      <c r="AP444" s="18" t="n">
        <v>18000</v>
      </c>
      <c r="AQ444" s="24" t="n"/>
      <c r="AR444" s="3" t="n">
        <f aca="false" ca="false" dt2D="false" dtr="false" t="normal">N444-AB444</f>
        <v>0</v>
      </c>
    </row>
    <row outlineLevel="0" r="445">
      <c r="A445" s="5" t="n">
        <f aca="false" ca="false" dt2D="false" dtr="false" t="normal">+A444+1</f>
        <v>426</v>
      </c>
      <c r="B445" s="6" t="n">
        <f aca="false" ca="false" dt2D="false" dtr="false" t="normal">+B444+1</f>
        <v>215</v>
      </c>
      <c r="C445" s="7" t="s">
        <v>42</v>
      </c>
      <c r="D445" s="7" t="s">
        <v>65</v>
      </c>
      <c r="E445" s="9" t="n">
        <v>1985</v>
      </c>
      <c r="F445" s="9" t="n">
        <v>2009</v>
      </c>
      <c r="G445" s="9" t="s">
        <v>4</v>
      </c>
      <c r="H445" s="9" t="n">
        <v>2</v>
      </c>
      <c r="I445" s="9" t="n">
        <v>3</v>
      </c>
      <c r="J445" s="88" t="n">
        <v>1493.5</v>
      </c>
      <c r="K445" s="88" t="n">
        <v>1376.8</v>
      </c>
      <c r="L445" s="88" t="n">
        <v>0</v>
      </c>
      <c r="M445" s="95" t="n">
        <v>60</v>
      </c>
      <c r="N445" s="16" t="n">
        <f aca="false" ca="false" dt2D="false" dtr="false" t="normal">SUM(P445:T445)</f>
        <v>3055335.8200000003</v>
      </c>
      <c r="O445" s="88" t="n"/>
      <c r="P445" s="88" t="n"/>
      <c r="Q445" s="18" t="n"/>
      <c r="R445" s="18" t="n">
        <v>848133.93</v>
      </c>
      <c r="S445" s="18" t="n">
        <v>2207201.89</v>
      </c>
      <c r="T445" s="18" t="n"/>
      <c r="U445" s="18" t="n">
        <v>7465.96000145264</v>
      </c>
      <c r="V445" s="18" t="n">
        <v>1355.283020064</v>
      </c>
      <c r="W445" s="21" t="n">
        <v>2023</v>
      </c>
      <c r="X445" s="103" t="n">
        <v>707700.33</v>
      </c>
      <c r="Y445" s="3" t="n">
        <f aca="false" ca="false" dt2D="false" dtr="false" t="normal">+(K445*10+L445*20)*12*0.85</f>
        <v>140433.6</v>
      </c>
      <c r="Z445" s="3" t="n">
        <f aca="false" ca="false" dt2D="false" dtr="false" t="normal">+(K445*10+L445*20)*12*30</f>
        <v>4956480</v>
      </c>
      <c r="AB445" s="23" t="n">
        <f aca="false" ca="true" dt2D="false" dtr="false" t="normal">SUBTOTAL(9, AC445:AQ445)</f>
        <v>3055335.82</v>
      </c>
      <c r="AC445" s="18" t="n">
        <v>1703436.36</v>
      </c>
      <c r="AD445" s="18" t="n">
        <v>859294.68</v>
      </c>
      <c r="AE445" s="18" t="n"/>
      <c r="AF445" s="18" t="n">
        <v>422101.36</v>
      </c>
      <c r="AG445" s="18" t="n">
        <v>0</v>
      </c>
      <c r="AH445" s="18" t="n"/>
      <c r="AI445" s="18" t="n"/>
      <c r="AJ445" s="18" t="n">
        <v>0</v>
      </c>
      <c r="AK445" s="18" t="n">
        <v>0</v>
      </c>
      <c r="AL445" s="18" t="n">
        <v>0</v>
      </c>
      <c r="AM445" s="18" t="n">
        <v>0</v>
      </c>
      <c r="AN445" s="18" t="n">
        <v>0</v>
      </c>
      <c r="AO445" s="18" t="n">
        <v>52503.42</v>
      </c>
      <c r="AP445" s="18" t="n">
        <v>18000</v>
      </c>
      <c r="AQ445" s="24" t="n"/>
      <c r="AR445" s="3" t="n">
        <f aca="false" ca="false" dt2D="false" dtr="false" t="normal">N445-AB445</f>
        <v>0</v>
      </c>
    </row>
    <row outlineLevel="0" r="446">
      <c r="A446" s="5" t="n">
        <f aca="false" ca="false" dt2D="false" dtr="false" t="normal">+A445+1</f>
        <v>427</v>
      </c>
      <c r="B446" s="6" t="n">
        <f aca="false" ca="false" dt2D="false" dtr="false" t="normal">+B445+1</f>
        <v>216</v>
      </c>
      <c r="C446" s="138" t="s">
        <v>68</v>
      </c>
      <c r="D446" s="138" t="s">
        <v>69</v>
      </c>
      <c r="E446" s="139" t="n">
        <v>1964</v>
      </c>
      <c r="F446" s="139" t="n">
        <v>1964</v>
      </c>
      <c r="G446" s="139" t="s">
        <v>4</v>
      </c>
      <c r="H446" s="139" t="n">
        <v>2</v>
      </c>
      <c r="I446" s="139" t="n">
        <v>2</v>
      </c>
      <c r="J446" s="17" t="n">
        <v>816.77</v>
      </c>
      <c r="K446" s="17" t="n">
        <v>598.05</v>
      </c>
      <c r="L446" s="17" t="n">
        <v>218.72</v>
      </c>
      <c r="M446" s="140" t="n">
        <v>23</v>
      </c>
      <c r="N446" s="16" t="n">
        <f aca="false" ca="false" dt2D="false" dtr="false" t="normal">SUM(P446:T446)</f>
        <v>226071.44</v>
      </c>
      <c r="O446" s="17" t="n"/>
      <c r="P446" s="17" t="n"/>
      <c r="Q446" s="18" t="n"/>
      <c r="R446" s="18" t="n">
        <v>226071.44</v>
      </c>
      <c r="S446" s="18" t="n"/>
      <c r="T446" s="18" t="n"/>
      <c r="U446" s="17" t="n">
        <v>708.253383224163</v>
      </c>
      <c r="V446" s="17" t="n">
        <v>708.253383224163</v>
      </c>
      <c r="W446" s="21" t="n">
        <v>2023</v>
      </c>
      <c r="X446" s="1" t="n">
        <f aca="false" ca="false" dt2D="false" dtr="false" t="normal">223283.02-99067.28</f>
        <v>124215.73999999999</v>
      </c>
      <c r="Y446" s="3" t="n">
        <f aca="false" ca="false" dt2D="false" dtr="false" t="normal">+(K446*10+L446*20)*12*0.85</f>
        <v>105619.97999999998</v>
      </c>
      <c r="Z446" s="3" t="n">
        <f aca="false" ca="false" dt2D="false" dtr="false" t="normal">+(K446*10+L446*20)*12*30-29457.72</f>
        <v>3698306.2799999993</v>
      </c>
      <c r="AB446" s="23" t="n">
        <f aca="false" ca="true" dt2D="false" dtr="false" t="normal">SUBTOTAL(9, AC446:AQ446)</f>
        <v>226071.44</v>
      </c>
      <c r="AC446" s="18" t="n">
        <v>0</v>
      </c>
      <c r="AD446" s="18" t="n">
        <v>0</v>
      </c>
      <c r="AE446" s="18" t="n">
        <v>226071.44</v>
      </c>
      <c r="AF446" s="18" t="n">
        <v>0</v>
      </c>
      <c r="AG446" s="18" t="n">
        <v>0</v>
      </c>
      <c r="AH446" s="18" t="n"/>
      <c r="AI446" s="18" t="n"/>
      <c r="AJ446" s="18" t="n">
        <v>0</v>
      </c>
      <c r="AK446" s="18" t="n"/>
      <c r="AL446" s="18" t="n">
        <v>0</v>
      </c>
      <c r="AM446" s="18" t="n">
        <v>0</v>
      </c>
      <c r="AN446" s="18" t="n">
        <v>0</v>
      </c>
      <c r="AO446" s="18" t="n"/>
      <c r="AP446" s="18" t="n"/>
      <c r="AQ446" s="24" t="n"/>
      <c r="AR446" s="3" t="n">
        <f aca="false" ca="false" dt2D="false" dtr="false" t="normal">N446-AB446</f>
        <v>0</v>
      </c>
    </row>
    <row outlineLevel="0" r="447">
      <c r="A447" s="5" t="n">
        <f aca="false" ca="false" dt2D="false" dtr="false" t="normal">+A446+1</f>
        <v>428</v>
      </c>
      <c r="B447" s="6" t="n">
        <f aca="false" ca="false" dt2D="false" dtr="false" t="normal">+B446+1</f>
        <v>217</v>
      </c>
      <c r="C447" s="138" t="s">
        <v>68</v>
      </c>
      <c r="D447" s="138" t="s">
        <v>70</v>
      </c>
      <c r="E447" s="139" t="n">
        <v>1964</v>
      </c>
      <c r="F447" s="139" t="n">
        <v>1964</v>
      </c>
      <c r="G447" s="139" t="s">
        <v>4</v>
      </c>
      <c r="H447" s="139" t="n">
        <v>2</v>
      </c>
      <c r="I447" s="139" t="n">
        <v>2</v>
      </c>
      <c r="J447" s="17" t="n">
        <v>868.87</v>
      </c>
      <c r="K447" s="17" t="n">
        <v>613.56</v>
      </c>
      <c r="L447" s="17" t="n">
        <v>255.31</v>
      </c>
      <c r="M447" s="140" t="n">
        <v>26</v>
      </c>
      <c r="N447" s="16" t="n">
        <f aca="false" ca="false" dt2D="false" dtr="false" t="normal">SUM(P447:T447)</f>
        <v>240520.96</v>
      </c>
      <c r="O447" s="17" t="n"/>
      <c r="P447" s="18" t="n"/>
      <c r="Q447" s="18" t="n"/>
      <c r="R447" s="18" t="n">
        <v>240520.96</v>
      </c>
      <c r="S447" s="18" t="n"/>
      <c r="T447" s="18" t="n"/>
      <c r="U447" s="17" t="n">
        <v>691.924015716966</v>
      </c>
      <c r="V447" s="17" t="n">
        <v>691.924015716966</v>
      </c>
      <c r="W447" s="21" t="n">
        <v>2023</v>
      </c>
      <c r="X447" s="1" t="n">
        <f aca="false" ca="false" dt2D="false" dtr="false" t="normal">278417.8-100860.31</f>
        <v>177557.49</v>
      </c>
      <c r="Y447" s="3" t="n">
        <f aca="false" ca="false" dt2D="false" dtr="false" t="normal">+(K447*10+L447*20)*12*0.85</f>
        <v>114666.35999999997</v>
      </c>
      <c r="Z447" s="3" t="n">
        <f aca="false" ca="false" dt2D="false" dtr="false" t="normal">+(K447*10+L447*20)*12*30-29524.86</f>
        <v>4017523.139999999</v>
      </c>
      <c r="AB447" s="23" t="n">
        <f aca="false" ca="true" dt2D="false" dtr="false" t="normal">SUBTOTAL(9, AC447:AQ447)</f>
        <v>240520.96</v>
      </c>
      <c r="AC447" s="18" t="n">
        <v>0</v>
      </c>
      <c r="AD447" s="18" t="n">
        <v>0</v>
      </c>
      <c r="AE447" s="18" t="n">
        <v>240520.96</v>
      </c>
      <c r="AF447" s="18" t="n">
        <v>0</v>
      </c>
      <c r="AG447" s="18" t="n">
        <v>0</v>
      </c>
      <c r="AH447" s="18" t="n"/>
      <c r="AI447" s="18" t="n"/>
      <c r="AJ447" s="18" t="n">
        <v>0</v>
      </c>
      <c r="AK447" s="18" t="n"/>
      <c r="AL447" s="18" t="n">
        <v>0</v>
      </c>
      <c r="AM447" s="18" t="n">
        <v>0</v>
      </c>
      <c r="AN447" s="18" t="n">
        <v>0</v>
      </c>
      <c r="AO447" s="18" t="n"/>
      <c r="AP447" s="18" t="n"/>
      <c r="AQ447" s="24" t="n"/>
      <c r="AR447" s="3" t="n">
        <f aca="false" ca="false" dt2D="false" dtr="false" t="normal">N447-AB447</f>
        <v>0</v>
      </c>
    </row>
    <row outlineLevel="0" r="448">
      <c r="A448" s="5" t="n">
        <f aca="false" ca="false" dt2D="false" dtr="false" t="normal">+A447+1</f>
        <v>429</v>
      </c>
      <c r="B448" s="6" t="n">
        <f aca="false" ca="false" dt2D="false" dtr="false" t="normal">+B447+1</f>
        <v>218</v>
      </c>
      <c r="C448" s="138" t="s">
        <v>68</v>
      </c>
      <c r="D448" s="138" t="s">
        <v>72</v>
      </c>
      <c r="E448" s="139" t="n">
        <v>1962</v>
      </c>
      <c r="F448" s="139" t="n">
        <v>2017</v>
      </c>
      <c r="G448" s="139" t="s">
        <v>4</v>
      </c>
      <c r="H448" s="139" t="n">
        <v>2</v>
      </c>
      <c r="I448" s="139" t="n">
        <v>2</v>
      </c>
      <c r="J448" s="17" t="n">
        <v>1087.26</v>
      </c>
      <c r="K448" s="17" t="n">
        <v>641.25</v>
      </c>
      <c r="L448" s="17" t="n">
        <v>254.58</v>
      </c>
      <c r="M448" s="140" t="n">
        <v>29</v>
      </c>
      <c r="N448" s="16" t="n">
        <f aca="false" ca="false" dt2D="false" dtr="false" t="normal">SUM(P448:T448)</f>
        <v>253456.48</v>
      </c>
      <c r="O448" s="17" t="n"/>
      <c r="P448" s="18" t="n"/>
      <c r="Q448" s="18" t="n"/>
      <c r="R448" s="12" t="n">
        <v>253456.48</v>
      </c>
      <c r="S448" s="18" t="n"/>
      <c r="T448" s="151" t="n"/>
      <c r="U448" s="17" t="n">
        <v>612.93393835884</v>
      </c>
      <c r="V448" s="17" t="n">
        <v>612.93393835884</v>
      </c>
      <c r="W448" s="21" t="n">
        <v>2023</v>
      </c>
      <c r="X448" s="1" t="n">
        <f aca="false" ca="false" dt2D="false" dtr="false" t="normal">309756.66-132948.3</f>
        <v>176808.36</v>
      </c>
      <c r="Y448" s="3" t="n">
        <f aca="false" ca="false" dt2D="false" dtr="false" t="normal">+(K448*10+L448*20)*12*0.85</f>
        <v>117341.82</v>
      </c>
      <c r="Z448" s="3" t="n">
        <f aca="false" ca="false" dt2D="false" dtr="false" t="normal">+(K448*10+L448*20)*12*30-30726.12</f>
        <v>4110749.8800000004</v>
      </c>
      <c r="AB448" s="23" t="n">
        <f aca="false" ca="true" dt2D="false" dtr="false" t="normal">SUBTOTAL(9, AC448:AQ448)</f>
        <v>253456.48</v>
      </c>
      <c r="AC448" s="18" t="n">
        <v>0</v>
      </c>
      <c r="AD448" s="18" t="n">
        <v>0</v>
      </c>
      <c r="AE448" s="18" t="n">
        <v>253456.48</v>
      </c>
      <c r="AF448" s="18" t="n">
        <v>0</v>
      </c>
      <c r="AG448" s="18" t="n">
        <v>0</v>
      </c>
      <c r="AH448" s="18" t="n"/>
      <c r="AI448" s="18" t="n"/>
      <c r="AJ448" s="18" t="n">
        <v>0</v>
      </c>
      <c r="AK448" s="18" t="n">
        <v>0</v>
      </c>
      <c r="AL448" s="18" t="n">
        <v>0</v>
      </c>
      <c r="AM448" s="18" t="n">
        <v>0</v>
      </c>
      <c r="AN448" s="18" t="n">
        <v>0</v>
      </c>
      <c r="AO448" s="18" t="n"/>
      <c r="AP448" s="18" t="n"/>
      <c r="AQ448" s="24" t="n"/>
      <c r="AR448" s="3" t="n">
        <f aca="false" ca="false" dt2D="false" dtr="false" t="normal">N448-AB448</f>
        <v>0</v>
      </c>
    </row>
    <row outlineLevel="0" r="449">
      <c r="A449" s="5" t="n">
        <f aca="false" ca="false" dt2D="false" dtr="false" t="normal">+A448+1</f>
        <v>430</v>
      </c>
      <c r="B449" s="6" t="n">
        <f aca="false" ca="false" dt2D="false" dtr="false" t="normal">+B448+1</f>
        <v>219</v>
      </c>
      <c r="C449" s="138" t="s">
        <v>68</v>
      </c>
      <c r="D449" s="138" t="s">
        <v>73</v>
      </c>
      <c r="E449" s="139" t="n">
        <v>1984</v>
      </c>
      <c r="F449" s="139" t="n">
        <v>2009</v>
      </c>
      <c r="G449" s="139" t="s">
        <v>4</v>
      </c>
      <c r="H449" s="139" t="n">
        <v>2</v>
      </c>
      <c r="I449" s="139" t="n">
        <v>2</v>
      </c>
      <c r="J449" s="17" t="n">
        <v>1164.7</v>
      </c>
      <c r="K449" s="17" t="n">
        <v>745.9</v>
      </c>
      <c r="L449" s="17" t="n">
        <v>304.1</v>
      </c>
      <c r="M449" s="140" t="n">
        <v>37</v>
      </c>
      <c r="N449" s="16" t="n">
        <f aca="false" ca="false" dt2D="false" dtr="false" t="normal">SUM(P449:T449)</f>
        <v>620415.33</v>
      </c>
      <c r="O449" s="17" t="n"/>
      <c r="P449" s="18" t="n"/>
      <c r="Q449" s="18" t="n"/>
      <c r="R449" s="18" t="n">
        <v>200191.26628904</v>
      </c>
      <c r="S449" s="18" t="n">
        <v>420224.06371096</v>
      </c>
      <c r="T449" s="151" t="n"/>
      <c r="U449" s="17" t="n">
        <v>4171.53659415809</v>
      </c>
      <c r="V449" s="17" t="n">
        <v>4171.53659415809</v>
      </c>
      <c r="W449" s="21" t="n">
        <v>2023</v>
      </c>
      <c r="X449" s="1" t="n">
        <v>397731.31</v>
      </c>
      <c r="Y449" s="3" t="n">
        <f aca="false" ca="false" dt2D="false" dtr="false" t="normal">+(K449*10+L449*20)*12*0.85</f>
        <v>138118.19999999998</v>
      </c>
      <c r="Z449" s="3" t="n">
        <f aca="false" ca="false" dt2D="false" dtr="false" t="normal">+(K449*10+L449*20)*12*30</f>
        <v>4874760</v>
      </c>
      <c r="AB449" s="23" t="n">
        <f aca="false" ca="true" dt2D="false" dtr="false" t="normal">SUBTOTAL(9, AC449:AQ449)</f>
        <v>620415.33</v>
      </c>
      <c r="AC449" s="18" t="n"/>
      <c r="AD449" s="18" t="n">
        <v>601824.37</v>
      </c>
      <c r="AE449" s="18" t="n"/>
      <c r="AF449" s="18" t="n"/>
      <c r="AG449" s="18" t="n">
        <v>0</v>
      </c>
      <c r="AH449" s="18" t="n"/>
      <c r="AI449" s="18" t="n"/>
      <c r="AJ449" s="18" t="n">
        <v>0</v>
      </c>
      <c r="AK449" s="18" t="n"/>
      <c r="AL449" s="18" t="n">
        <v>0</v>
      </c>
      <c r="AM449" s="18" t="n">
        <v>0</v>
      </c>
      <c r="AN449" s="18" t="n">
        <v>0</v>
      </c>
      <c r="AO449" s="18" t="n">
        <v>13790.96</v>
      </c>
      <c r="AP449" s="18" t="n">
        <v>4800</v>
      </c>
      <c r="AQ449" s="24" t="n"/>
      <c r="AR449" s="3" t="n">
        <f aca="false" ca="false" dt2D="false" dtr="false" t="normal">N449-AB449</f>
        <v>0</v>
      </c>
    </row>
    <row outlineLevel="0" r="450">
      <c r="A450" s="5" t="n">
        <f aca="false" ca="false" dt2D="false" dtr="false" t="normal">+A449+1</f>
        <v>431</v>
      </c>
      <c r="B450" s="6" t="s">
        <v>76</v>
      </c>
      <c r="C450" s="138" t="s">
        <v>68</v>
      </c>
      <c r="D450" s="138" t="s">
        <v>77</v>
      </c>
      <c r="E450" s="139" t="n">
        <v>1976</v>
      </c>
      <c r="F450" s="139" t="n">
        <v>2008</v>
      </c>
      <c r="G450" s="139" t="s">
        <v>4</v>
      </c>
      <c r="H450" s="139" t="n">
        <v>4</v>
      </c>
      <c r="I450" s="139" t="n">
        <v>4</v>
      </c>
      <c r="J450" s="17" t="n">
        <v>4257.32</v>
      </c>
      <c r="K450" s="17" t="n">
        <v>3128.38</v>
      </c>
      <c r="L450" s="17" t="n">
        <v>991.08</v>
      </c>
      <c r="M450" s="140" t="n">
        <v>124</v>
      </c>
      <c r="N450" s="16" t="n">
        <f aca="false" ca="false" dt2D="false" dtr="false" t="normal">SUM(P450:T450)</f>
        <v>223889.01</v>
      </c>
      <c r="O450" s="17" t="n"/>
      <c r="P450" s="18" t="n"/>
      <c r="Q450" s="18" t="n"/>
      <c r="R450" s="18" t="n">
        <v>223889.01</v>
      </c>
      <c r="S450" s="18" t="n"/>
      <c r="T450" s="151" t="n"/>
      <c r="U450" s="17" t="n">
        <v>1050.5361310074</v>
      </c>
      <c r="V450" s="17" t="n">
        <v>1050.5361310074</v>
      </c>
      <c r="W450" s="21" t="n">
        <v>2023</v>
      </c>
      <c r="X450" s="12" t="n">
        <f aca="false" ca="false" dt2D="false" dtr="false" t="normal">1377282.4-565094.81-R191</f>
        <v>645001.5199999998</v>
      </c>
      <c r="Y450" s="3" t="n">
        <f aca="false" ca="false" dt2D="false" dtr="false" t="normal">+(K450*10+L450*20)*12*0.85</f>
        <v>521275.08</v>
      </c>
      <c r="Z450" s="3" t="n">
        <f aca="false" ca="false" dt2D="false" dtr="false" t="normal">+(K450*10+L450*20)*12*30-180969.62-S191</f>
        <v>17384046.41</v>
      </c>
      <c r="AB450" s="23" t="n">
        <f aca="false" ca="true" dt2D="false" dtr="false" t="normal">SUBTOTAL(9, AC450:AQ450)</f>
        <v>223889.01</v>
      </c>
      <c r="AC450" s="18" t="n"/>
      <c r="AD450" s="18" t="n"/>
      <c r="AE450" s="18" t="n">
        <v>0</v>
      </c>
      <c r="AF450" s="18" t="n">
        <v>223889.01</v>
      </c>
      <c r="AG450" s="18" t="n"/>
      <c r="AH450" s="18" t="n"/>
      <c r="AI450" s="18" t="n"/>
      <c r="AJ450" s="18" t="n">
        <v>0</v>
      </c>
      <c r="AK450" s="18" t="n">
        <v>0</v>
      </c>
      <c r="AL450" s="18" t="n"/>
      <c r="AM450" s="18" t="n">
        <v>0</v>
      </c>
      <c r="AN450" s="18" t="n"/>
      <c r="AO450" s="18" t="n"/>
      <c r="AP450" s="18" t="n"/>
      <c r="AQ450" s="24" t="n"/>
      <c r="AR450" s="3" t="n">
        <f aca="false" ca="false" dt2D="false" dtr="false" t="normal">N450-AB450</f>
        <v>0</v>
      </c>
    </row>
    <row outlineLevel="0" r="451">
      <c r="A451" s="5" t="n">
        <f aca="false" ca="false" dt2D="false" dtr="false" t="normal">+A450+1</f>
        <v>432</v>
      </c>
      <c r="B451" s="6" t="s">
        <v>76</v>
      </c>
      <c r="C451" s="6" t="s">
        <v>68</v>
      </c>
      <c r="D451" s="6" t="s">
        <v>78</v>
      </c>
      <c r="E451" s="139" t="n">
        <v>1975</v>
      </c>
      <c r="F451" s="139" t="n">
        <v>2008</v>
      </c>
      <c r="G451" s="139" t="s">
        <v>4</v>
      </c>
      <c r="H451" s="139" t="n">
        <v>4</v>
      </c>
      <c r="I451" s="139" t="n">
        <v>4</v>
      </c>
      <c r="J451" s="17" t="n">
        <v>4182.96</v>
      </c>
      <c r="K451" s="17" t="n">
        <v>3048.03</v>
      </c>
      <c r="L451" s="17" t="n">
        <v>978.37</v>
      </c>
      <c r="M451" s="140" t="n">
        <v>135</v>
      </c>
      <c r="N451" s="16" t="n">
        <f aca="false" ca="false" dt2D="false" dtr="false" t="normal">SUM(P451:T451)</f>
        <v>223889.01</v>
      </c>
      <c r="O451" s="18" t="n"/>
      <c r="P451" s="18" t="n"/>
      <c r="Q451" s="18" t="n"/>
      <c r="R451" s="3" t="n">
        <v>223889.01</v>
      </c>
      <c r="S451" s="18" t="n"/>
      <c r="T451" s="151" t="n"/>
      <c r="U451" s="17" t="n">
        <v>1849.23882793194</v>
      </c>
      <c r="V451" s="17" t="n">
        <v>1849.23882793194</v>
      </c>
      <c r="W451" s="21" t="n">
        <v>2023</v>
      </c>
      <c r="X451" s="1" t="n">
        <f aca="false" ca="false" dt2D="false" dtr="false" t="normal">1500891.17-445165.35</f>
        <v>1055725.8199999998</v>
      </c>
      <c r="Y451" s="3" t="n">
        <f aca="false" ca="false" dt2D="false" dtr="false" t="normal">+(K451*10+L451*20)*12*0.85</f>
        <v>510486.54</v>
      </c>
      <c r="Z451" s="3" t="n">
        <f aca="false" ca="false" dt2D="false" dtr="false" t="normal">+(K451*10+L451*20)*12*30-179374.89</f>
        <v>17837797.11</v>
      </c>
      <c r="AB451" s="23" t="n">
        <f aca="false" ca="true" dt2D="false" dtr="false" t="normal">SUBTOTAL(9, AC451:AQ451)</f>
        <v>223889.01</v>
      </c>
      <c r="AC451" s="18" t="n"/>
      <c r="AD451" s="18" t="n"/>
      <c r="AE451" s="18" t="n">
        <v>0</v>
      </c>
      <c r="AF451" s="18" t="n">
        <v>223889.01</v>
      </c>
      <c r="AG451" s="18" t="n"/>
      <c r="AH451" s="18" t="n"/>
      <c r="AI451" s="18" t="n"/>
      <c r="AJ451" s="18" t="n">
        <v>0</v>
      </c>
      <c r="AK451" s="18" t="n">
        <v>0</v>
      </c>
      <c r="AL451" s="18" t="n"/>
      <c r="AM451" s="18" t="n">
        <v>0</v>
      </c>
      <c r="AN451" s="18" t="n"/>
      <c r="AO451" s="18" t="n"/>
      <c r="AP451" s="18" t="n"/>
      <c r="AQ451" s="24" t="n"/>
      <c r="AR451" s="3" t="n">
        <f aca="false" ca="false" dt2D="false" dtr="false" t="normal">N451-AB451</f>
        <v>0</v>
      </c>
    </row>
    <row outlineLevel="0" r="452">
      <c r="A452" s="5" t="n">
        <f aca="false" ca="false" dt2D="false" dtr="false" t="normal">+A451+1</f>
        <v>433</v>
      </c>
      <c r="B452" s="6" t="n">
        <v>220</v>
      </c>
      <c r="C452" s="138" t="s">
        <v>68</v>
      </c>
      <c r="D452" s="138" t="s">
        <v>79</v>
      </c>
      <c r="E452" s="139" t="n">
        <v>1978</v>
      </c>
      <c r="F452" s="139" t="n">
        <v>2007</v>
      </c>
      <c r="G452" s="139" t="s">
        <v>4</v>
      </c>
      <c r="H452" s="139" t="n">
        <v>4</v>
      </c>
      <c r="I452" s="139" t="n">
        <v>4</v>
      </c>
      <c r="J452" s="17" t="n">
        <v>3576.31</v>
      </c>
      <c r="K452" s="17" t="n">
        <v>2733.31</v>
      </c>
      <c r="L452" s="17" t="n">
        <v>843</v>
      </c>
      <c r="M452" s="140" t="n">
        <v>110</v>
      </c>
      <c r="N452" s="16" t="n">
        <f aca="false" ca="false" dt2D="false" dtr="false" t="normal">SUM(P452:T452)</f>
        <v>2917814.5300000003</v>
      </c>
      <c r="O452" s="17" t="n"/>
      <c r="P452" s="17" t="n">
        <v>1242484.12</v>
      </c>
      <c r="Q452" s="18" t="n"/>
      <c r="R452" s="18" t="n">
        <v>750843.5951458</v>
      </c>
      <c r="S452" s="18" t="n">
        <v>924486.8148542</v>
      </c>
      <c r="T452" s="151" t="n"/>
      <c r="U452" s="17" t="n">
        <v>865.450742565885</v>
      </c>
      <c r="V452" s="17" t="n">
        <v>865.450742565885</v>
      </c>
      <c r="W452" s="21" t="n">
        <v>2023</v>
      </c>
      <c r="X452" s="1" t="n">
        <f aca="false" ca="false" dt2D="false" dtr="false" t="normal">1278728.82-485172.67</f>
        <v>793556.1500000001</v>
      </c>
      <c r="Y452" s="3" t="n">
        <f aca="false" ca="false" dt2D="false" dtr="false" t="normal">+(K452*10+L452*20)*12*0.85</f>
        <v>450769.61999999994</v>
      </c>
      <c r="Z452" s="3" t="n">
        <f aca="false" ca="false" dt2D="false" dtr="false" t="normal">+(K452*10+L452*20)*12*30-175262.76</f>
        <v>15734253.239999998</v>
      </c>
      <c r="AB452" s="23" t="n">
        <f aca="false" ca="true" dt2D="false" dtr="false" t="normal">SUBTOTAL(9, AC452:AQ452)</f>
        <v>2917814.5300000003</v>
      </c>
      <c r="AC452" s="18" t="n"/>
      <c r="AD452" s="18" t="n"/>
      <c r="AE452" s="18" t="n">
        <v>0</v>
      </c>
      <c r="AF452" s="18" t="n">
        <v>278729.45</v>
      </c>
      <c r="AG452" s="18" t="n"/>
      <c r="AH452" s="18" t="n"/>
      <c r="AI452" s="18" t="n"/>
      <c r="AJ452" s="18" t="n">
        <v>0</v>
      </c>
      <c r="AK452" s="18" t="n">
        <v>0</v>
      </c>
      <c r="AL452" s="18" t="n">
        <v>2639085.08</v>
      </c>
      <c r="AM452" s="18" t="n">
        <v>0</v>
      </c>
      <c r="AN452" s="18" t="n"/>
      <c r="AO452" s="18" t="n"/>
      <c r="AP452" s="18" t="n"/>
      <c r="AQ452" s="24" t="n"/>
      <c r="AR452" s="3" t="n">
        <f aca="false" ca="false" dt2D="false" dtr="false" t="normal">N452-AB452</f>
        <v>0</v>
      </c>
    </row>
    <row outlineLevel="0" r="453">
      <c r="A453" s="5" t="n">
        <f aca="false" ca="false" dt2D="false" dtr="false" t="normal">+A452+1</f>
        <v>434</v>
      </c>
      <c r="B453" s="6" t="n">
        <f aca="false" ca="false" dt2D="false" dtr="false" t="normal">+B452+1</f>
        <v>221</v>
      </c>
      <c r="C453" s="138" t="s">
        <v>82</v>
      </c>
      <c r="D453" s="138" t="s">
        <v>83</v>
      </c>
      <c r="E453" s="139" t="n">
        <v>1984</v>
      </c>
      <c r="F453" s="139" t="n">
        <v>2010</v>
      </c>
      <c r="G453" s="139" t="s">
        <v>4</v>
      </c>
      <c r="H453" s="139" t="n">
        <v>5</v>
      </c>
      <c r="I453" s="139" t="n">
        <v>4</v>
      </c>
      <c r="J453" s="17" t="n">
        <v>3209.1</v>
      </c>
      <c r="K453" s="17" t="n">
        <v>1814.6</v>
      </c>
      <c r="L453" s="17" t="n">
        <v>635</v>
      </c>
      <c r="M453" s="140" t="n">
        <v>66</v>
      </c>
      <c r="N453" s="16" t="n">
        <f aca="false" ca="false" dt2D="false" dtr="false" t="normal">SUM(P453:T453)</f>
        <v>492037.06</v>
      </c>
      <c r="O453" s="17" t="n"/>
      <c r="P453" s="18" t="n">
        <v>6743.23999999999</v>
      </c>
      <c r="Q453" s="18" t="n"/>
      <c r="R453" s="18" t="n">
        <v>485293.82</v>
      </c>
      <c r="S453" s="18" t="n"/>
      <c r="T453" s="151" t="n"/>
      <c r="U453" s="18" t="n">
        <v>214.883368496289</v>
      </c>
      <c r="V453" s="18" t="n">
        <v>214.883368496289</v>
      </c>
      <c r="W453" s="21" t="n">
        <v>2023</v>
      </c>
      <c r="X453" s="1" t="n">
        <v>1304593.93</v>
      </c>
      <c r="Y453" s="3" t="n">
        <f aca="false" ca="false" dt2D="false" dtr="false" t="normal">+(K453*10+L453*20)*12*0.85</f>
        <v>314629.2</v>
      </c>
      <c r="Z453" s="3" t="n">
        <f aca="false" ca="false" dt2D="false" dtr="false" t="normal">+(K453*10+L453*20)*12*30</f>
        <v>11104560</v>
      </c>
      <c r="AB453" s="23" t="n">
        <f aca="false" ca="true" dt2D="false" dtr="false" t="normal">SUBTOTAL(9, AC453:AQ453)</f>
        <v>492037.06</v>
      </c>
      <c r="AC453" s="18" t="n"/>
      <c r="AD453" s="18" t="n"/>
      <c r="AE453" s="18" t="n"/>
      <c r="AF453" s="18" t="n">
        <v>492037.06</v>
      </c>
      <c r="AG453" s="18" t="n">
        <v>0</v>
      </c>
      <c r="AH453" s="18" t="n"/>
      <c r="AI453" s="18" t="n"/>
      <c r="AJ453" s="18" t="n">
        <v>0</v>
      </c>
      <c r="AK453" s="18" t="n">
        <v>0</v>
      </c>
      <c r="AL453" s="18" t="n">
        <v>0</v>
      </c>
      <c r="AM453" s="18" t="n">
        <v>0</v>
      </c>
      <c r="AN453" s="18" t="n">
        <v>0</v>
      </c>
      <c r="AO453" s="18" t="n"/>
      <c r="AP453" s="18" t="n"/>
      <c r="AQ453" s="24" t="n"/>
      <c r="AR453" s="3" t="n">
        <f aca="false" ca="false" dt2D="false" dtr="false" t="normal">N453-AB453</f>
        <v>0</v>
      </c>
    </row>
    <row outlineLevel="0" r="454">
      <c r="A454" s="5" t="n">
        <f aca="false" ca="false" dt2D="false" dtr="false" t="normal">+A453+1</f>
        <v>435</v>
      </c>
      <c r="B454" s="6" t="n">
        <f aca="false" ca="false" dt2D="false" dtr="false" t="normal">+B453+1</f>
        <v>222</v>
      </c>
      <c r="C454" s="138" t="s">
        <v>82</v>
      </c>
      <c r="D454" s="138" t="s">
        <v>85</v>
      </c>
      <c r="E454" s="139" t="n">
        <v>1979</v>
      </c>
      <c r="F454" s="139" t="n">
        <v>2013</v>
      </c>
      <c r="G454" s="139" t="s">
        <v>4</v>
      </c>
      <c r="H454" s="139" t="n">
        <v>5</v>
      </c>
      <c r="I454" s="139" t="n">
        <v>4</v>
      </c>
      <c r="J454" s="17" t="n">
        <v>3313.8</v>
      </c>
      <c r="K454" s="17" t="n">
        <v>2402.9</v>
      </c>
      <c r="L454" s="17" t="n">
        <v>0</v>
      </c>
      <c r="M454" s="140" t="n">
        <v>83</v>
      </c>
      <c r="N454" s="16" t="n">
        <f aca="false" ca="false" dt2D="false" dtr="false" t="normal">SUM(P454:T454)</f>
        <v>422534</v>
      </c>
      <c r="O454" s="17" t="n"/>
      <c r="P454" s="18" t="n">
        <v>2800.76000000001</v>
      </c>
      <c r="Q454" s="18" t="n"/>
      <c r="R454" s="18" t="n">
        <v>419733.24</v>
      </c>
      <c r="S454" s="18" t="n"/>
      <c r="T454" s="151" t="n"/>
      <c r="U454" s="18" t="n">
        <v>194.121344473719</v>
      </c>
      <c r="V454" s="18" t="n">
        <v>194.121344473719</v>
      </c>
      <c r="W454" s="21" t="n">
        <v>2023</v>
      </c>
      <c r="X454" s="1" t="n">
        <f aca="false" ca="false" dt2D="false" dtr="false" t="normal">846724.36-198805.3544</f>
        <v>647919.0056</v>
      </c>
      <c r="Y454" s="3" t="n">
        <f aca="false" ca="false" dt2D="false" dtr="false" t="normal">+(K454*10+L454*20)*12*0.85</f>
        <v>245095.8</v>
      </c>
      <c r="Z454" s="3" t="n">
        <f aca="false" ca="false" dt2D="false" dtr="false" t="normal">+(K454*10+L454*20)*12*30-658098.6</f>
        <v>7992341.4</v>
      </c>
      <c r="AB454" s="23" t="n">
        <f aca="false" ca="true" dt2D="false" dtr="false" t="normal">SUBTOTAL(9, AC454:AQ454)</f>
        <v>422534</v>
      </c>
      <c r="AC454" s="18" t="n"/>
      <c r="AD454" s="18" t="n"/>
      <c r="AE454" s="18" t="n"/>
      <c r="AF454" s="18" t="n">
        <v>422534</v>
      </c>
      <c r="AG454" s="18" t="n">
        <v>0</v>
      </c>
      <c r="AH454" s="18" t="n"/>
      <c r="AI454" s="18" t="n"/>
      <c r="AJ454" s="18" t="n">
        <v>0</v>
      </c>
      <c r="AK454" s="18" t="n">
        <v>0</v>
      </c>
      <c r="AL454" s="18" t="n">
        <v>0</v>
      </c>
      <c r="AM454" s="18" t="n">
        <v>0</v>
      </c>
      <c r="AN454" s="18" t="n">
        <v>0</v>
      </c>
      <c r="AO454" s="18" t="n"/>
      <c r="AP454" s="18" t="n"/>
      <c r="AQ454" s="24" t="n"/>
      <c r="AR454" s="3" t="n">
        <f aca="false" ca="false" dt2D="false" dtr="false" t="normal">N454-AB454</f>
        <v>0</v>
      </c>
    </row>
    <row outlineLevel="0" r="455">
      <c r="A455" s="5" t="n">
        <f aca="false" ca="false" dt2D="false" dtr="false" t="normal">+A454+1</f>
        <v>436</v>
      </c>
      <c r="B455" s="6" t="n">
        <f aca="false" ca="false" dt2D="false" dtr="false" t="normal">+B454+1</f>
        <v>223</v>
      </c>
      <c r="C455" s="138" t="s">
        <v>82</v>
      </c>
      <c r="D455" s="138" t="s">
        <v>87</v>
      </c>
      <c r="E455" s="139" t="n">
        <v>1983</v>
      </c>
      <c r="F455" s="139" t="n">
        <v>2013</v>
      </c>
      <c r="G455" s="139" t="s">
        <v>4</v>
      </c>
      <c r="H455" s="139" t="n">
        <v>5</v>
      </c>
      <c r="I455" s="139" t="n">
        <v>4</v>
      </c>
      <c r="J455" s="17" t="n">
        <v>3317.4</v>
      </c>
      <c r="K455" s="17" t="n">
        <v>2427.1</v>
      </c>
      <c r="L455" s="17" t="n">
        <v>0</v>
      </c>
      <c r="M455" s="140" t="n">
        <v>71</v>
      </c>
      <c r="N455" s="16" t="n">
        <f aca="false" ca="false" dt2D="false" dtr="false" t="normal">SUM(P455:T455)</f>
        <v>548136.26</v>
      </c>
      <c r="O455" s="17" t="n"/>
      <c r="P455" s="18" t="n"/>
      <c r="Q455" s="18" t="n"/>
      <c r="R455" s="18" t="n">
        <v>548136.26</v>
      </c>
      <c r="S455" s="18" t="n"/>
      <c r="T455" s="18" t="n"/>
      <c r="U455" s="17" t="n">
        <v>1644.38630481231</v>
      </c>
      <c r="V455" s="17" t="n">
        <v>1644.38630481231</v>
      </c>
      <c r="W455" s="21" t="n">
        <v>2023</v>
      </c>
      <c r="X455" s="12" t="n">
        <f aca="false" ca="false" dt2D="false" dtr="false" t="normal">701008.17</f>
        <v>701008.17</v>
      </c>
      <c r="Y455" s="3" t="n">
        <f aca="false" ca="false" dt2D="false" dtr="false" t="normal">+(K455*10+L455*20)*12*0.85</f>
        <v>247564.19999999998</v>
      </c>
      <c r="Z455" s="3" t="n">
        <f aca="false" ca="false" dt2D="false" dtr="false" t="normal">+(K455*10+L455*20)*12*30</f>
        <v>8737560</v>
      </c>
      <c r="AB455" s="23" t="n">
        <f aca="false" ca="true" dt2D="false" dtr="false" t="normal">SUBTOTAL(9, AC455:AQ455)</f>
        <v>548136.26</v>
      </c>
      <c r="AC455" s="18" t="n">
        <v>0</v>
      </c>
      <c r="AD455" s="18" t="n">
        <v>0</v>
      </c>
      <c r="AE455" s="18" t="n"/>
      <c r="AF455" s="18" t="n">
        <v>548136.26</v>
      </c>
      <c r="AG455" s="18" t="n">
        <v>0</v>
      </c>
      <c r="AH455" s="18" t="n"/>
      <c r="AI455" s="18" t="n"/>
      <c r="AJ455" s="18" t="n">
        <v>0</v>
      </c>
      <c r="AK455" s="18" t="n">
        <v>0</v>
      </c>
      <c r="AL455" s="18" t="n">
        <v>0</v>
      </c>
      <c r="AM455" s="18" t="n">
        <v>0</v>
      </c>
      <c r="AN455" s="18" t="n">
        <v>0</v>
      </c>
      <c r="AO455" s="18" t="n"/>
      <c r="AP455" s="18" t="n"/>
      <c r="AQ455" s="24" t="n"/>
      <c r="AR455" s="3" t="n">
        <f aca="false" ca="false" dt2D="false" dtr="false" t="normal">N455-AB455</f>
        <v>0</v>
      </c>
    </row>
    <row outlineLevel="0" r="456">
      <c r="A456" s="5" t="n">
        <f aca="false" ca="false" dt2D="false" dtr="false" t="normal">+A455+1</f>
        <v>437</v>
      </c>
      <c r="B456" s="6" t="s">
        <v>76</v>
      </c>
      <c r="C456" s="6" t="s">
        <v>90</v>
      </c>
      <c r="D456" s="6" t="s">
        <v>91</v>
      </c>
      <c r="E456" s="139" t="n">
        <v>1984</v>
      </c>
      <c r="F456" s="139" t="n">
        <v>1984</v>
      </c>
      <c r="G456" s="139" t="s">
        <v>4</v>
      </c>
      <c r="H456" s="139" t="n">
        <v>5</v>
      </c>
      <c r="I456" s="139" t="n">
        <v>4</v>
      </c>
      <c r="J456" s="17" t="n">
        <v>3359.4</v>
      </c>
      <c r="K456" s="17" t="n">
        <v>2391.8</v>
      </c>
      <c r="L456" s="17" t="n">
        <v>553.2</v>
      </c>
      <c r="M456" s="140" t="n">
        <v>62</v>
      </c>
      <c r="N456" s="16" t="n">
        <f aca="false" ca="false" dt2D="false" dtr="false" t="normal">SUM(P456:T456)</f>
        <v>25027038.060000002</v>
      </c>
      <c r="O456" s="18" t="n"/>
      <c r="P456" s="18" t="n">
        <v>22977257.2413773</v>
      </c>
      <c r="Q456" s="18" t="n"/>
      <c r="R456" s="18" t="n">
        <v>532568.44</v>
      </c>
      <c r="S456" s="18" t="n">
        <v>20527.6399999997</v>
      </c>
      <c r="T456" s="18" t="n">
        <v>1496684.7386227</v>
      </c>
      <c r="U456" s="17" t="n">
        <v>9447.50199910945</v>
      </c>
      <c r="V456" s="17" t="n">
        <v>9447.50199910945</v>
      </c>
      <c r="W456" s="21" t="n">
        <v>2023</v>
      </c>
      <c r="X456" s="12" t="n">
        <f aca="false" ca="false" dt2D="false" dtr="false" t="normal">1110865.63-R277</f>
        <v>-1008162.0784741603</v>
      </c>
      <c r="Y456" s="3" t="n">
        <f aca="false" ca="false" dt2D="false" dtr="false" t="normal">+(K456*10+L456*20)*12*0.85</f>
        <v>356816.39999999997</v>
      </c>
      <c r="Z456" s="3" t="n">
        <f aca="false" ca="false" dt2D="false" dtr="false" t="normal">+(K456*10+L456*20)*12*30-3112059.45-S277</f>
        <v>-2251565.0415258</v>
      </c>
      <c r="AB456" s="23" t="n">
        <f aca="false" ca="true" dt2D="false" dtr="false" t="normal">SUBTOTAL(9, AC456:AQ456)</f>
        <v>25027038.06</v>
      </c>
      <c r="AC456" s="18" t="n"/>
      <c r="AD456" s="18" t="n"/>
      <c r="AE456" s="18" t="n"/>
      <c r="AF456" s="18" t="n"/>
      <c r="AG456" s="18" t="n">
        <v>0</v>
      </c>
      <c r="AH456" s="18" t="n"/>
      <c r="AI456" s="18" t="n"/>
      <c r="AJ456" s="18" t="n">
        <v>0</v>
      </c>
      <c r="AK456" s="18" t="n"/>
      <c r="AL456" s="18" t="n">
        <v>0</v>
      </c>
      <c r="AM456" s="18" t="n">
        <v>25027038.06</v>
      </c>
      <c r="AN456" s="18" t="n"/>
      <c r="AO456" s="18" t="n"/>
      <c r="AP456" s="18" t="n"/>
      <c r="AQ456" s="24" t="n"/>
      <c r="AR456" s="3" t="n">
        <f aca="false" ca="false" dt2D="false" dtr="false" t="normal">N698-AB698</f>
        <v>0</v>
      </c>
    </row>
    <row outlineLevel="0" r="457">
      <c r="A457" s="5" t="n">
        <f aca="false" ca="false" dt2D="false" dtr="false" t="normal">+A456+1</f>
        <v>438</v>
      </c>
      <c r="B457" s="6" t="s">
        <v>76</v>
      </c>
      <c r="C457" s="6" t="s">
        <v>93</v>
      </c>
      <c r="D457" s="6" t="s">
        <v>94</v>
      </c>
      <c r="E457" s="139" t="n">
        <v>1994</v>
      </c>
      <c r="F457" s="139" t="n">
        <v>2015</v>
      </c>
      <c r="G457" s="139" t="s">
        <v>4</v>
      </c>
      <c r="H457" s="139" t="n">
        <v>9</v>
      </c>
      <c r="I457" s="139" t="n">
        <v>4</v>
      </c>
      <c r="J457" s="17" t="n">
        <v>9059.3</v>
      </c>
      <c r="K457" s="17" t="n">
        <v>7958.2</v>
      </c>
      <c r="L457" s="17" t="n">
        <v>49</v>
      </c>
      <c r="M457" s="140" t="n">
        <v>376</v>
      </c>
      <c r="N457" s="16" t="n">
        <f aca="false" ca="false" dt2D="false" dtr="false" t="normal">SUM(P457:T457)</f>
        <v>93897055.49000001</v>
      </c>
      <c r="O457" s="18" t="n"/>
      <c r="P457" s="18" t="n">
        <v>57714537.44</v>
      </c>
      <c r="Q457" s="18" t="n"/>
      <c r="R457" s="18" t="n">
        <v>2626184.12</v>
      </c>
      <c r="S457" s="18" t="n">
        <v>27140016.4937406</v>
      </c>
      <c r="T457" s="18" t="n">
        <v>6416317.43625942</v>
      </c>
      <c r="U457" s="18" t="n">
        <v>11258.2479020311</v>
      </c>
      <c r="V457" s="18" t="n">
        <v>1384.283020064</v>
      </c>
      <c r="W457" s="21" t="n">
        <v>2023</v>
      </c>
      <c r="X457" s="103" t="n">
        <f aca="false" ca="false" dt2D="false" dtr="false" t="normal">5650783.47-5939473.29</f>
        <v>-288689.8200000003</v>
      </c>
      <c r="Y457" s="3" t="n">
        <f aca="false" ca="false" dt2D="false" dtr="false" t="normal">+(K457*13.95+L457*23.65)*12*0.85</f>
        <v>1144192.548</v>
      </c>
      <c r="Z457" s="3" t="n">
        <f aca="false" ca="false" dt2D="false" dtr="false" t="normal">+(K457*13.95+L457*23.65)*12*30</f>
        <v>40383266.4</v>
      </c>
      <c r="AB457" s="158" t="n">
        <f aca="false" ca="true" dt2D="false" dtr="false" t="normal">SUBTOTAL(9, AC457:AQ457)</f>
        <v>93897055.49000001</v>
      </c>
      <c r="AC457" s="18" t="n"/>
      <c r="AD457" s="18" t="n"/>
      <c r="AE457" s="18" t="n"/>
      <c r="AF457" s="18" t="n"/>
      <c r="AG457" s="18" t="n">
        <v>0</v>
      </c>
      <c r="AH457" s="18" t="n"/>
      <c r="AI457" s="18" t="n"/>
      <c r="AJ457" s="18" t="n"/>
      <c r="AK457" s="18" t="n">
        <v>0</v>
      </c>
      <c r="AL457" s="18" t="n">
        <v>0</v>
      </c>
      <c r="AM457" s="18" t="n">
        <v>93307087.4</v>
      </c>
      <c r="AN457" s="18" t="n">
        <v>0</v>
      </c>
      <c r="AO457" s="18" t="n">
        <v>579968.09</v>
      </c>
      <c r="AP457" s="18" t="n">
        <v>10000</v>
      </c>
      <c r="AQ457" s="24" t="n"/>
      <c r="AR457" s="3" t="n"/>
    </row>
    <row outlineLevel="0" r="458">
      <c r="A458" s="5" t="n">
        <f aca="false" ca="false" dt2D="false" dtr="false" t="normal">+A457+1</f>
        <v>439</v>
      </c>
      <c r="B458" s="6" t="n">
        <v>224</v>
      </c>
      <c r="C458" s="138" t="s">
        <v>93</v>
      </c>
      <c r="D458" s="138" t="s">
        <v>96</v>
      </c>
      <c r="E458" s="139" t="n">
        <v>1989</v>
      </c>
      <c r="F458" s="139" t="n">
        <v>2014</v>
      </c>
      <c r="G458" s="139" t="s">
        <v>4</v>
      </c>
      <c r="H458" s="139" t="n">
        <v>9</v>
      </c>
      <c r="I458" s="139" t="n">
        <v>3</v>
      </c>
      <c r="J458" s="17" t="n">
        <v>6626.1</v>
      </c>
      <c r="K458" s="17" t="n">
        <v>6102.5</v>
      </c>
      <c r="L458" s="17" t="n">
        <v>67.8</v>
      </c>
      <c r="M458" s="140" t="n">
        <v>265</v>
      </c>
      <c r="N458" s="16" t="n">
        <f aca="false" ca="false" dt2D="false" dtr="false" t="normal">SUM(P458:T458)</f>
        <v>5271196.859999999</v>
      </c>
      <c r="O458" s="18" t="n"/>
      <c r="P458" s="18" t="n">
        <v>3779579.42</v>
      </c>
      <c r="Q458" s="18" t="n"/>
      <c r="R458" s="18" t="n">
        <v>186090.51</v>
      </c>
      <c r="S458" s="18" t="n">
        <v>1305526.93</v>
      </c>
      <c r="T458" s="18" t="n"/>
      <c r="U458" s="18" t="n">
        <v>3812.05941023567</v>
      </c>
      <c r="V458" s="18" t="n">
        <v>3812.05941023567</v>
      </c>
      <c r="W458" s="21" t="n">
        <v>2023</v>
      </c>
      <c r="X458" s="103" t="n">
        <f aca="false" ca="false" dt2D="false" dtr="false" t="normal">3444334.74-R154</f>
        <v>2166388.47</v>
      </c>
      <c r="Y458" s="3" t="n">
        <f aca="false" ca="false" dt2D="false" dtr="false" t="normal">+(K458*13.29+L458*22.52)*12*0.85</f>
        <v>842816.6261999998</v>
      </c>
      <c r="Z458" s="3" t="n">
        <f aca="false" ca="false" dt2D="false" dtr="false" t="normal">+(K458*13.29+L458*22.52)*12*30-S154</f>
        <v>0</v>
      </c>
      <c r="AB458" s="23" t="n">
        <f aca="false" ca="true" dt2D="false" dtr="false" t="normal">SUBTOTAL(9, AC458:AQ458)</f>
        <v>5271196.86</v>
      </c>
      <c r="AC458" s="18" t="n"/>
      <c r="AD458" s="18" t="n"/>
      <c r="AE458" s="18" t="n"/>
      <c r="AF458" s="18" t="n">
        <v>5271196.86</v>
      </c>
      <c r="AG458" s="18" t="n">
        <v>0</v>
      </c>
      <c r="AH458" s="18" t="n"/>
      <c r="AI458" s="18" t="n"/>
      <c r="AJ458" s="18" t="n">
        <v>0</v>
      </c>
      <c r="AK458" s="18" t="n"/>
      <c r="AL458" s="18" t="n">
        <v>0</v>
      </c>
      <c r="AM458" s="18" t="n"/>
      <c r="AN458" s="18" t="n"/>
      <c r="AO458" s="18" t="n"/>
      <c r="AP458" s="18" t="n"/>
      <c r="AQ458" s="24" t="n"/>
      <c r="AR458" s="3" t="n"/>
    </row>
    <row outlineLevel="0" r="459">
      <c r="A459" s="5" t="n">
        <f aca="false" ca="false" dt2D="false" dtr="false" t="normal">+A458+1</f>
        <v>440</v>
      </c>
      <c r="B459" s="159" t="n">
        <v>225</v>
      </c>
      <c r="C459" s="138" t="s">
        <v>93</v>
      </c>
      <c r="D459" s="138" t="s">
        <v>99</v>
      </c>
      <c r="E459" s="139" t="n">
        <v>2000</v>
      </c>
      <c r="F459" s="139" t="n">
        <v>2013</v>
      </c>
      <c r="G459" s="139" t="s">
        <v>4</v>
      </c>
      <c r="H459" s="139" t="n">
        <v>9</v>
      </c>
      <c r="I459" s="139" t="n">
        <v>6</v>
      </c>
      <c r="J459" s="17" t="n">
        <v>12225.7</v>
      </c>
      <c r="K459" s="17" t="n">
        <v>12225.7</v>
      </c>
      <c r="L459" s="17" t="n">
        <v>0</v>
      </c>
      <c r="M459" s="140" t="n">
        <v>575</v>
      </c>
      <c r="N459" s="16" t="n">
        <f aca="false" ca="false" dt2D="false" dtr="false" t="normal">SUM(P459:T459)</f>
        <v>18000110.39</v>
      </c>
      <c r="O459" s="17" t="n"/>
      <c r="P459" s="17" t="n"/>
      <c r="Q459" s="17" t="n"/>
      <c r="R459" s="17" t="n">
        <v>10608888.593</v>
      </c>
      <c r="S459" s="17" t="n">
        <v>7391221.797</v>
      </c>
      <c r="T459" s="17" t="n"/>
      <c r="U459" s="17" t="n">
        <v>2096.1008367619</v>
      </c>
      <c r="V459" s="17" t="n">
        <v>1390.283020064</v>
      </c>
      <c r="W459" s="21" t="n">
        <v>2023</v>
      </c>
      <c r="X459" s="103" t="n">
        <v>8869293.74</v>
      </c>
      <c r="Y459" s="3" t="n">
        <f aca="false" ca="false" dt2D="false" dtr="false" t="normal">+(K459*13.95+L459*23.65)*12*0.85</f>
        <v>1739594.8530000001</v>
      </c>
      <c r="Z459" s="3" t="n">
        <f aca="false" ca="false" dt2D="false" dtr="false" t="normal">+(K459*13.95+L459*23.65)*12*30</f>
        <v>61397465.400000006</v>
      </c>
      <c r="AB459" s="158" t="n">
        <f aca="false" ca="true" dt2D="false" dtr="false" t="normal">SUBTOTAL(9, AC459:AQ459)</f>
        <v>18000110.39</v>
      </c>
      <c r="AC459" s="17" t="n"/>
      <c r="AD459" s="17" t="n"/>
      <c r="AE459" s="17" t="n"/>
      <c r="AF459" s="17" t="n"/>
      <c r="AG459" s="17" t="n"/>
      <c r="AH459" s="17" t="n"/>
      <c r="AI459" s="17" t="n"/>
      <c r="AJ459" s="17" t="n">
        <v>16975058.39</v>
      </c>
      <c r="AK459" s="17" t="n"/>
      <c r="AL459" s="17" t="n"/>
      <c r="AM459" s="17" t="n"/>
      <c r="AN459" s="18" t="n"/>
      <c r="AO459" s="18" t="n">
        <v>768789</v>
      </c>
      <c r="AP459" s="18" t="n">
        <v>256263</v>
      </c>
      <c r="AQ459" s="24" t="n"/>
      <c r="AR459" s="3" t="n"/>
    </row>
    <row outlineLevel="0" r="460">
      <c r="A460" s="5" t="n">
        <f aca="false" ca="false" dt2D="false" dtr="false" t="normal">+A459+1</f>
        <v>441</v>
      </c>
      <c r="B460" s="6" t="n">
        <v>226</v>
      </c>
      <c r="C460" s="138" t="s">
        <v>93</v>
      </c>
      <c r="D460" s="138" t="s">
        <v>101</v>
      </c>
      <c r="E460" s="139" t="n">
        <v>1970</v>
      </c>
      <c r="F460" s="139" t="n">
        <v>2015</v>
      </c>
      <c r="G460" s="139" t="s">
        <v>4</v>
      </c>
      <c r="H460" s="139" t="n">
        <v>4</v>
      </c>
      <c r="I460" s="139" t="n">
        <v>3</v>
      </c>
      <c r="J460" s="17" t="n">
        <v>2337.2</v>
      </c>
      <c r="K460" s="17" t="n">
        <v>1988.4</v>
      </c>
      <c r="L460" s="17" t="n">
        <v>46.7</v>
      </c>
      <c r="M460" s="140" t="n">
        <v>101</v>
      </c>
      <c r="N460" s="16" t="n">
        <f aca="false" ca="false" dt2D="false" dtr="false" t="normal">SUM(P460:T460)</f>
        <v>13923869.55</v>
      </c>
      <c r="O460" s="18" t="n"/>
      <c r="P460" s="18" t="n">
        <v>6918478.87</v>
      </c>
      <c r="Q460" s="18" t="n"/>
      <c r="R460" s="18" t="n">
        <v>1648380.95345517</v>
      </c>
      <c r="S460" s="18" t="n">
        <v>5357009.72654483</v>
      </c>
      <c r="T460" s="18" t="n"/>
      <c r="U460" s="18" t="n">
        <v>10577.7377528377</v>
      </c>
      <c r="V460" s="18" t="n">
        <v>10577.7377528377</v>
      </c>
      <c r="W460" s="21" t="n">
        <v>2023</v>
      </c>
      <c r="X460" s="1" t="n">
        <v>960970.65</v>
      </c>
      <c r="Y460" s="3" t="n">
        <f aca="false" ca="false" dt2D="false" dtr="false" t="normal">+(K460*10+L460*20)*12*0.85</f>
        <v>212343.6</v>
      </c>
      <c r="Z460" s="3" t="n">
        <f aca="false" ca="false" dt2D="false" dtr="false" t="normal">+(K460*10+L460*20)*12*30</f>
        <v>7494480</v>
      </c>
      <c r="AB460" s="23" t="n">
        <f aca="false" ca="true" dt2D="false" dtr="false" t="normal">SUBTOTAL(9, AC460:AQ460)</f>
        <v>13923869.55</v>
      </c>
      <c r="AC460" s="18" t="n">
        <v>6125064</v>
      </c>
      <c r="AD460" s="18" t="n">
        <v>2367725.57</v>
      </c>
      <c r="AE460" s="18" t="n"/>
      <c r="AF460" s="18" t="n"/>
      <c r="AG460" s="18" t="n">
        <v>0</v>
      </c>
      <c r="AH460" s="18" t="n"/>
      <c r="AI460" s="18" t="n"/>
      <c r="AJ460" s="18" t="n">
        <v>0</v>
      </c>
      <c r="AK460" s="18" t="n">
        <v>5431079.98</v>
      </c>
      <c r="AL460" s="18" t="n">
        <v>0</v>
      </c>
      <c r="AM460" s="18" t="n">
        <v>0</v>
      </c>
      <c r="AN460" s="18" t="n">
        <v>0</v>
      </c>
      <c r="AO460" s="18" t="n"/>
      <c r="AP460" s="18" t="n"/>
      <c r="AQ460" s="24" t="n"/>
      <c r="AR460" s="3" t="n"/>
    </row>
    <row outlineLevel="0" r="461">
      <c r="A461" s="5" t="n">
        <f aca="false" ca="false" dt2D="false" dtr="false" t="normal">+A460+1</f>
        <v>442</v>
      </c>
      <c r="B461" s="6" t="s">
        <v>76</v>
      </c>
      <c r="C461" s="6" t="s">
        <v>93</v>
      </c>
      <c r="D461" s="6" t="s">
        <v>103</v>
      </c>
      <c r="E461" s="139" t="n">
        <v>1986</v>
      </c>
      <c r="F461" s="139" t="n">
        <v>2015</v>
      </c>
      <c r="G461" s="139" t="s">
        <v>4</v>
      </c>
      <c r="H461" s="139" t="n">
        <v>9</v>
      </c>
      <c r="I461" s="139" t="n">
        <v>1</v>
      </c>
      <c r="J461" s="17" t="n">
        <v>2147.3</v>
      </c>
      <c r="K461" s="17" t="n">
        <v>1765</v>
      </c>
      <c r="L461" s="17" t="n">
        <v>118.1</v>
      </c>
      <c r="M461" s="140" t="n">
        <v>71</v>
      </c>
      <c r="N461" s="16" t="n">
        <f aca="false" ca="false" dt2D="false" dtr="false" t="normal">SUM(P461:T461)</f>
        <v>2593578.3</v>
      </c>
      <c r="O461" s="18" t="n"/>
      <c r="P461" s="18" t="n">
        <v>1436340.71</v>
      </c>
      <c r="Q461" s="18" t="n"/>
      <c r="R461" s="18" t="n"/>
      <c r="S461" s="18" t="n">
        <v>1157237.59</v>
      </c>
      <c r="T461" s="18" t="n"/>
      <c r="U461" s="17" t="n">
        <v>10650.4915964548</v>
      </c>
      <c r="V461" s="17" t="n">
        <v>10650.4915964548</v>
      </c>
      <c r="W461" s="21" t="n">
        <v>2023</v>
      </c>
      <c r="X461" s="1" t="n">
        <v>1032655.91</v>
      </c>
      <c r="Y461" s="3" t="n">
        <f aca="false" ca="false" dt2D="false" dtr="false" t="normal">+(K461*13.29+L461*22.52)*12*0.85</f>
        <v>266387.9124</v>
      </c>
      <c r="Z461" s="3" t="n">
        <f aca="false" ca="false" dt2D="false" dtr="false" t="normal">+(K461*13.29+L461*22.52)*12*30</f>
        <v>9401926.32</v>
      </c>
      <c r="AB461" s="23" t="n">
        <f aca="false" ca="true" dt2D="false" dtr="false" t="normal">SUBTOTAL(9, AC461:AQ461)</f>
        <v>2593578.3</v>
      </c>
      <c r="AC461" s="18" t="n"/>
      <c r="AD461" s="18" t="n"/>
      <c r="AE461" s="18" t="n"/>
      <c r="AF461" s="18" t="n"/>
      <c r="AG461" s="18" t="n">
        <v>0</v>
      </c>
      <c r="AH461" s="18" t="n"/>
      <c r="AI461" s="18" t="n"/>
      <c r="AJ461" s="18" t="n">
        <v>0</v>
      </c>
      <c r="AK461" s="18" t="n">
        <v>2593578.3</v>
      </c>
      <c r="AL461" s="18" t="n">
        <v>0</v>
      </c>
      <c r="AM461" s="18" t="n">
        <v>0</v>
      </c>
      <c r="AN461" s="18" t="n"/>
      <c r="AO461" s="18" t="n"/>
      <c r="AP461" s="18" t="n"/>
      <c r="AQ461" s="24" t="n"/>
      <c r="AR461" s="3" t="n"/>
    </row>
    <row outlineLevel="0" r="462">
      <c r="A462" s="5" t="n">
        <f aca="false" ca="false" dt2D="false" dtr="false" t="normal">+A461+1</f>
        <v>443</v>
      </c>
      <c r="B462" s="6" t="s">
        <v>76</v>
      </c>
      <c r="C462" s="6" t="s">
        <v>93</v>
      </c>
      <c r="D462" s="6" t="s">
        <v>106</v>
      </c>
      <c r="E462" s="139" t="n">
        <v>1991</v>
      </c>
      <c r="F462" s="139" t="n">
        <v>2015</v>
      </c>
      <c r="G462" s="139" t="s">
        <v>4</v>
      </c>
      <c r="H462" s="139" t="n">
        <v>9</v>
      </c>
      <c r="I462" s="139" t="n">
        <v>3</v>
      </c>
      <c r="J462" s="17" t="n">
        <v>6893.1</v>
      </c>
      <c r="K462" s="17" t="n">
        <v>6102.4</v>
      </c>
      <c r="L462" s="17" t="n">
        <v>65.5</v>
      </c>
      <c r="M462" s="140" t="n">
        <v>255</v>
      </c>
      <c r="N462" s="16" t="n">
        <f aca="false" ca="false" dt2D="false" dtr="false" t="normal">SUM(P462:T462)</f>
        <v>10877868</v>
      </c>
      <c r="O462" s="18" t="n"/>
      <c r="P462" s="18" t="n">
        <v>3554180.9</v>
      </c>
      <c r="Q462" s="18" t="n"/>
      <c r="R462" s="18" t="n">
        <v>952068.37</v>
      </c>
      <c r="S462" s="18" t="n">
        <v>6371618.73</v>
      </c>
      <c r="T462" s="18" t="n"/>
      <c r="U462" s="17" t="n">
        <v>6681.58481325895</v>
      </c>
      <c r="V462" s="17" t="n">
        <v>6681.58481325895</v>
      </c>
      <c r="W462" s="21" t="n">
        <v>2023</v>
      </c>
      <c r="X462" s="12" t="n">
        <f aca="false" ca="false" dt2D="false" dtr="false" t="normal">3490024.25</f>
        <v>3490024.25</v>
      </c>
      <c r="Y462" s="3" t="n">
        <f aca="false" ca="false" dt2D="false" dtr="false" t="normal">+(K462*13.29+L462*22.52)*12*0.85</f>
        <v>842274.7511999998</v>
      </c>
      <c r="Z462" s="3" t="n">
        <f aca="false" ca="false" dt2D="false" dtr="false" t="normal">+(K462*13.29+L462*22.52)*12*30</f>
        <v>29727344.159999996</v>
      </c>
      <c r="AB462" s="23" t="n">
        <f aca="false" ca="true" dt2D="false" dtr="false" t="normal">SUBTOTAL(9, AC462:AQ462)</f>
        <v>10877868</v>
      </c>
      <c r="AC462" s="18" t="n">
        <v>5809151.59</v>
      </c>
      <c r="AD462" s="18" t="n">
        <v>5068716.41</v>
      </c>
      <c r="AE462" s="18" t="n"/>
      <c r="AF462" s="18" t="n"/>
      <c r="AG462" s="18" t="n"/>
      <c r="AH462" s="18" t="n"/>
      <c r="AI462" s="18" t="n"/>
      <c r="AJ462" s="18" t="n">
        <v>0</v>
      </c>
      <c r="AK462" s="18" t="n"/>
      <c r="AL462" s="18" t="n">
        <v>0</v>
      </c>
      <c r="AM462" s="18" t="n"/>
      <c r="AO462" s="18" t="n"/>
      <c r="AP462" s="18" t="n"/>
      <c r="AQ462" s="24" t="n"/>
      <c r="AR462" s="3" t="n"/>
    </row>
    <row outlineLevel="0" r="463">
      <c r="A463" s="5" t="n">
        <f aca="false" ca="false" dt2D="false" dtr="false" t="normal">+A462+1</f>
        <v>444</v>
      </c>
      <c r="B463" s="6" t="n">
        <v>227</v>
      </c>
      <c r="C463" s="138" t="s">
        <v>93</v>
      </c>
      <c r="D463" s="138" t="s">
        <v>107</v>
      </c>
      <c r="E463" s="139" t="n">
        <v>1981</v>
      </c>
      <c r="F463" s="139" t="n">
        <v>2012</v>
      </c>
      <c r="G463" s="139" t="s">
        <v>4</v>
      </c>
      <c r="H463" s="139" t="n">
        <v>9</v>
      </c>
      <c r="I463" s="139" t="n">
        <v>1</v>
      </c>
      <c r="J463" s="17" t="n">
        <v>3186</v>
      </c>
      <c r="K463" s="17" t="n">
        <v>2438</v>
      </c>
      <c r="L463" s="17" t="n">
        <v>0</v>
      </c>
      <c r="M463" s="140" t="n">
        <v>147</v>
      </c>
      <c r="N463" s="16" t="n">
        <f aca="false" ca="false" dt2D="false" dtr="false" t="normal">SUM(P463:T463)</f>
        <v>13595928.309999982</v>
      </c>
      <c r="O463" s="17" t="n"/>
      <c r="P463" s="18" t="n">
        <v>373281.414801631</v>
      </c>
      <c r="Q463" s="18" t="n"/>
      <c r="R463" s="18" t="n">
        <v>1671137.24773895</v>
      </c>
      <c r="S463" s="18" t="n">
        <v>11551509.6474594</v>
      </c>
      <c r="T463" s="18" t="n"/>
      <c r="U463" s="17" t="n">
        <v>10006.3379510254</v>
      </c>
      <c r="V463" s="17" t="n">
        <v>10006.3379510254</v>
      </c>
      <c r="W463" s="21" t="n">
        <v>2023</v>
      </c>
      <c r="X463" s="1" t="n">
        <v>1391149.44</v>
      </c>
      <c r="Y463" s="3" t="n">
        <f aca="false" ca="false" dt2D="false" dtr="false" t="normal">+(K463*13.29+L463*22.52)*12*0.85</f>
        <v>330490.404</v>
      </c>
      <c r="Z463" s="3" t="n">
        <f aca="false" ca="false" dt2D="false" dtr="false" t="normal">+(K463*13.29+L463*22.52)*12*30</f>
        <v>11664367.2</v>
      </c>
      <c r="AB463" s="23" t="n">
        <f aca="false" ca="true" dt2D="false" dtr="false" t="normal">SUBTOTAL(9, AC463:AQ463)</f>
        <v>13595928.31</v>
      </c>
      <c r="AC463" s="18" t="n"/>
      <c r="AD463" s="18" t="n"/>
      <c r="AE463" s="18" t="n"/>
      <c r="AF463" s="18" t="n"/>
      <c r="AG463" s="18" t="n"/>
      <c r="AH463" s="18" t="n"/>
      <c r="AI463" s="18" t="n"/>
      <c r="AJ463" s="18" t="n"/>
      <c r="AK463" s="18" t="n">
        <v>0</v>
      </c>
      <c r="AL463" s="18" t="n">
        <v>0</v>
      </c>
      <c r="AM463" s="18" t="n">
        <v>13459169.38</v>
      </c>
      <c r="AN463" s="18" t="n"/>
      <c r="AO463" s="18" t="n"/>
      <c r="AP463" s="18" t="n"/>
      <c r="AQ463" s="156" t="n">
        <v>136758.93</v>
      </c>
      <c r="AR463" s="3" t="n"/>
    </row>
    <row outlineLevel="0" r="464">
      <c r="A464" s="5" t="n">
        <f aca="false" ca="false" dt2D="false" dtr="false" t="normal">+A463+1</f>
        <v>445</v>
      </c>
      <c r="B464" s="6" t="n">
        <v>228</v>
      </c>
      <c r="C464" s="138" t="s">
        <v>93</v>
      </c>
      <c r="D464" s="138" t="s">
        <v>109</v>
      </c>
      <c r="E464" s="139" t="n">
        <v>1972</v>
      </c>
      <c r="F464" s="139" t="n">
        <v>2013</v>
      </c>
      <c r="G464" s="139" t="s">
        <v>4</v>
      </c>
      <c r="H464" s="139" t="n">
        <v>4</v>
      </c>
      <c r="I464" s="139" t="n">
        <v>6</v>
      </c>
      <c r="J464" s="17" t="n">
        <v>4437.9</v>
      </c>
      <c r="K464" s="17" t="n">
        <v>4088.2</v>
      </c>
      <c r="L464" s="17" t="n">
        <v>0</v>
      </c>
      <c r="M464" s="140" t="n">
        <v>207</v>
      </c>
      <c r="N464" s="16" t="n">
        <f aca="false" ca="false" dt2D="false" dtr="false" t="normal">SUM(P464:T464)</f>
        <v>11006074.42</v>
      </c>
      <c r="O464" s="17" t="n"/>
      <c r="P464" s="18" t="n">
        <v>0</v>
      </c>
      <c r="Q464" s="18" t="n"/>
      <c r="R464" s="18" t="n">
        <v>2349964.75</v>
      </c>
      <c r="S464" s="18" t="n">
        <v>8656109.67</v>
      </c>
      <c r="T464" s="151" t="n"/>
      <c r="U464" s="17" t="n">
        <v>3210.50449477241</v>
      </c>
      <c r="V464" s="17" t="n">
        <v>3210.50449477241</v>
      </c>
      <c r="W464" s="21" t="n">
        <v>2023</v>
      </c>
      <c r="X464" s="1" t="n">
        <v>1932968.35</v>
      </c>
      <c r="Y464" s="3" t="n">
        <f aca="false" ca="false" dt2D="false" dtr="false" t="normal">+(K464*10+L464*20)*12*0.85</f>
        <v>416996.39999999997</v>
      </c>
      <c r="Z464" s="3" t="n">
        <f aca="false" ca="false" dt2D="false" dtr="false" t="normal">+(K464*10+L464*20)*12*30</f>
        <v>14717520</v>
      </c>
      <c r="AB464" s="23" t="n">
        <f aca="false" ca="true" dt2D="false" dtr="false" t="normal">SUBTOTAL(9, AC464:AQ464)</f>
        <v>11006074.42</v>
      </c>
      <c r="AC464" s="18" t="n">
        <v>11006074.42</v>
      </c>
      <c r="AD464" s="18" t="n"/>
      <c r="AE464" s="18" t="n"/>
      <c r="AF464" s="18" t="n"/>
      <c r="AG464" s="18" t="n">
        <v>0</v>
      </c>
      <c r="AH464" s="18" t="n"/>
      <c r="AI464" s="18" t="n"/>
      <c r="AJ464" s="18" t="n">
        <v>0</v>
      </c>
      <c r="AK464" s="18" t="n">
        <v>0</v>
      </c>
      <c r="AL464" s="18" t="n">
        <v>0</v>
      </c>
      <c r="AM464" s="18" t="n">
        <v>0</v>
      </c>
      <c r="AN464" s="18" t="n">
        <v>0</v>
      </c>
      <c r="AO464" s="18" t="n"/>
      <c r="AP464" s="18" t="n"/>
      <c r="AQ464" s="24" t="n"/>
      <c r="AR464" s="3" t="n"/>
    </row>
    <row outlineLevel="0" r="465">
      <c r="A465" s="5" t="n">
        <f aca="false" ca="false" dt2D="false" dtr="false" t="normal">+A464+1</f>
        <v>446</v>
      </c>
      <c r="B465" s="6" t="s">
        <v>76</v>
      </c>
      <c r="C465" s="138" t="s">
        <v>93</v>
      </c>
      <c r="D465" s="138" t="s">
        <v>112</v>
      </c>
      <c r="E465" s="139" t="n">
        <v>1993</v>
      </c>
      <c r="F465" s="139" t="n">
        <v>2014</v>
      </c>
      <c r="G465" s="139" t="s">
        <v>4</v>
      </c>
      <c r="H465" s="139" t="n">
        <v>9</v>
      </c>
      <c r="I465" s="139" t="n">
        <v>1</v>
      </c>
      <c r="J465" s="17" t="n">
        <v>2553.4</v>
      </c>
      <c r="K465" s="17" t="n">
        <v>2128.8</v>
      </c>
      <c r="L465" s="17" t="n">
        <v>0</v>
      </c>
      <c r="M465" s="140" t="n">
        <v>78</v>
      </c>
      <c r="N465" s="16" t="n">
        <f aca="false" ca="false" dt2D="false" dtr="false" t="normal">SUM(P465:T465)</f>
        <v>9324892.68</v>
      </c>
      <c r="O465" s="17" t="n"/>
      <c r="P465" s="18" t="n">
        <v>882022.349999999</v>
      </c>
      <c r="Q465" s="18" t="n"/>
      <c r="R465" s="18" t="n">
        <v>555476.24</v>
      </c>
      <c r="S465" s="18" t="n">
        <v>7887394.09</v>
      </c>
      <c r="T465" s="18" t="n"/>
      <c r="U465" s="17" t="n">
        <v>10063.5427054129</v>
      </c>
      <c r="V465" s="17" t="n">
        <v>10063.5427054129</v>
      </c>
      <c r="W465" s="21" t="n">
        <v>2023</v>
      </c>
      <c r="X465" s="1" t="n">
        <f aca="false" ca="false" dt2D="false" dtr="false" t="normal">1103126.79-79353.74-714183.7328</f>
        <v>309589.31720000005</v>
      </c>
      <c r="Y465" s="3" t="n">
        <f aca="false" ca="false" dt2D="false" dtr="false" t="normal">+(K465*13.29+L465*22.52)*12*0.85</f>
        <v>288575.87039999996</v>
      </c>
      <c r="Z465" s="3" t="n">
        <f aca="false" ca="false" dt2D="false" dtr="false" t="normal">+(K465*13.95+L465*23.65)*12*30-300950.5-2600695.91</f>
        <v>7789187.1899999995</v>
      </c>
      <c r="AB465" s="23" t="n">
        <f aca="false" ca="true" dt2D="false" dtr="false" t="normal">SUBTOTAL(9, AC465:AQ465)</f>
        <v>9324892.68</v>
      </c>
      <c r="AC465" s="18" t="n"/>
      <c r="AD465" s="18" t="n"/>
      <c r="AE465" s="18" t="n"/>
      <c r="AF465" s="18" t="n"/>
      <c r="AG465" s="18" t="n"/>
      <c r="AH465" s="18" t="n"/>
      <c r="AI465" s="18" t="n"/>
      <c r="AJ465" s="18" t="n">
        <v>0</v>
      </c>
      <c r="AK465" s="18" t="n">
        <v>0</v>
      </c>
      <c r="AL465" s="18" t="n">
        <v>0</v>
      </c>
      <c r="AM465" s="18" t="n">
        <v>9226685.78</v>
      </c>
      <c r="AN465" s="18" t="n"/>
      <c r="AO465" s="18" t="n"/>
      <c r="AP465" s="18" t="n"/>
      <c r="AQ465" s="156" t="n">
        <v>98206.9</v>
      </c>
      <c r="AR465" s="3" t="n"/>
    </row>
    <row outlineLevel="0" r="466">
      <c r="A466" s="5" t="n">
        <f aca="false" ca="false" dt2D="false" dtr="false" t="normal">+A465+1</f>
        <v>447</v>
      </c>
      <c r="B466" s="6" t="s">
        <v>76</v>
      </c>
      <c r="C466" s="6" t="s">
        <v>114</v>
      </c>
      <c r="D466" s="6" t="s">
        <v>115</v>
      </c>
      <c r="E466" s="139" t="n">
        <v>1987</v>
      </c>
      <c r="F466" s="139" t="n">
        <v>1987</v>
      </c>
      <c r="G466" s="139" t="s">
        <v>4</v>
      </c>
      <c r="H466" s="139" t="n">
        <v>5</v>
      </c>
      <c r="I466" s="139" t="n">
        <v>4</v>
      </c>
      <c r="J466" s="17" t="n">
        <v>4891.4</v>
      </c>
      <c r="K466" s="17" t="n">
        <v>4293.1</v>
      </c>
      <c r="L466" s="17" t="n">
        <v>598.3</v>
      </c>
      <c r="M466" s="140" t="n">
        <v>199</v>
      </c>
      <c r="N466" s="16" t="n">
        <f aca="false" ca="false" dt2D="false" dtr="false" t="normal">SUM(P466:T466)</f>
        <v>17830898.72</v>
      </c>
      <c r="O466" s="18" t="n"/>
      <c r="P466" s="18" t="n">
        <v>7316300.24</v>
      </c>
      <c r="Q466" s="18" t="n"/>
      <c r="R466" s="18" t="n"/>
      <c r="S466" s="18" t="n">
        <v>10514598.48</v>
      </c>
      <c r="T466" s="18" t="n"/>
      <c r="U466" s="17" t="n">
        <v>5890.98496186998</v>
      </c>
      <c r="V466" s="17" t="n">
        <v>5890.98496186998</v>
      </c>
      <c r="W466" s="21" t="n">
        <v>2023</v>
      </c>
      <c r="X466" s="1" t="n">
        <v>2008581.69</v>
      </c>
      <c r="Y466" s="3" t="n">
        <f aca="false" ca="false" dt2D="false" dtr="false" t="normal">+(K466*10+L466*20)*12*0.85</f>
        <v>559949.4</v>
      </c>
      <c r="Z466" s="3" t="n">
        <f aca="false" ca="false" dt2D="false" dtr="false" t="normal">+(K466*10+L466*20)*12*30</f>
        <v>19762920</v>
      </c>
      <c r="AB466" s="23" t="n">
        <f aca="false" ca="true" dt2D="false" dtr="false" t="normal">SUBTOTAL(9, AC466:AQ466)</f>
        <v>17830898.72</v>
      </c>
      <c r="AC466" s="18" t="n">
        <v>13314058.64</v>
      </c>
      <c r="AD466" s="18" t="n">
        <v>4516840.08</v>
      </c>
      <c r="AE466" s="18" t="n">
        <v>0</v>
      </c>
      <c r="AF466" s="18" t="n">
        <v>0</v>
      </c>
      <c r="AG466" s="18" t="n">
        <v>0</v>
      </c>
      <c r="AH466" s="18" t="n"/>
      <c r="AI466" s="18" t="n"/>
      <c r="AJ466" s="18" t="n">
        <v>0</v>
      </c>
      <c r="AK466" s="18" t="n"/>
      <c r="AL466" s="18" t="n">
        <v>0</v>
      </c>
      <c r="AM466" s="18" t="n">
        <v>0</v>
      </c>
      <c r="AN466" s="18" t="n">
        <v>0</v>
      </c>
      <c r="AO466" s="18" t="n"/>
      <c r="AP466" s="18" t="n"/>
      <c r="AQ466" s="24" t="n"/>
      <c r="AR466" s="3" t="n"/>
    </row>
    <row outlineLevel="0" r="467">
      <c r="A467" s="5" t="n">
        <f aca="false" ca="false" dt2D="false" dtr="false" t="normal">+A466+1</f>
        <v>448</v>
      </c>
      <c r="B467" s="6" t="n">
        <v>229</v>
      </c>
      <c r="C467" s="138" t="s">
        <v>114</v>
      </c>
      <c r="D467" s="138" t="s">
        <v>117</v>
      </c>
      <c r="E467" s="139" t="n">
        <v>1986</v>
      </c>
      <c r="F467" s="139" t="n">
        <v>1986</v>
      </c>
      <c r="G467" s="139" t="s">
        <v>4</v>
      </c>
      <c r="H467" s="139" t="n">
        <v>5</v>
      </c>
      <c r="I467" s="139" t="n">
        <v>4</v>
      </c>
      <c r="J467" s="17" t="n">
        <v>4691.9</v>
      </c>
      <c r="K467" s="17" t="n">
        <v>4321.1</v>
      </c>
      <c r="L467" s="17" t="n">
        <v>298</v>
      </c>
      <c r="M467" s="140" t="n">
        <v>195</v>
      </c>
      <c r="N467" s="16" t="n">
        <f aca="false" ca="false" dt2D="false" dtr="false" t="normal">SUM(P467:T467)</f>
        <v>14344128.080000002</v>
      </c>
      <c r="O467" s="17" t="n"/>
      <c r="P467" s="18" t="n">
        <v>7020762.48</v>
      </c>
      <c r="Q467" s="18" t="n"/>
      <c r="R467" s="18" t="n">
        <v>1322918.16</v>
      </c>
      <c r="S467" s="18" t="n">
        <v>6000447.44</v>
      </c>
      <c r="T467" s="18" t="n"/>
      <c r="U467" s="17" t="n">
        <v>3693.15356713061</v>
      </c>
      <c r="V467" s="17" t="n">
        <v>3693.15356713061</v>
      </c>
      <c r="W467" s="21" t="n">
        <v>2023</v>
      </c>
      <c r="X467" s="12" t="n">
        <f aca="false" ca="false" dt2D="false" dtr="false" t="normal">1886055.9-R171</f>
        <v>821373.96</v>
      </c>
      <c r="Y467" s="3" t="n">
        <f aca="false" ca="false" dt2D="false" dtr="false" t="normal">+(K467*10+L467*20)*12*0.85</f>
        <v>501544.2</v>
      </c>
      <c r="Z467" s="3" t="n">
        <f aca="false" ca="false" dt2D="false" dtr="false" t="normal">+(K467*10+L467*20)*12*30-S171</f>
        <v>7689755.25</v>
      </c>
      <c r="AB467" s="23" t="n">
        <f aca="false" ca="true" dt2D="false" dtr="false" t="normal">SUBTOTAL(9, AC467:AQ467)</f>
        <v>14344128.08</v>
      </c>
      <c r="AC467" s="18" t="n">
        <v>10307046.52</v>
      </c>
      <c r="AD467" s="18" t="n">
        <v>4037081.56</v>
      </c>
      <c r="AE467" s="18" t="n">
        <v>0</v>
      </c>
      <c r="AF467" s="18" t="n">
        <v>0</v>
      </c>
      <c r="AG467" s="18" t="n">
        <v>0</v>
      </c>
      <c r="AH467" s="18" t="n"/>
      <c r="AI467" s="18" t="n"/>
      <c r="AJ467" s="18" t="n">
        <v>0</v>
      </c>
      <c r="AK467" s="18" t="n"/>
      <c r="AL467" s="18" t="n">
        <v>0</v>
      </c>
      <c r="AM467" s="18" t="n">
        <v>0</v>
      </c>
      <c r="AN467" s="18" t="n">
        <v>0</v>
      </c>
      <c r="AO467" s="18" t="n"/>
      <c r="AP467" s="18" t="n"/>
      <c r="AQ467" s="24" t="n"/>
      <c r="AR467" s="3" t="n"/>
    </row>
    <row outlineLevel="0" r="468">
      <c r="A468" s="5" t="n">
        <f aca="false" ca="false" dt2D="false" dtr="false" t="normal">+A467+1</f>
        <v>449</v>
      </c>
      <c r="B468" s="6" t="n">
        <v>230</v>
      </c>
      <c r="C468" s="6" t="s">
        <v>119</v>
      </c>
      <c r="D468" s="138" t="s">
        <v>120</v>
      </c>
      <c r="E468" s="164" t="n">
        <v>1982</v>
      </c>
      <c r="F468" s="164" t="n">
        <v>1982</v>
      </c>
      <c r="G468" s="164" t="s">
        <v>4</v>
      </c>
      <c r="H468" s="164" t="n">
        <v>5</v>
      </c>
      <c r="I468" s="164" t="n">
        <v>1</v>
      </c>
      <c r="J468" s="18" t="n">
        <v>982.9</v>
      </c>
      <c r="K468" s="18" t="n">
        <v>982.9</v>
      </c>
      <c r="L468" s="18" t="n">
        <v>0</v>
      </c>
      <c r="M468" s="165" t="n">
        <v>23</v>
      </c>
      <c r="N468" s="16" t="n">
        <f aca="false" ca="false" dt2D="false" dtr="false" t="normal">SUM(P468:T468)</f>
        <v>366422.22000000003</v>
      </c>
      <c r="O468" s="18" t="n"/>
      <c r="P468" s="18" t="n">
        <v>195479.78</v>
      </c>
      <c r="Q468" s="18" t="n"/>
      <c r="R468" s="18" t="n">
        <v>77872.8</v>
      </c>
      <c r="S468" s="18" t="n">
        <v>93069.64</v>
      </c>
      <c r="T468" s="18" t="n"/>
      <c r="U468" s="18" t="n">
        <v>1864.73306517836</v>
      </c>
      <c r="V468" s="18" t="n">
        <v>1864.73306517836</v>
      </c>
      <c r="W468" s="21" t="n">
        <v>2023</v>
      </c>
      <c r="X468" s="12" t="e">
        <f aca="false" ca="false" dt2D="false" dtr="false" t="normal">344430.27-#REF!</f>
        <v>#REF!</v>
      </c>
      <c r="Y468" s="3" t="n">
        <f aca="false" ca="false" dt2D="false" dtr="false" t="normal">+(K468*10+L468*20)*12*0.85</f>
        <v>100255.8</v>
      </c>
      <c r="Z468" s="3" t="e">
        <f aca="false" ca="false" dt2D="false" dtr="false" t="normal">+(K468*10+L468*20)*12*30-#REF!</f>
        <v>#REF!</v>
      </c>
      <c r="AB468" s="23" t="n">
        <f aca="false" ca="true" dt2D="false" dtr="false" t="normal">SUBTOTAL(9, AC468:AQ468)</f>
        <v>366422.22</v>
      </c>
      <c r="AC468" s="17" t="n"/>
      <c r="AD468" s="18" t="n"/>
      <c r="AE468" s="18" t="n"/>
      <c r="AF468" s="18" t="n">
        <v>366422.22</v>
      </c>
      <c r="AG468" s="18" t="n">
        <v>0</v>
      </c>
      <c r="AH468" s="18" t="n"/>
      <c r="AI468" s="18" t="n"/>
      <c r="AJ468" s="18" t="n">
        <v>0</v>
      </c>
      <c r="AK468" s="18" t="n"/>
      <c r="AL468" s="18" t="n"/>
      <c r="AM468" s="18" t="n"/>
      <c r="AN468" s="18" t="n"/>
      <c r="AO468" s="18" t="n"/>
      <c r="AP468" s="18" t="n"/>
      <c r="AQ468" s="24" t="n"/>
      <c r="AR468" s="3" t="n"/>
    </row>
    <row outlineLevel="0" r="469">
      <c r="A469" s="5" t="n">
        <f aca="false" ca="false" dt2D="false" dtr="false" t="normal">+A468+1</f>
        <v>450</v>
      </c>
      <c r="B469" s="6" t="n">
        <v>231</v>
      </c>
      <c r="C469" s="6" t="s">
        <v>119</v>
      </c>
      <c r="D469" s="6" t="s">
        <v>121</v>
      </c>
      <c r="E469" s="164" t="n">
        <v>1989</v>
      </c>
      <c r="F469" s="164" t="n">
        <v>2013</v>
      </c>
      <c r="G469" s="164" t="s">
        <v>4</v>
      </c>
      <c r="H469" s="164" t="n">
        <v>5</v>
      </c>
      <c r="I469" s="164" t="n">
        <v>3</v>
      </c>
      <c r="J469" s="18" t="n">
        <v>2867.1</v>
      </c>
      <c r="K469" s="18" t="n">
        <v>2862</v>
      </c>
      <c r="L469" s="18" t="n">
        <v>0</v>
      </c>
      <c r="M469" s="165" t="n">
        <v>82</v>
      </c>
      <c r="N469" s="16" t="n">
        <f aca="false" ca="false" dt2D="false" dtr="false" t="normal">SUM(P469:T469)</f>
        <v>3803871.2300000004</v>
      </c>
      <c r="O469" s="18" t="n"/>
      <c r="P469" s="18" t="n">
        <v>1559587.2043</v>
      </c>
      <c r="Q469" s="18" t="n"/>
      <c r="R469" s="18" t="n">
        <v>432993.52</v>
      </c>
      <c r="S469" s="18" t="n">
        <v>1811290.5057</v>
      </c>
      <c r="T469" s="18" t="n"/>
      <c r="U469" s="18" t="n">
        <v>2696.6219328373</v>
      </c>
      <c r="V469" s="18" t="n">
        <v>2696.6219328373</v>
      </c>
      <c r="W469" s="21" t="n">
        <v>2023</v>
      </c>
      <c r="X469" s="1" t="n">
        <v>853930.16</v>
      </c>
      <c r="Y469" s="3" t="n">
        <f aca="false" ca="false" dt2D="false" dtr="false" t="normal">+(K469*10+L469*20)*12*0.85</f>
        <v>291924</v>
      </c>
      <c r="Z469" s="3" t="n">
        <f aca="false" ca="false" dt2D="false" dtr="false" t="normal">+(K469*10+L469*20)*12*30</f>
        <v>10303200</v>
      </c>
      <c r="AB469" s="23" t="n">
        <f aca="false" ca="true" dt2D="false" dtr="false" t="normal">SUBTOTAL(9, AC469:AQ469)</f>
        <v>3803871.23</v>
      </c>
      <c r="AC469" s="17" t="n">
        <v>0</v>
      </c>
      <c r="AD469" s="18" t="n">
        <v>0</v>
      </c>
      <c r="AE469" s="18" t="n"/>
      <c r="AF469" s="18" t="n"/>
      <c r="AG469" s="18" t="n">
        <v>0</v>
      </c>
      <c r="AH469" s="18" t="n"/>
      <c r="AI469" s="18" t="n"/>
      <c r="AJ469" s="18" t="n">
        <v>0</v>
      </c>
      <c r="AK469" s="18" t="n">
        <v>3803871.23</v>
      </c>
      <c r="AL469" s="18" t="n">
        <v>0</v>
      </c>
      <c r="AM469" s="18" t="n">
        <v>0</v>
      </c>
      <c r="AN469" s="18" t="n"/>
      <c r="AO469" s="18" t="n"/>
      <c r="AP469" s="18" t="n"/>
      <c r="AQ469" s="24" t="n"/>
      <c r="AR469" s="3" t="n"/>
    </row>
    <row outlineLevel="0" r="470">
      <c r="A470" s="5" t="n">
        <f aca="false" ca="false" dt2D="false" dtr="false" t="normal">+A469+1</f>
        <v>451</v>
      </c>
      <c r="B470" s="6" t="n">
        <v>232</v>
      </c>
      <c r="C470" s="6" t="s">
        <v>119</v>
      </c>
      <c r="D470" s="6" t="s">
        <v>123</v>
      </c>
      <c r="E470" s="164" t="n">
        <v>1971</v>
      </c>
      <c r="F470" s="164" t="n">
        <v>2012</v>
      </c>
      <c r="G470" s="164" t="s">
        <v>4</v>
      </c>
      <c r="H470" s="164" t="n">
        <v>4</v>
      </c>
      <c r="I470" s="164" t="n">
        <v>4</v>
      </c>
      <c r="J470" s="18" t="n">
        <v>2748.3</v>
      </c>
      <c r="K470" s="18" t="n">
        <v>2738.3</v>
      </c>
      <c r="L470" s="18" t="n">
        <v>0</v>
      </c>
      <c r="M470" s="165" t="n">
        <v>105</v>
      </c>
      <c r="N470" s="16" t="n">
        <f aca="false" ca="false" dt2D="false" dtr="false" t="normal">SUM(P470:T470)</f>
        <v>4188288.59</v>
      </c>
      <c r="O470" s="18" t="n"/>
      <c r="P470" s="18" t="n">
        <v>1034749.07</v>
      </c>
      <c r="Q470" s="18" t="n"/>
      <c r="R470" s="18" t="n">
        <v>464433.48</v>
      </c>
      <c r="S470" s="18" t="n">
        <v>2689106.04</v>
      </c>
      <c r="T470" s="18" t="n"/>
      <c r="U470" s="18" t="n">
        <v>2250.23676977498</v>
      </c>
      <c r="V470" s="18" t="n">
        <v>2250.23676977498</v>
      </c>
      <c r="W470" s="21" t="n">
        <v>2023</v>
      </c>
      <c r="X470" s="1" t="n">
        <v>971459.84</v>
      </c>
      <c r="Y470" s="3" t="n">
        <f aca="false" ca="false" dt2D="false" dtr="false" t="normal">+(K470*10+L470*20)*12*0.85</f>
        <v>279306.6</v>
      </c>
      <c r="Z470" s="3" t="n">
        <f aca="false" ca="false" dt2D="false" dtr="false" t="normal">+(K470*10+L470*20)*12*30</f>
        <v>9857880</v>
      </c>
      <c r="AB470" s="23" t="n">
        <f aca="false" ca="true" dt2D="false" dtr="false" t="normal">SUBTOTAL(9, AC470:AQ470)</f>
        <v>4188288.59</v>
      </c>
      <c r="AC470" s="17" t="n">
        <v>0</v>
      </c>
      <c r="AD470" s="18" t="n">
        <v>0</v>
      </c>
      <c r="AE470" s="18" t="n"/>
      <c r="AF470" s="18" t="n">
        <v>1099685.39</v>
      </c>
      <c r="AG470" s="18" t="n">
        <v>0</v>
      </c>
      <c r="AH470" s="18" t="n"/>
      <c r="AI470" s="18" t="n"/>
      <c r="AJ470" s="18" t="n">
        <v>0</v>
      </c>
      <c r="AK470" s="18" t="n">
        <v>3088603.2</v>
      </c>
      <c r="AL470" s="18" t="n">
        <v>0</v>
      </c>
      <c r="AM470" s="18" t="n"/>
      <c r="AN470" s="18" t="n"/>
      <c r="AO470" s="18" t="n"/>
      <c r="AP470" s="18" t="n"/>
      <c r="AQ470" s="24" t="n"/>
      <c r="AR470" s="3" t="n"/>
    </row>
    <row outlineLevel="0" r="471">
      <c r="A471" s="5" t="n">
        <f aca="false" ca="false" dt2D="false" dtr="false" t="normal">+A470+1</f>
        <v>452</v>
      </c>
      <c r="B471" s="6" t="n">
        <f aca="false" ca="false" dt2D="false" dtr="false" t="normal">+B470+1</f>
        <v>233</v>
      </c>
      <c r="C471" s="6" t="s">
        <v>119</v>
      </c>
      <c r="D471" s="6" t="s">
        <v>125</v>
      </c>
      <c r="E471" s="164" t="n">
        <v>1979</v>
      </c>
      <c r="F471" s="164" t="n">
        <v>2013</v>
      </c>
      <c r="G471" s="164" t="s">
        <v>4</v>
      </c>
      <c r="H471" s="164" t="n">
        <v>4</v>
      </c>
      <c r="I471" s="164" t="n">
        <v>2</v>
      </c>
      <c r="J471" s="18" t="n">
        <v>1304.3</v>
      </c>
      <c r="K471" s="18" t="n">
        <v>1304.3</v>
      </c>
      <c r="L471" s="18" t="n">
        <v>0</v>
      </c>
      <c r="M471" s="165" t="n">
        <v>47</v>
      </c>
      <c r="N471" s="16" t="n">
        <f aca="false" ca="false" dt2D="false" dtr="false" t="normal">SUM(P471:T471)</f>
        <v>4320197.019999999</v>
      </c>
      <c r="O471" s="18" t="n"/>
      <c r="P471" s="18" t="n">
        <v>2179448.048</v>
      </c>
      <c r="Q471" s="18" t="n"/>
      <c r="R471" s="18" t="n"/>
      <c r="S471" s="18" t="n">
        <v>1980036.60758418</v>
      </c>
      <c r="T471" s="18" t="n">
        <v>160712.364415819</v>
      </c>
      <c r="U471" s="18" t="n">
        <v>6159.94783845995</v>
      </c>
      <c r="V471" s="18" t="n">
        <v>6159.94783845995</v>
      </c>
      <c r="W471" s="21" t="n">
        <v>2023</v>
      </c>
      <c r="X471" s="12" t="n">
        <f aca="false" ca="false" dt2D="false" dtr="false" t="normal">505122.22</f>
        <v>505122.22</v>
      </c>
      <c r="Y471" s="3" t="n">
        <f aca="false" ca="false" dt2D="false" dtr="false" t="normal">+(K471*10+L471*20)*12*0.85</f>
        <v>133038.6</v>
      </c>
      <c r="Z471" s="3" t="n">
        <f aca="false" ca="false" dt2D="false" dtr="false" t="normal">+(K471*10+L471*20)*12*30</f>
        <v>4695480</v>
      </c>
      <c r="AB471" s="23" t="n">
        <f aca="false" ca="true" dt2D="false" dtr="false" t="normal">SUBTOTAL(9, AC471:AQ471)</f>
        <v>4320197.02</v>
      </c>
      <c r="AC471" s="17" t="n"/>
      <c r="AD471" s="18" t="n"/>
      <c r="AE471" s="18" t="n"/>
      <c r="AF471" s="18" t="n"/>
      <c r="AG471" s="18" t="n"/>
      <c r="AH471" s="18" t="n"/>
      <c r="AI471" s="18" t="n"/>
      <c r="AJ471" s="18" t="n"/>
      <c r="AK471" s="18" t="n"/>
      <c r="AL471" s="18" t="n"/>
      <c r="AM471" s="18" t="n"/>
      <c r="AN471" s="18" t="n">
        <v>4320197.02</v>
      </c>
      <c r="AO471" s="18" t="n"/>
      <c r="AP471" s="18" t="n"/>
      <c r="AQ471" s="24" t="n"/>
      <c r="AR471" s="3" t="n"/>
    </row>
    <row outlineLevel="0" r="472">
      <c r="A472" s="5" t="n">
        <f aca="false" ca="false" dt2D="false" dtr="false" t="normal">+A471+1</f>
        <v>453</v>
      </c>
      <c r="B472" s="6" t="n">
        <v>234</v>
      </c>
      <c r="C472" s="6" t="s">
        <v>119</v>
      </c>
      <c r="D472" s="6" t="s">
        <v>127</v>
      </c>
      <c r="E472" s="164" t="n">
        <v>1975</v>
      </c>
      <c r="F472" s="164" t="n">
        <v>2010</v>
      </c>
      <c r="G472" s="164" t="s">
        <v>4</v>
      </c>
      <c r="H472" s="164" t="n">
        <v>4</v>
      </c>
      <c r="I472" s="164" t="n">
        <v>2</v>
      </c>
      <c r="J472" s="18" t="n">
        <v>1415.4</v>
      </c>
      <c r="K472" s="18" t="n">
        <v>1415.4</v>
      </c>
      <c r="L472" s="18" t="n">
        <v>0</v>
      </c>
      <c r="M472" s="165" t="n">
        <v>39</v>
      </c>
      <c r="N472" s="16" t="n">
        <f aca="false" ca="false" dt2D="false" dtr="false" t="normal">SUM(P472:T472)</f>
        <v>3298923.58</v>
      </c>
      <c r="O472" s="18" t="n"/>
      <c r="P472" s="18" t="n">
        <v>1410277.86600001</v>
      </c>
      <c r="Q472" s="18" t="n"/>
      <c r="R472" s="18" t="n"/>
      <c r="S472" s="18" t="n">
        <v>1888645.71399999</v>
      </c>
      <c r="T472" s="18" t="n"/>
      <c r="U472" s="18" t="n">
        <v>6431.09330634925</v>
      </c>
      <c r="V472" s="18" t="n">
        <v>6431.09330634925</v>
      </c>
      <c r="W472" s="21" t="n">
        <v>2023</v>
      </c>
      <c r="X472" s="1" t="n">
        <f aca="false" ca="false" dt2D="false" dtr="false" t="normal">559628.74-472211.3</f>
        <v>87417.44</v>
      </c>
      <c r="Y472" s="3" t="n">
        <f aca="false" ca="false" dt2D="false" dtr="false" t="normal">+(K472*10+L472*20)*12*0.85</f>
        <v>144370.8</v>
      </c>
      <c r="Z472" s="3" t="n">
        <f aca="false" ca="false" dt2D="false" dtr="false" t="normal">+(K472*10+L472*20)*12*30-628714.2721</f>
        <v>4466725.7279</v>
      </c>
      <c r="AB472" s="23" t="n">
        <f aca="false" ca="true" dt2D="false" dtr="false" t="normal">SUBTOTAL(9, AC472:AQ472)</f>
        <v>3298923.58</v>
      </c>
      <c r="AC472" s="17" t="n"/>
      <c r="AD472" s="18" t="n"/>
      <c r="AE472" s="18" t="n"/>
      <c r="AF472" s="18" t="n">
        <v>0</v>
      </c>
      <c r="AG472" s="18" t="n">
        <v>0</v>
      </c>
      <c r="AH472" s="18" t="n"/>
      <c r="AI472" s="18" t="n"/>
      <c r="AJ472" s="18" t="n">
        <v>0</v>
      </c>
      <c r="AK472" s="18" t="n">
        <v>0</v>
      </c>
      <c r="AL472" s="18" t="n">
        <v>0</v>
      </c>
      <c r="AM472" s="18" t="n">
        <v>0</v>
      </c>
      <c r="AN472" s="18" t="n">
        <v>3298923.58</v>
      </c>
      <c r="AO472" s="18" t="n"/>
      <c r="AP472" s="18" t="n"/>
      <c r="AQ472" s="24" t="n"/>
      <c r="AR472" s="3" t="n"/>
    </row>
    <row outlineLevel="0" r="473">
      <c r="A473" s="5" t="n">
        <f aca="false" ca="false" dt2D="false" dtr="false" t="normal">+A472+1</f>
        <v>454</v>
      </c>
      <c r="B473" s="6" t="n">
        <v>235</v>
      </c>
      <c r="C473" s="6" t="s">
        <v>119</v>
      </c>
      <c r="D473" s="6" t="s">
        <v>129</v>
      </c>
      <c r="E473" s="164" t="n">
        <v>1979</v>
      </c>
      <c r="F473" s="164" t="n">
        <v>1979</v>
      </c>
      <c r="G473" s="164" t="s">
        <v>4</v>
      </c>
      <c r="H473" s="164" t="n">
        <v>4</v>
      </c>
      <c r="I473" s="164" t="n">
        <v>2</v>
      </c>
      <c r="J473" s="18" t="n">
        <v>1251.7</v>
      </c>
      <c r="K473" s="18" t="n">
        <v>1251.7</v>
      </c>
      <c r="L473" s="18" t="n">
        <v>0</v>
      </c>
      <c r="M473" s="165" t="n">
        <v>44</v>
      </c>
      <c r="N473" s="16" t="n">
        <f aca="false" ca="false" dt2D="false" dtr="false" t="normal">SUM(P473:T473)</f>
        <v>3158936.6999999997</v>
      </c>
      <c r="O473" s="18" t="n"/>
      <c r="P473" s="18" t="n">
        <v>868511.4615</v>
      </c>
      <c r="Q473" s="18" t="n"/>
      <c r="R473" s="18" t="n">
        <v>143042.91</v>
      </c>
      <c r="S473" s="18" t="n">
        <v>2147382.3285</v>
      </c>
      <c r="T473" s="18" t="n"/>
      <c r="U473" s="18" t="n">
        <v>7740.19833696184</v>
      </c>
      <c r="V473" s="18" t="n">
        <v>7740.19833696184</v>
      </c>
      <c r="W473" s="21" t="n">
        <v>2023</v>
      </c>
      <c r="X473" s="12" t="n">
        <f aca="false" ca="false" dt2D="false" dtr="false" t="normal">438075.68</f>
        <v>438075.68</v>
      </c>
      <c r="Y473" s="3" t="n">
        <f aca="false" ca="false" dt2D="false" dtr="false" t="normal">+(K473*10+L473*20)*12*0.85</f>
        <v>127673.4</v>
      </c>
      <c r="Z473" s="3" t="n">
        <f aca="false" ca="false" dt2D="false" dtr="false" t="normal">+(K473*10+L473*20)*12*30-1289981.92</f>
        <v>3216138.08</v>
      </c>
      <c r="AB473" s="23" t="n">
        <f aca="false" ca="true" dt2D="false" dtr="false" t="normal">SUBTOTAL(9, AC473:AQ473)</f>
        <v>3158936.6999999997</v>
      </c>
      <c r="AC473" s="17" t="n"/>
      <c r="AD473" s="18" t="n"/>
      <c r="AE473" s="18" t="n"/>
      <c r="AF473" s="18" t="n">
        <v>316550.13</v>
      </c>
      <c r="AG473" s="18" t="n">
        <v>0</v>
      </c>
      <c r="AH473" s="18" t="n"/>
      <c r="AI473" s="18" t="n"/>
      <c r="AJ473" s="18" t="n">
        <v>0</v>
      </c>
      <c r="AK473" s="18" t="n">
        <v>0</v>
      </c>
      <c r="AL473" s="18" t="n">
        <v>0</v>
      </c>
      <c r="AM473" s="18" t="n">
        <v>0</v>
      </c>
      <c r="AN473" s="18" t="n">
        <v>2842386.57</v>
      </c>
      <c r="AO473" s="18" t="n"/>
      <c r="AP473" s="18" t="n"/>
      <c r="AQ473" s="24" t="n"/>
      <c r="AR473" s="3" t="n"/>
    </row>
    <row outlineLevel="0" r="474">
      <c r="A474" s="5" t="n">
        <f aca="false" ca="false" dt2D="false" dtr="false" t="normal">+A473+1</f>
        <v>455</v>
      </c>
      <c r="B474" s="6" t="n">
        <v>236</v>
      </c>
      <c r="C474" s="6" t="s">
        <v>119</v>
      </c>
      <c r="D474" s="6" t="s">
        <v>131</v>
      </c>
      <c r="E474" s="164" t="n">
        <v>1972</v>
      </c>
      <c r="F474" s="164" t="n">
        <v>1972</v>
      </c>
      <c r="G474" s="164" t="s">
        <v>4</v>
      </c>
      <c r="H474" s="164" t="n">
        <v>4</v>
      </c>
      <c r="I474" s="164" t="n">
        <v>2</v>
      </c>
      <c r="J474" s="18" t="n">
        <v>1471.5</v>
      </c>
      <c r="K474" s="18" t="n">
        <v>1257.9</v>
      </c>
      <c r="L474" s="18" t="n">
        <v>0</v>
      </c>
      <c r="M474" s="165" t="n">
        <v>37</v>
      </c>
      <c r="N474" s="16" t="n">
        <f aca="false" ca="false" dt2D="false" dtr="false" t="normal">SUM(P474:T474)</f>
        <v>5454094.26</v>
      </c>
      <c r="O474" s="18" t="n"/>
      <c r="P474" s="18" t="n">
        <v>3266723.87134463</v>
      </c>
      <c r="Q474" s="18" t="n"/>
      <c r="R474" s="18" t="n"/>
      <c r="S474" s="18" t="n">
        <v>2187370.38865537</v>
      </c>
      <c r="T474" s="18" t="n"/>
      <c r="U474" s="18" t="n">
        <v>5285.59583227029</v>
      </c>
      <c r="V474" s="18" t="n">
        <v>5285.59583227029</v>
      </c>
      <c r="W474" s="21" t="n">
        <v>2023</v>
      </c>
      <c r="X474" s="1" t="n">
        <f aca="false" ca="false" dt2D="false" dtr="false" t="normal">337730.12</f>
        <v>337730.12</v>
      </c>
      <c r="Y474" s="3" t="n">
        <f aca="false" ca="false" dt2D="false" dtr="false" t="normal">+(K474*10+L474*20)*12*0.85</f>
        <v>128305.8</v>
      </c>
      <c r="Z474" s="3" t="n">
        <f aca="false" ca="false" dt2D="false" dtr="false" t="normal">+(K474*10+L474*20)*12*30</f>
        <v>4528440</v>
      </c>
      <c r="AB474" s="23" t="n">
        <f aca="false" ca="true" dt2D="false" dtr="false" t="normal">SUBTOTAL(9, AC474:AQ474)</f>
        <v>5454094.26</v>
      </c>
      <c r="AC474" s="17" t="n">
        <v>0</v>
      </c>
      <c r="AD474" s="18" t="n">
        <v>0</v>
      </c>
      <c r="AE474" s="18" t="n">
        <v>0</v>
      </c>
      <c r="AF474" s="18" t="n">
        <v>0</v>
      </c>
      <c r="AG474" s="18" t="n">
        <v>0</v>
      </c>
      <c r="AH474" s="18" t="n"/>
      <c r="AI474" s="18" t="n"/>
      <c r="AJ474" s="18" t="n">
        <v>0</v>
      </c>
      <c r="AK474" s="18" t="n">
        <v>0</v>
      </c>
      <c r="AL474" s="18" t="n">
        <v>0</v>
      </c>
      <c r="AM474" s="18" t="n">
        <v>5454094.26</v>
      </c>
      <c r="AN474" s="18" t="n"/>
      <c r="AO474" s="18" t="n"/>
      <c r="AP474" s="18" t="n"/>
      <c r="AQ474" s="24" t="n"/>
      <c r="AR474" s="3" t="n"/>
    </row>
    <row outlineLevel="0" r="475">
      <c r="A475" s="5" t="n">
        <f aca="false" ca="false" dt2D="false" dtr="false" t="normal">+A474+1</f>
        <v>456</v>
      </c>
      <c r="B475" s="6" t="n">
        <v>237</v>
      </c>
      <c r="C475" s="138" t="s">
        <v>133</v>
      </c>
      <c r="D475" s="138" t="s">
        <v>134</v>
      </c>
      <c r="E475" s="139" t="n">
        <v>1989</v>
      </c>
      <c r="F475" s="139" t="n">
        <v>2013</v>
      </c>
      <c r="G475" s="139" t="s">
        <v>4</v>
      </c>
      <c r="H475" s="139" t="n">
        <v>4</v>
      </c>
      <c r="I475" s="139" t="n">
        <v>2</v>
      </c>
      <c r="J475" s="17" t="n">
        <v>1529.1</v>
      </c>
      <c r="K475" s="17" t="n">
        <v>1348.1</v>
      </c>
      <c r="L475" s="17" t="n">
        <v>0</v>
      </c>
      <c r="M475" s="140" t="n">
        <v>46</v>
      </c>
      <c r="N475" s="16" t="n">
        <f aca="false" ca="false" dt2D="false" dtr="false" t="normal">SUM(P475:T475)</f>
        <v>5770612.33</v>
      </c>
      <c r="O475" s="17" t="n"/>
      <c r="P475" s="18" t="n">
        <v>3305050.92</v>
      </c>
      <c r="Q475" s="18" t="n"/>
      <c r="R475" s="18" t="n">
        <v>444526.31</v>
      </c>
      <c r="S475" s="18" t="n">
        <v>2021035.1</v>
      </c>
      <c r="T475" s="18" t="n"/>
      <c r="U475" s="17" t="n">
        <v>5519.69417137156</v>
      </c>
      <c r="V475" s="17" t="n">
        <v>5519.69417137156</v>
      </c>
      <c r="W475" s="21" t="n">
        <v>2023</v>
      </c>
      <c r="X475" s="1" t="n">
        <v>579070.04</v>
      </c>
      <c r="Y475" s="3" t="n">
        <f aca="false" ca="false" dt2D="false" dtr="false" t="normal">+(K475*10+L475*20)*12*0.85</f>
        <v>137506.19999999998</v>
      </c>
      <c r="Z475" s="3" t="n">
        <f aca="false" ca="false" dt2D="false" dtr="false" t="normal">+(K475*10+L475*20)*12*30</f>
        <v>4853160</v>
      </c>
      <c r="AB475" s="23" t="n">
        <f aca="false" ca="true" dt2D="false" dtr="false" t="normal">SUBTOTAL(9, AC475:AQ475)</f>
        <v>5770612.33</v>
      </c>
      <c r="AC475" s="18" t="n"/>
      <c r="AD475" s="18" t="n"/>
      <c r="AE475" s="18" t="n">
        <v>0</v>
      </c>
      <c r="AF475" s="18" t="n">
        <v>0</v>
      </c>
      <c r="AG475" s="18" t="n">
        <v>0</v>
      </c>
      <c r="AH475" s="18" t="n"/>
      <c r="AI475" s="18" t="n"/>
      <c r="AJ475" s="18" t="n">
        <v>0</v>
      </c>
      <c r="AK475" s="18" t="n">
        <v>5770612.33</v>
      </c>
      <c r="AL475" s="18" t="n">
        <v>0</v>
      </c>
      <c r="AM475" s="18" t="n">
        <v>0</v>
      </c>
      <c r="AN475" s="18" t="n">
        <v>0</v>
      </c>
      <c r="AO475" s="18" t="n"/>
      <c r="AP475" s="18" t="n"/>
      <c r="AQ475" s="24" t="n"/>
      <c r="AR475" s="3" t="n"/>
    </row>
    <row outlineLevel="0" r="476">
      <c r="A476" s="5" t="n">
        <f aca="false" ca="false" dt2D="false" dtr="false" t="normal">+A475+1</f>
        <v>457</v>
      </c>
      <c r="B476" s="6" t="n">
        <v>238</v>
      </c>
      <c r="C476" s="138" t="s">
        <v>133</v>
      </c>
      <c r="D476" s="138" t="s">
        <v>136</v>
      </c>
      <c r="E476" s="139" t="n">
        <v>1988</v>
      </c>
      <c r="F476" s="139" t="n">
        <v>2013</v>
      </c>
      <c r="G476" s="139" t="s">
        <v>4</v>
      </c>
      <c r="H476" s="139" t="n">
        <v>3</v>
      </c>
      <c r="I476" s="139" t="n">
        <v>3</v>
      </c>
      <c r="J476" s="17" t="n">
        <v>1390.3</v>
      </c>
      <c r="K476" s="17" t="n">
        <v>1293.32</v>
      </c>
      <c r="L476" s="17" t="n">
        <v>0</v>
      </c>
      <c r="M476" s="140" t="n">
        <v>45</v>
      </c>
      <c r="N476" s="16" t="n">
        <f aca="false" ca="false" dt2D="false" dtr="false" t="normal">SUM(P476:T476)</f>
        <v>7256814.72</v>
      </c>
      <c r="O476" s="17" t="n"/>
      <c r="P476" s="18" t="n">
        <v>814890.639999999</v>
      </c>
      <c r="Q476" s="18" t="n"/>
      <c r="R476" s="18" t="n">
        <v>668271.06</v>
      </c>
      <c r="S476" s="18" t="n">
        <v>4475429.462426</v>
      </c>
      <c r="T476" s="18" t="n">
        <v>1298223.557574</v>
      </c>
      <c r="U476" s="17" t="n">
        <v>7207.47290536449</v>
      </c>
      <c r="V476" s="17" t="n">
        <v>7207.47290536449</v>
      </c>
      <c r="W476" s="21" t="n">
        <v>2023</v>
      </c>
      <c r="X476" s="1" t="n">
        <f aca="false" ca="false" dt2D="false" dtr="false" t="normal">536959.76-224352.09</f>
        <v>312607.67000000004</v>
      </c>
      <c r="Y476" s="3" t="n">
        <f aca="false" ca="false" dt2D="false" dtr="false" t="normal">+(K476*10+L476*20)*12*0.85</f>
        <v>131918.63999999998</v>
      </c>
      <c r="Z476" s="3" t="n">
        <f aca="false" ca="false" dt2D="false" dtr="false" t="normal">+(K476*10+L476*20)*12*30-1061869.95</f>
        <v>3594082.05</v>
      </c>
      <c r="AB476" s="23" t="n">
        <f aca="false" ca="true" dt2D="false" dtr="false" t="normal">SUBTOTAL(9, AC476:AQ476)</f>
        <v>7256814.72</v>
      </c>
      <c r="AC476" s="18" t="n">
        <v>0</v>
      </c>
      <c r="AD476" s="18" t="n">
        <v>0</v>
      </c>
      <c r="AE476" s="18" t="n">
        <v>0</v>
      </c>
      <c r="AF476" s="18" t="n">
        <v>0</v>
      </c>
      <c r="AG476" s="18" t="n">
        <v>0</v>
      </c>
      <c r="AH476" s="18" t="n"/>
      <c r="AI476" s="18" t="n"/>
      <c r="AJ476" s="18" t="n">
        <v>0</v>
      </c>
      <c r="AK476" s="18" t="n">
        <v>7256814.72</v>
      </c>
      <c r="AL476" s="18" t="n">
        <v>0</v>
      </c>
      <c r="AM476" s="18" t="n"/>
      <c r="AN476" s="18" t="n">
        <v>0</v>
      </c>
      <c r="AO476" s="18" t="n"/>
      <c r="AP476" s="18" t="n"/>
      <c r="AQ476" s="24" t="n"/>
      <c r="AR476" s="3" t="n"/>
    </row>
    <row outlineLevel="0" r="477">
      <c r="A477" s="5" t="n">
        <f aca="false" ca="false" dt2D="false" dtr="false" t="normal">+A476+1</f>
        <v>458</v>
      </c>
      <c r="B477" s="6" t="n">
        <v>239</v>
      </c>
      <c r="C477" s="6" t="s">
        <v>138</v>
      </c>
      <c r="D477" s="6" t="s">
        <v>139</v>
      </c>
      <c r="E477" s="164" t="n">
        <v>1978</v>
      </c>
      <c r="F477" s="164" t="n">
        <v>2011</v>
      </c>
      <c r="G477" s="164" t="s">
        <v>4</v>
      </c>
      <c r="H477" s="164" t="n">
        <v>4</v>
      </c>
      <c r="I477" s="164" t="n">
        <v>4</v>
      </c>
      <c r="J477" s="18" t="n">
        <v>3928.1</v>
      </c>
      <c r="K477" s="18" t="n">
        <v>3427.4</v>
      </c>
      <c r="L477" s="18" t="n">
        <v>412.7</v>
      </c>
      <c r="M477" s="165" t="n">
        <v>110</v>
      </c>
      <c r="N477" s="16" t="n">
        <f aca="false" ca="false" dt2D="false" dtr="false" t="normal">SUM(P477:T477)</f>
        <v>6397046.15</v>
      </c>
      <c r="O477" s="18" t="n"/>
      <c r="P477" s="18" t="n">
        <v>357289.05</v>
      </c>
      <c r="Q477" s="18" t="n"/>
      <c r="R477" s="18" t="n">
        <v>2262800.45</v>
      </c>
      <c r="S477" s="18" t="n">
        <v>3776956.65</v>
      </c>
      <c r="T477" s="18" t="n">
        <v>0</v>
      </c>
      <c r="U477" s="18" t="n">
        <v>1616.9992983324</v>
      </c>
      <c r="V477" s="18" t="n">
        <v>1616.9992983324</v>
      </c>
      <c r="W477" s="21" t="n">
        <v>2023</v>
      </c>
      <c r="X477" s="1" t="n">
        <v>1829014.85</v>
      </c>
      <c r="Y477" s="3" t="n">
        <f aca="false" ca="false" dt2D="false" dtr="false" t="normal">+(K477*10+L477*20)*12*0.85</f>
        <v>433785.6</v>
      </c>
      <c r="Z477" s="3" t="n">
        <f aca="false" ca="false" dt2D="false" dtr="false" t="normal">+(K477*10+L477*20)*12*30</f>
        <v>15310080</v>
      </c>
      <c r="AB477" s="23" t="n">
        <f aca="false" ca="true" dt2D="false" dtr="false" t="normal">SUBTOTAL(9, AC477:AQ477)</f>
        <v>6397046.15</v>
      </c>
      <c r="AC477" s="17" t="n">
        <v>0</v>
      </c>
      <c r="AD477" s="18" t="n">
        <v>0</v>
      </c>
      <c r="AE477" s="18" t="n">
        <v>0</v>
      </c>
      <c r="AF477" s="18" t="n">
        <v>0</v>
      </c>
      <c r="AG477" s="18" t="n">
        <v>0</v>
      </c>
      <c r="AH477" s="18" t="n"/>
      <c r="AI477" s="18" t="n"/>
      <c r="AJ477" s="18" t="n">
        <v>0</v>
      </c>
      <c r="AK477" s="18" t="n">
        <v>0</v>
      </c>
      <c r="AL477" s="18" t="n">
        <v>0</v>
      </c>
      <c r="AM477" s="18" t="n">
        <v>0</v>
      </c>
      <c r="AN477" s="18" t="n">
        <v>6397046.15</v>
      </c>
      <c r="AO477" s="18" t="n"/>
      <c r="AP477" s="18" t="n"/>
      <c r="AQ477" s="24" t="n"/>
      <c r="AR477" s="3" t="n"/>
    </row>
    <row outlineLevel="0" r="478">
      <c r="A478" s="5" t="n">
        <f aca="false" ca="false" dt2D="false" dtr="false" t="normal">+A477+1</f>
        <v>459</v>
      </c>
      <c r="B478" s="6" t="n">
        <v>240</v>
      </c>
      <c r="C478" s="138" t="s">
        <v>141</v>
      </c>
      <c r="D478" s="138" t="s">
        <v>142</v>
      </c>
      <c r="E478" s="139" t="n">
        <v>1970</v>
      </c>
      <c r="F478" s="139" t="n">
        <v>2010</v>
      </c>
      <c r="G478" s="139" t="s">
        <v>4</v>
      </c>
      <c r="H478" s="139" t="n">
        <v>5</v>
      </c>
      <c r="I478" s="139" t="n">
        <v>4</v>
      </c>
      <c r="J478" s="17" t="n">
        <v>3258</v>
      </c>
      <c r="K478" s="17" t="n">
        <v>3018.9</v>
      </c>
      <c r="L478" s="17" t="n">
        <v>0</v>
      </c>
      <c r="M478" s="140" t="n">
        <v>132</v>
      </c>
      <c r="N478" s="16" t="n">
        <f aca="false" ca="false" dt2D="false" dtr="false" t="normal">SUM(P478:T478)</f>
        <v>9357328.82</v>
      </c>
      <c r="O478" s="18" t="n"/>
      <c r="P478" s="18" t="n">
        <v>919348.41</v>
      </c>
      <c r="Q478" s="18" t="n"/>
      <c r="R478" s="18" t="n">
        <v>652968.1</v>
      </c>
      <c r="S478" s="18" t="n">
        <v>7785012.31</v>
      </c>
      <c r="T478" s="18" t="n"/>
      <c r="U478" s="18" t="n">
        <v>4397.22658584253</v>
      </c>
      <c r="V478" s="18" t="n">
        <v>4397.22658584253</v>
      </c>
      <c r="W478" s="21" t="n">
        <v>2023</v>
      </c>
      <c r="X478" s="1" t="n">
        <f aca="false" ca="false" dt2D="false" dtr="false" t="normal">1025494.69-680454.39</f>
        <v>345040.29999999993</v>
      </c>
      <c r="Y478" s="3" t="n">
        <f aca="false" ca="false" dt2D="false" dtr="false" t="normal">+(K478*10+L478*20)*12*0.85</f>
        <v>307927.8</v>
      </c>
      <c r="Z478" s="3" t="n">
        <f aca="false" ca="false" dt2D="false" dtr="false" t="normal">+(K478*10+L478*20)*12*30-16805.39</f>
        <v>10851234.61</v>
      </c>
      <c r="AB478" s="23" t="n">
        <f aca="false" ca="true" dt2D="false" dtr="false" t="normal">SUBTOTAL(9, AC478:AQ478)</f>
        <v>9357328.82</v>
      </c>
      <c r="AC478" s="18" t="n">
        <v>0</v>
      </c>
      <c r="AD478" s="18" t="n">
        <v>0</v>
      </c>
      <c r="AE478" s="18" t="n">
        <v>0</v>
      </c>
      <c r="AF478" s="18" t="n">
        <v>0</v>
      </c>
      <c r="AG478" s="18" t="n">
        <v>0</v>
      </c>
      <c r="AH478" s="18" t="n"/>
      <c r="AI478" s="18" t="n"/>
      <c r="AJ478" s="18" t="n">
        <v>0</v>
      </c>
      <c r="AK478" s="18" t="n">
        <v>0</v>
      </c>
      <c r="AL478" s="18" t="n">
        <v>0</v>
      </c>
      <c r="AM478" s="18" t="n">
        <v>7030996.8</v>
      </c>
      <c r="AN478" s="18" t="n">
        <v>2326332.02</v>
      </c>
      <c r="AO478" s="18" t="n"/>
      <c r="AP478" s="18" t="n"/>
      <c r="AQ478" s="24" t="n"/>
      <c r="AR478" s="3" t="n"/>
    </row>
    <row customFormat="true" customHeight="true" ht="17.25" outlineLevel="0" r="479" s="166">
      <c r="D479" s="167" t="n">
        <v>2024</v>
      </c>
      <c r="E479" s="168" t="n"/>
      <c r="F479" s="168" t="n"/>
      <c r="G479" s="168" t="n"/>
      <c r="H479" s="168" t="n"/>
      <c r="I479" s="168" t="n"/>
      <c r="J479" s="169" t="n">
        <v>1266954.24</v>
      </c>
      <c r="K479" s="169" t="n">
        <v>1040521.33</v>
      </c>
      <c r="L479" s="169" t="n">
        <v>65032.14</v>
      </c>
      <c r="M479" s="169" t="n">
        <v>44027</v>
      </c>
      <c r="N479" s="170" t="n">
        <f aca="false" ca="false" dt2D="false" dtr="false" t="normal">N480+N702+N705+N825+N845</f>
        <v>2851662785.2433095</v>
      </c>
      <c r="O479" s="170" t="n">
        <f aca="false" ca="false" dt2D="false" dtr="false" t="normal">O480+O702+O705+O825+O845</f>
        <v>0</v>
      </c>
      <c r="P479" s="170" t="n">
        <f aca="false" ca="false" dt2D="false" dtr="false" t="normal">P480+P702+P705+P825+P845</f>
        <v>578930502.9999996</v>
      </c>
      <c r="Q479" s="170" t="n">
        <f aca="false" ca="false" dt2D="false" dtr="false" t="normal">Q480+Q702+Q705+Q825+Q845</f>
        <v>116703642.41</v>
      </c>
      <c r="R479" s="170" t="n">
        <f aca="false" ca="false" dt2D="false" dtr="false" t="normal">R480+R702+R705+R825+R845</f>
        <v>409853328.8269999</v>
      </c>
      <c r="S479" s="170" t="n">
        <f aca="false" ca="false" dt2D="false" dtr="false" t="normal">S480+S702+S705+S825+S845</f>
        <v>1119316326.920414</v>
      </c>
      <c r="T479" s="170" t="n">
        <f aca="false" ca="false" dt2D="false" dtr="false" t="normal">T480+T702+T705+T825+T845</f>
        <v>626858984.0858961</v>
      </c>
      <c r="U479" s="171" t="n"/>
      <c r="V479" s="171" t="n"/>
      <c r="W479" s="172" t="n"/>
      <c r="Y479" s="173" t="n"/>
      <c r="Z479" s="173" t="n"/>
      <c r="AA479" s="173" t="n"/>
      <c r="AB479" s="170" t="n">
        <f aca="false" ca="false" dt2D="false" dtr="false" t="normal">SUM(AB481:AB699)</f>
        <v>1837735975.4199996</v>
      </c>
      <c r="AC479" s="170" t="n">
        <f aca="false" ca="false" dt2D="false" dtr="false" t="normal">SUM(AC481:AC699)</f>
        <v>287951634.03000003</v>
      </c>
      <c r="AD479" s="170" t="n">
        <f aca="false" ca="false" dt2D="false" dtr="false" t="normal">SUM(AD481:AD699)</f>
        <v>84485944.78000002</v>
      </c>
      <c r="AE479" s="170" t="n">
        <f aca="false" ca="false" dt2D="false" dtr="false" t="normal">SUM(AE481:AE699)</f>
        <v>152642515.99</v>
      </c>
      <c r="AF479" s="170" t="n">
        <f aca="false" ca="false" dt2D="false" dtr="false" t="normal">SUM(AF481:AF699)</f>
        <v>85378295.59</v>
      </c>
      <c r="AG479" s="170" t="n">
        <f aca="false" ca="false" dt2D="false" dtr="false" t="normal">SUM(AG481:AG699)</f>
        <v>27454928.64</v>
      </c>
      <c r="AH479" s="170" t="n">
        <f aca="false" ca="false" dt2D="false" dtr="false" t="normal">SUM(AH481:AH699)</f>
        <v>0</v>
      </c>
      <c r="AI479" s="170" t="n">
        <f aca="false" ca="false" dt2D="false" dtr="false" t="normal">SUM(AI481:AI699)</f>
        <v>0</v>
      </c>
      <c r="AJ479" s="170" t="n">
        <f aca="false" ca="false" dt2D="false" dtr="false" t="normal">SUM(AJ481:AJ699)</f>
        <v>93382142.57999998</v>
      </c>
      <c r="AK479" s="170" t="n">
        <f aca="false" ca="false" dt2D="false" dtr="false" t="normal">SUM(AK481:AK699)</f>
        <v>250643494.09</v>
      </c>
      <c r="AL479" s="170" t="n">
        <f aca="false" ca="false" dt2D="false" dtr="false" t="normal">SUM(AL481:AL699)</f>
        <v>49526316.78</v>
      </c>
      <c r="AM479" s="170" t="n">
        <f aca="false" ca="false" dt2D="false" dtr="false" t="normal">SUM(AM481:AM699)</f>
        <v>723764749.08</v>
      </c>
      <c r="AN479" s="170" t="n">
        <f aca="false" ca="false" dt2D="false" dtr="false" t="normal">SUM(AN481:AN699)</f>
        <v>76339918.75000001</v>
      </c>
      <c r="AO479" s="170" t="n">
        <f aca="false" ca="false" dt2D="false" dtr="false" t="normal">SUM(AO481:AO699)</f>
        <v>4354572.79</v>
      </c>
      <c r="AP479" s="170" t="n">
        <f aca="false" ca="false" dt2D="false" dtr="false" t="normal">SUM(AP481:AP699)</f>
        <v>1446986.04</v>
      </c>
      <c r="AQ479" s="174" t="n">
        <f aca="false" ca="false" dt2D="false" dtr="false" t="normal">SUM(AQ481:AQ699)</f>
        <v>364476.27999999997</v>
      </c>
      <c r="AR479" s="174" t="n">
        <f aca="false" ca="false" dt2D="false" dtr="false" t="normal">SUM(AR481:AR699)</f>
        <v>337</v>
      </c>
      <c r="AT479" s="173" t="n"/>
    </row>
    <row customFormat="true" customHeight="true" ht="17.25" outlineLevel="0" r="480" s="166">
      <c r="A480" s="175" t="n"/>
      <c r="B480" s="175" t="n"/>
      <c r="C480" s="175" t="n"/>
      <c r="D480" s="176" t="s">
        <v>145</v>
      </c>
      <c r="E480" s="177" t="n"/>
      <c r="F480" s="177" t="n"/>
      <c r="G480" s="177" t="n"/>
      <c r="H480" s="177" t="n"/>
      <c r="I480" s="177" t="n"/>
      <c r="J480" s="178" t="n">
        <v>856798.89</v>
      </c>
      <c r="K480" s="178" t="n">
        <v>703501.03</v>
      </c>
      <c r="L480" s="178" t="n">
        <v>38673.76</v>
      </c>
      <c r="M480" s="178" t="n">
        <v>30008</v>
      </c>
      <c r="N480" s="179" t="n">
        <f aca="false" ca="false" dt2D="false" dtr="false" t="normal">SUM(N481:N701)</f>
        <v>1839828629.62</v>
      </c>
      <c r="O480" s="179" t="n">
        <f aca="false" ca="false" dt2D="false" dtr="false" t="normal">SUM(O481:O701)</f>
        <v>0</v>
      </c>
      <c r="P480" s="179" t="n">
        <f aca="false" ca="false" dt2D="false" dtr="false" t="normal">SUM(P481:P701)</f>
        <v>574319970.5999997</v>
      </c>
      <c r="Q480" s="179" t="n">
        <f aca="false" ca="false" dt2D="false" dtr="false" t="normal">SUM(Q481:Q701)</f>
        <v>8877562.42</v>
      </c>
      <c r="R480" s="179" t="n">
        <f aca="false" ca="false" dt2D="false" dtr="false" t="normal">SUM(R481:R701)</f>
        <v>257330740.98699993</v>
      </c>
      <c r="S480" s="179" t="n">
        <f aca="false" ca="false" dt2D="false" dtr="false" t="normal">SUM(S481:S701)</f>
        <v>847690726.2230002</v>
      </c>
      <c r="T480" s="179" t="n">
        <f aca="false" ca="false" dt2D="false" dtr="false" t="normal">SUM(T481:T701)</f>
        <v>151609629.38999993</v>
      </c>
      <c r="U480" s="180" t="n"/>
      <c r="V480" s="180" t="n"/>
      <c r="W480" s="181" t="n"/>
      <c r="Y480" s="173" t="n"/>
      <c r="Z480" s="173" t="n"/>
      <c r="AA480" s="173" t="n"/>
      <c r="AB480" s="182" t="n"/>
      <c r="AC480" s="170" t="n"/>
      <c r="AD480" s="170" t="n"/>
      <c r="AE480" s="170" t="n"/>
      <c r="AF480" s="170" t="n"/>
      <c r="AG480" s="170" t="n"/>
      <c r="AH480" s="170" t="n"/>
      <c r="AI480" s="170" t="n"/>
      <c r="AJ480" s="170" t="n"/>
      <c r="AK480" s="170" t="n"/>
      <c r="AL480" s="170" t="n"/>
      <c r="AM480" s="170" t="n"/>
      <c r="AN480" s="170" t="n"/>
      <c r="AO480" s="170" t="n"/>
      <c r="AP480" s="170" t="n"/>
      <c r="AQ480" s="174" t="n"/>
      <c r="AR480" s="183" t="n"/>
      <c r="AT480" s="173" t="n"/>
    </row>
    <row customFormat="true" ht="15.75" outlineLevel="0" r="481" s="184">
      <c r="A481" s="5" t="n">
        <v>460</v>
      </c>
      <c r="B481" s="6" t="n">
        <v>1</v>
      </c>
      <c r="C481" s="138" t="s">
        <v>147</v>
      </c>
      <c r="D481" s="138" t="s">
        <v>148</v>
      </c>
      <c r="E481" s="139" t="s">
        <v>149</v>
      </c>
      <c r="F481" s="139" t="n"/>
      <c r="G481" s="139" t="s">
        <v>4</v>
      </c>
      <c r="H481" s="139" t="s">
        <v>150</v>
      </c>
      <c r="I481" s="139" t="s">
        <v>151</v>
      </c>
      <c r="J481" s="17" t="n">
        <v>11221.5</v>
      </c>
      <c r="K481" s="17" t="n">
        <v>7503.7</v>
      </c>
      <c r="L481" s="17" t="n">
        <v>56.5</v>
      </c>
      <c r="M481" s="140" t="n">
        <v>285</v>
      </c>
      <c r="N481" s="16" t="n">
        <f aca="false" ca="false" dt2D="false" dtr="false" t="normal">P481+Q481+R481+S481+T481</f>
        <v>9000055.33</v>
      </c>
      <c r="O481" s="17" t="n">
        <v>0</v>
      </c>
      <c r="P481" s="18" t="n">
        <v>0</v>
      </c>
      <c r="Q481" s="18" t="n"/>
      <c r="R481" s="16" t="n">
        <v>6285769.8</v>
      </c>
      <c r="S481" s="16" t="n">
        <v>2714285.53</v>
      </c>
      <c r="T481" s="27" t="n">
        <v>0</v>
      </c>
      <c r="U481" s="18" t="n">
        <v>1707.57759505311</v>
      </c>
      <c r="V481" s="18" t="n">
        <v>1172.283020064</v>
      </c>
      <c r="W481" s="21" t="n">
        <v>2024</v>
      </c>
      <c r="X481" s="184" t="n">
        <v>5336292.42</v>
      </c>
      <c r="Y481" s="3" t="n">
        <f aca="false" ca="false" dt2D="false" dtr="false" t="normal">+(K481*15.35+L481*26.02)*12*0.85</f>
        <v>1189849.635</v>
      </c>
      <c r="Z481" s="3" t="n">
        <f aca="false" ca="false" dt2D="false" dtr="false" t="normal">+(K481*15.35+L481*26.02)*12*30</f>
        <v>41994693</v>
      </c>
      <c r="AA481" s="3" t="n">
        <f aca="false" ca="false" dt2D="false" dtr="false" t="normal">+N481-AB481</f>
        <v>0</v>
      </c>
      <c r="AB481" s="27" t="n">
        <f aca="false" ca="false" dt2D="false" dtr="false" t="normal">SUM(AC481:AQ481)</f>
        <v>9000055.33</v>
      </c>
      <c r="AC481" s="17" t="n">
        <v>0</v>
      </c>
      <c r="AD481" s="18" t="n">
        <v>0</v>
      </c>
      <c r="AE481" s="18" t="n">
        <v>0</v>
      </c>
      <c r="AF481" s="17" t="n">
        <v>0</v>
      </c>
      <c r="AG481" s="18" t="n"/>
      <c r="AH481" s="18" t="n">
        <v>0</v>
      </c>
      <c r="AI481" s="17" t="n"/>
      <c r="AJ481" s="18" t="n">
        <v>8487529.33</v>
      </c>
      <c r="AK481" s="18" t="n">
        <v>0</v>
      </c>
      <c r="AL481" s="17" t="n">
        <v>0</v>
      </c>
      <c r="AM481" s="18" t="n">
        <v>0</v>
      </c>
      <c r="AN481" s="18" t="n">
        <v>0</v>
      </c>
      <c r="AO481" s="18" t="n">
        <v>384394.5</v>
      </c>
      <c r="AP481" s="18" t="n">
        <v>128131.5</v>
      </c>
      <c r="AQ481" s="185" t="n"/>
      <c r="AR481" s="186" t="n">
        <f aca="false" ca="false" dt2D="false" dtr="false" t="normal">COUNTIF(AC481:AN481, "&gt;0")</f>
        <v>1</v>
      </c>
      <c r="AT481" s="187" t="n"/>
    </row>
    <row ht="15.75" outlineLevel="0" r="482">
      <c r="A482" s="5" t="n">
        <f aca="false" ca="false" dt2D="false" dtr="false" t="normal">A481+1</f>
        <v>461</v>
      </c>
      <c r="B482" s="6" t="n">
        <f aca="false" ca="false" dt2D="false" dtr="false" t="normal">B481+1</f>
        <v>2</v>
      </c>
      <c r="C482" s="138" t="s">
        <v>147</v>
      </c>
      <c r="D482" s="138" t="s">
        <v>153</v>
      </c>
      <c r="E482" s="139" t="n">
        <v>1993</v>
      </c>
      <c r="F482" s="139" t="n">
        <v>2013</v>
      </c>
      <c r="G482" s="139" t="s">
        <v>4</v>
      </c>
      <c r="H482" s="139" t="n">
        <v>9</v>
      </c>
      <c r="I482" s="139" t="n">
        <v>5</v>
      </c>
      <c r="J482" s="17" t="n">
        <v>19441.7</v>
      </c>
      <c r="K482" s="17" t="n">
        <v>13182.1</v>
      </c>
      <c r="L482" s="17" t="n">
        <v>0</v>
      </c>
      <c r="M482" s="140" t="n">
        <v>478</v>
      </c>
      <c r="N482" s="16" t="n">
        <f aca="false" ca="false" dt2D="false" dtr="false" t="normal">P482+Q482+R482+S482+T482</f>
        <v>19801216.77</v>
      </c>
      <c r="O482" s="17" t="n"/>
      <c r="P482" s="18" t="n">
        <v>0</v>
      </c>
      <c r="Q482" s="18" t="n"/>
      <c r="R482" s="16" t="n">
        <v>3656714.18</v>
      </c>
      <c r="S482" s="16" t="n">
        <v>16144502.59</v>
      </c>
      <c r="T482" s="27" t="n">
        <v>0</v>
      </c>
      <c r="U482" s="18" t="n">
        <v>2885.28697522024</v>
      </c>
      <c r="V482" s="18" t="n">
        <v>1177.283020064</v>
      </c>
      <c r="W482" s="21" t="n">
        <v>2024</v>
      </c>
      <c r="X482" s="1" t="n">
        <v>0</v>
      </c>
      <c r="Y482" s="3" t="n">
        <f aca="false" ca="false" dt2D="false" dtr="false" t="normal">+(K482*15.35+L482*26.02)*12*0.85</f>
        <v>2063921.397</v>
      </c>
      <c r="Z482" s="3" t="n">
        <f aca="false" ca="false" dt2D="false" dtr="false" t="normal">+(K482*15.35+L482*26.02)*12*30-'[1]Лист1'!$AQ$204</f>
        <v>55617708.900000006</v>
      </c>
      <c r="AA482" s="3" t="n">
        <f aca="false" ca="false" dt2D="false" dtr="false" t="normal">+N482-AB482</f>
        <v>0</v>
      </c>
      <c r="AB482" s="27" t="n">
        <f aca="false" ca="true" dt2D="false" dtr="false" t="normal">SUBTOTAL(9, AC482:AQ482)</f>
        <v>19801216.77</v>
      </c>
      <c r="AC482" s="17" t="n">
        <v>0</v>
      </c>
      <c r="AD482" s="18" t="n">
        <v>0</v>
      </c>
      <c r="AE482" s="18" t="n"/>
      <c r="AF482" s="18" t="n">
        <v>0</v>
      </c>
      <c r="AG482" s="18" t="n">
        <v>0</v>
      </c>
      <c r="AH482" s="18" t="n"/>
      <c r="AI482" s="17" t="n">
        <v>0</v>
      </c>
      <c r="AJ482" s="18" t="n">
        <v>0</v>
      </c>
      <c r="AK482" s="18" t="n">
        <v>0</v>
      </c>
      <c r="AL482" s="17" t="n">
        <v>19801216.77</v>
      </c>
      <c r="AM482" s="18" t="n">
        <v>0</v>
      </c>
      <c r="AN482" s="18" t="n">
        <v>0</v>
      </c>
      <c r="AO482" s="18" t="n"/>
      <c r="AP482" s="18" t="n"/>
      <c r="AQ482" s="185" t="n"/>
      <c r="AR482" s="186" t="n">
        <f aca="false" ca="false" dt2D="false" dtr="false" t="normal">COUNTIF(AC482:AN482, "&gt;0")</f>
        <v>1</v>
      </c>
    </row>
    <row ht="15.75" outlineLevel="0" r="483">
      <c r="A483" s="5" t="n">
        <f aca="false" ca="false" dt2D="false" dtr="false" t="normal">A482+1</f>
        <v>462</v>
      </c>
      <c r="B483" s="6" t="n">
        <f aca="false" ca="false" dt2D="false" dtr="false" t="normal">B482+1</f>
        <v>3</v>
      </c>
      <c r="C483" s="138" t="s">
        <v>147</v>
      </c>
      <c r="D483" s="138" t="s">
        <v>155</v>
      </c>
      <c r="E483" s="139" t="n">
        <v>1997</v>
      </c>
      <c r="F483" s="139" t="n">
        <v>2013</v>
      </c>
      <c r="G483" s="139" t="s">
        <v>4</v>
      </c>
      <c r="H483" s="139" t="n">
        <v>3</v>
      </c>
      <c r="I483" s="139" t="n">
        <v>3</v>
      </c>
      <c r="J483" s="17" t="n">
        <v>2554.7</v>
      </c>
      <c r="K483" s="17" t="n">
        <v>1158.4</v>
      </c>
      <c r="L483" s="17" t="n">
        <v>157.9</v>
      </c>
      <c r="M483" s="140" t="n">
        <v>40</v>
      </c>
      <c r="N483" s="16" t="n">
        <f aca="false" ca="false" dt2D="false" dtr="false" t="normal">P483+Q483+R483+S483+T483</f>
        <v>442006.85</v>
      </c>
      <c r="O483" s="17" t="n"/>
      <c r="P483" s="18" t="n">
        <v>0</v>
      </c>
      <c r="Q483" s="17" t="n"/>
      <c r="R483" s="16" t="n">
        <v>442006.85</v>
      </c>
      <c r="S483" s="16" t="n">
        <v>0</v>
      </c>
      <c r="T483" s="27" t="n">
        <v>0</v>
      </c>
      <c r="U483" s="17" t="n">
        <v>7543.5478082504</v>
      </c>
      <c r="V483" s="17" t="n">
        <v>7543.5478082504</v>
      </c>
      <c r="W483" s="21" t="n">
        <v>2024</v>
      </c>
      <c r="X483" s="12" t="n"/>
      <c r="Y483" s="3" t="n">
        <f aca="false" ca="false" dt2D="false" dtr="false" t="normal">+(K483*11.55+L483*23.1)*12*0.85</f>
        <v>173675.502</v>
      </c>
      <c r="Z483" s="3" t="n">
        <f aca="false" ca="false" dt2D="false" dtr="false" t="normal">+(K483*11.55+L483*23.1)*12*30-'[1]Лист1'!$AQ$205</f>
        <v>2310698.7900000005</v>
      </c>
      <c r="AA483" s="3" t="n">
        <f aca="false" ca="false" dt2D="false" dtr="false" t="normal">+N483-AB483</f>
        <v>0</v>
      </c>
      <c r="AB483" s="27" t="n">
        <f aca="false" ca="true" dt2D="false" dtr="false" t="normal">SUBTOTAL(9, AC483:AQ483)</f>
        <v>442006.85</v>
      </c>
      <c r="AC483" s="17" t="n"/>
      <c r="AE483" s="18" t="n"/>
      <c r="AF483" s="18" t="n">
        <v>442006.85</v>
      </c>
      <c r="AG483" s="18" t="n">
        <v>0</v>
      </c>
      <c r="AH483" s="18" t="n"/>
      <c r="AI483" s="17" t="n"/>
      <c r="AJ483" s="18" t="n">
        <v>0</v>
      </c>
      <c r="AK483" s="18" t="n"/>
      <c r="AL483" s="17" t="n"/>
      <c r="AM483" s="18" t="n"/>
      <c r="AN483" s="18" t="n"/>
      <c r="AO483" s="18" t="n"/>
      <c r="AP483" s="18" t="n"/>
      <c r="AQ483" s="188" t="n"/>
      <c r="AR483" s="186" t="n">
        <f aca="false" ca="false" dt2D="false" dtr="false" t="normal">COUNTIF(AC483:AN483, "&gt;0")</f>
        <v>1</v>
      </c>
      <c r="AU483" s="3" t="n"/>
    </row>
    <row customFormat="true" ht="15.75" outlineLevel="0" r="484" s="184">
      <c r="A484" s="5" t="n">
        <f aca="false" ca="false" dt2D="false" dtr="false" t="normal">A483+1</f>
        <v>463</v>
      </c>
      <c r="B484" s="6" t="n">
        <f aca="false" ca="false" dt2D="false" dtr="false" t="normal">B483+1</f>
        <v>4</v>
      </c>
      <c r="C484" s="138" t="s">
        <v>147</v>
      </c>
      <c r="D484" s="138" t="s">
        <v>157</v>
      </c>
      <c r="E484" s="139" t="s">
        <v>158</v>
      </c>
      <c r="F484" s="139" t="n"/>
      <c r="G484" s="139" t="s">
        <v>4</v>
      </c>
      <c r="H484" s="139" t="s">
        <v>159</v>
      </c>
      <c r="I484" s="139" t="s">
        <v>159</v>
      </c>
      <c r="J484" s="17" t="n">
        <v>4119.1</v>
      </c>
      <c r="K484" s="17" t="n">
        <v>2443.1</v>
      </c>
      <c r="L484" s="17" t="n">
        <v>0</v>
      </c>
      <c r="M484" s="140" t="n">
        <v>95</v>
      </c>
      <c r="N484" s="16" t="n">
        <f aca="false" ca="false" dt2D="false" dtr="false" t="normal">P484+Q484+R484+S484+T484</f>
        <v>22000784.93</v>
      </c>
      <c r="O484" s="17" t="n">
        <v>0</v>
      </c>
      <c r="P484" s="18" t="n">
        <v>7515078.76</v>
      </c>
      <c r="Q484" s="27" t="n">
        <v>2709187.48</v>
      </c>
      <c r="R484" s="16" t="n">
        <v>1397878.82</v>
      </c>
      <c r="S484" s="16" t="n">
        <v>8755949.08</v>
      </c>
      <c r="T484" s="27" t="n">
        <v>1622690.79</v>
      </c>
      <c r="U484" s="18" t="n">
        <v>10825.8723727263</v>
      </c>
      <c r="V484" s="18" t="n">
        <v>1178.283020064</v>
      </c>
      <c r="W484" s="21" t="n">
        <v>2024</v>
      </c>
      <c r="X484" s="184" t="n">
        <v>341485.37</v>
      </c>
      <c r="Y484" s="3" t="n">
        <f aca="false" ca="false" dt2D="false" dtr="false" t="normal">+(K484*11.55+L484*23.1)*12*0.85</f>
        <v>287821.61100000003</v>
      </c>
      <c r="Z484" s="3" t="n">
        <f aca="false" ca="false" dt2D="false" dtr="false" t="normal">+(K484*11.55+L484*23.1)*12*30</f>
        <v>10158409.8</v>
      </c>
      <c r="AA484" s="3" t="n">
        <f aca="false" ca="false" dt2D="false" dtr="false" t="normal">+N484-AB484</f>
        <v>0</v>
      </c>
      <c r="AB484" s="27" t="n">
        <f aca="false" ca="true" dt2D="false" dtr="false" t="normal">SUBTOTAL(9, AC484:AQ484)</f>
        <v>22000784.93</v>
      </c>
      <c r="AC484" s="17" t="n">
        <v>5117306.05</v>
      </c>
      <c r="AD484" s="18" t="n">
        <v>0</v>
      </c>
      <c r="AE484" s="18" t="n">
        <v>2956319.09</v>
      </c>
      <c r="AF484" s="18" t="n">
        <v>656570.95</v>
      </c>
      <c r="AG484" s="18" t="n">
        <v>0</v>
      </c>
      <c r="AH484" s="18" t="n"/>
      <c r="AI484" s="17" t="n"/>
      <c r="AJ484" s="18" t="n">
        <v>0</v>
      </c>
      <c r="AK484" s="18" t="n"/>
      <c r="AL484" s="18" t="n"/>
      <c r="AM484" s="18" t="n">
        <v>13270588.84</v>
      </c>
      <c r="AN484" s="18" t="n">
        <v>0</v>
      </c>
      <c r="AO484" s="189" t="n"/>
      <c r="AP484" s="189" t="n"/>
      <c r="AQ484" s="185" t="n"/>
      <c r="AR484" s="186" t="n">
        <f aca="false" ca="false" dt2D="false" dtr="false" t="normal">COUNTIF(AC484:AN484, "&gt;0")</f>
        <v>4</v>
      </c>
      <c r="AT484" s="187" t="n"/>
    </row>
    <row customFormat="true" ht="15.75" outlineLevel="0" r="485" s="184">
      <c r="A485" s="5" t="n">
        <f aca="false" ca="false" dt2D="false" dtr="false" t="normal">A484+1</f>
        <v>464</v>
      </c>
      <c r="B485" s="6" t="n">
        <f aca="false" ca="false" dt2D="false" dtr="false" t="normal">B484+1</f>
        <v>5</v>
      </c>
      <c r="C485" s="138" t="s">
        <v>147</v>
      </c>
      <c r="D485" s="138" t="s">
        <v>161</v>
      </c>
      <c r="E485" s="139" t="s">
        <v>162</v>
      </c>
      <c r="F485" s="139" t="n"/>
      <c r="G485" s="139" t="s">
        <v>4</v>
      </c>
      <c r="H485" s="139" t="s">
        <v>159</v>
      </c>
      <c r="I485" s="139" t="s">
        <v>159</v>
      </c>
      <c r="J485" s="17" t="n">
        <v>4123.1</v>
      </c>
      <c r="K485" s="17" t="n">
        <v>2363</v>
      </c>
      <c r="L485" s="17" t="n">
        <v>91.8</v>
      </c>
      <c r="M485" s="140" t="n">
        <v>100</v>
      </c>
      <c r="N485" s="16" t="n">
        <f aca="false" ca="false" dt2D="false" dtr="false" t="normal">P485+Q485+R485+S485+T485</f>
        <v>21471100.47</v>
      </c>
      <c r="O485" s="17" t="n">
        <v>0</v>
      </c>
      <c r="P485" s="18" t="n">
        <v>6368373.43</v>
      </c>
      <c r="Q485" s="27" t="n">
        <v>2709187.47</v>
      </c>
      <c r="R485" s="16" t="n">
        <v>1689747.05</v>
      </c>
      <c r="S485" s="16" t="n">
        <v>9066674.66</v>
      </c>
      <c r="T485" s="27" t="n">
        <v>1637117.86</v>
      </c>
      <c r="U485" s="18" t="n">
        <v>10259.626094067</v>
      </c>
      <c r="V485" s="18" t="n">
        <v>1179.283020064</v>
      </c>
      <c r="W485" s="21" t="n">
        <v>2024</v>
      </c>
      <c r="X485" s="103" t="n">
        <v>624953.98</v>
      </c>
      <c r="Y485" s="3" t="n">
        <f aca="false" ca="false" dt2D="false" dtr="false" t="normal">+(K485*11.55+L485*23.1)*12*0.85</f>
        <v>300014.946</v>
      </c>
      <c r="Z485" s="3" t="n">
        <f aca="false" ca="false" dt2D="false" dtr="false" t="normal">+(K485*11.55+L485*23.1)*12*30</f>
        <v>10588762.8</v>
      </c>
      <c r="AA485" s="3" t="n">
        <f aca="false" ca="false" dt2D="false" dtr="false" t="normal">+N485-AB485</f>
        <v>0</v>
      </c>
      <c r="AB485" s="27" t="n">
        <f aca="false" ca="true" dt2D="false" dtr="false" t="normal">SUBTOTAL(9, AC485:AQ485)</f>
        <v>21471100.47</v>
      </c>
      <c r="AC485" s="17" t="n">
        <v>4516630.92</v>
      </c>
      <c r="AD485" s="18" t="n">
        <v>0</v>
      </c>
      <c r="AE485" s="18" t="n">
        <v>2939342.87</v>
      </c>
      <c r="AF485" s="18" t="n">
        <v>583291.01</v>
      </c>
      <c r="AG485" s="18" t="n">
        <v>0</v>
      </c>
      <c r="AH485" s="18" t="n"/>
      <c r="AI485" s="17" t="n"/>
      <c r="AJ485" s="18" t="n">
        <v>0</v>
      </c>
      <c r="AK485" s="18" t="n"/>
      <c r="AL485" s="18" t="n"/>
      <c r="AM485" s="18" t="n">
        <v>13431835.67</v>
      </c>
      <c r="AN485" s="18" t="n">
        <v>0</v>
      </c>
      <c r="AO485" s="189" t="n"/>
      <c r="AP485" s="189" t="n"/>
      <c r="AQ485" s="185" t="n"/>
      <c r="AR485" s="186" t="n">
        <f aca="false" ca="false" dt2D="false" dtr="false" t="normal">COUNTIF(AC485:AN485, "&gt;0")</f>
        <v>4</v>
      </c>
      <c r="AT485" s="187" t="n"/>
    </row>
    <row customFormat="true" ht="15.75" outlineLevel="0" r="486" s="184">
      <c r="A486" s="5" t="n">
        <f aca="false" ca="false" dt2D="false" dtr="false" t="normal">A485+1</f>
        <v>465</v>
      </c>
      <c r="B486" s="6" t="n">
        <f aca="false" ca="false" dt2D="false" dtr="false" t="normal">B485+1</f>
        <v>6</v>
      </c>
      <c r="C486" s="138" t="s">
        <v>147</v>
      </c>
      <c r="D486" s="138" t="s">
        <v>166</v>
      </c>
      <c r="E486" s="139" t="s">
        <v>167</v>
      </c>
      <c r="F486" s="139" t="n"/>
      <c r="G486" s="139" t="s">
        <v>4</v>
      </c>
      <c r="H486" s="139" t="s">
        <v>159</v>
      </c>
      <c r="I486" s="139" t="s">
        <v>159</v>
      </c>
      <c r="J486" s="17" t="n">
        <v>4170.5</v>
      </c>
      <c r="K486" s="17" t="n">
        <v>2454.1</v>
      </c>
      <c r="L486" s="17" t="n">
        <v>0</v>
      </c>
      <c r="M486" s="140" t="n">
        <v>90</v>
      </c>
      <c r="N486" s="16" t="n">
        <f aca="false" ca="false" dt2D="false" dtr="false" t="normal">P486+Q486+R486+S486+T486</f>
        <v>12985326.37</v>
      </c>
      <c r="O486" s="17" t="n"/>
      <c r="P486" s="18" t="n">
        <v>0</v>
      </c>
      <c r="Q486" s="27" t="n">
        <v>2709187.47</v>
      </c>
      <c r="R486" s="16" t="n">
        <v>1637608.13</v>
      </c>
      <c r="S486" s="16" t="n">
        <v>8201729.42</v>
      </c>
      <c r="T486" s="27" t="n">
        <v>436801.35</v>
      </c>
      <c r="U486" s="18" t="n">
        <v>5667.17</v>
      </c>
      <c r="V486" s="18" t="n">
        <v>1180.283020064</v>
      </c>
      <c r="W486" s="21" t="n">
        <v>2024</v>
      </c>
      <c r="X486" s="190" t="n">
        <v>1374774.02</v>
      </c>
      <c r="Y486" s="3" t="n">
        <f aca="false" ca="false" dt2D="false" dtr="false" t="normal">+(K486*10.5+L486*21)*12*0.85</f>
        <v>262834.11</v>
      </c>
      <c r="Z486" s="3" t="n">
        <f aca="false" ca="false" dt2D="false" dtr="false" t="normal">+(K486*10.5+L486*21)*12*30</f>
        <v>9276498</v>
      </c>
      <c r="AA486" s="3" t="n">
        <f aca="false" ca="false" dt2D="false" dtr="false" t="normal">+N486-AB486</f>
        <v>0</v>
      </c>
      <c r="AB486" s="27" t="n">
        <f aca="false" ca="true" dt2D="false" dtr="false" t="normal">SUBTOTAL(9, AC486:AQ486)</f>
        <v>12985326.37</v>
      </c>
      <c r="AC486" s="17" t="n"/>
      <c r="AD486" s="18" t="n"/>
      <c r="AE486" s="18" t="n"/>
      <c r="AF486" s="18" t="n"/>
      <c r="AG486" s="18" t="n"/>
      <c r="AH486" s="18" t="n"/>
      <c r="AI486" s="17" t="n"/>
      <c r="AJ486" s="18" t="n"/>
      <c r="AK486" s="18" t="n"/>
      <c r="AL486" s="18" t="n"/>
      <c r="AM486" s="18" t="n">
        <v>12985326.37</v>
      </c>
      <c r="AN486" s="18" t="n">
        <v>0</v>
      </c>
      <c r="AO486" s="189" t="n"/>
      <c r="AP486" s="189" t="n"/>
      <c r="AQ486" s="185" t="n"/>
      <c r="AR486" s="186" t="n">
        <f aca="false" ca="false" dt2D="false" dtr="false" t="normal">COUNTIF(AC486:AN486, "&gt;0")</f>
        <v>1</v>
      </c>
      <c r="AT486" s="187" t="n"/>
    </row>
    <row ht="15.75" outlineLevel="0" r="487">
      <c r="A487" s="5" t="n">
        <f aca="false" ca="false" dt2D="false" dtr="false" t="normal">A486+1</f>
        <v>466</v>
      </c>
      <c r="B487" s="6" t="n">
        <f aca="false" ca="false" dt2D="false" dtr="false" t="normal">B486+1</f>
        <v>7</v>
      </c>
      <c r="C487" s="6" t="s">
        <v>97</v>
      </c>
      <c r="D487" s="6" t="s">
        <v>169</v>
      </c>
      <c r="E487" s="139" t="n">
        <v>1989</v>
      </c>
      <c r="F487" s="139" t="n">
        <v>2012</v>
      </c>
      <c r="G487" s="139" t="s">
        <v>4</v>
      </c>
      <c r="H487" s="139" t="n">
        <v>5</v>
      </c>
      <c r="I487" s="139" t="n">
        <v>4</v>
      </c>
      <c r="J487" s="17" t="n">
        <v>5759.5</v>
      </c>
      <c r="K487" s="17" t="n">
        <v>4823.5</v>
      </c>
      <c r="L487" s="17" t="n">
        <v>45.7</v>
      </c>
      <c r="M487" s="140" t="n">
        <v>170</v>
      </c>
      <c r="N487" s="16" t="n">
        <f aca="false" ca="false" dt2D="false" dtr="false" t="normal">P487+Q487+R487+S487+T487</f>
        <v>10766029.58</v>
      </c>
      <c r="O487" s="18" t="n"/>
      <c r="P487" s="18" t="n">
        <v>6399055.56</v>
      </c>
      <c r="Q487" s="18" t="n"/>
      <c r="R487" s="16" t="n">
        <v>579024.37</v>
      </c>
      <c r="S487" s="16" t="n">
        <v>3678452.33</v>
      </c>
      <c r="T487" s="188" t="n">
        <v>109497.32</v>
      </c>
      <c r="U487" s="17" t="n">
        <v>3631.35654119086</v>
      </c>
      <c r="V487" s="17" t="n">
        <v>3631.35654119086</v>
      </c>
      <c r="W487" s="21" t="n">
        <v>2024</v>
      </c>
      <c r="Y487" s="3" t="n">
        <f aca="false" ca="false" dt2D="false" dtr="false" t="normal">+(K487*11.55+L487*23.1)*12*0.85</f>
        <v>579024.369</v>
      </c>
      <c r="Z487" s="3" t="n">
        <f aca="false" ca="false" dt2D="false" dtr="false" t="normal">+(K487*11.55+L487*23.1)*12*30-'[1]Лист1'!$AQ$223</f>
        <v>14903976.61</v>
      </c>
      <c r="AA487" s="3" t="n">
        <f aca="false" ca="false" dt2D="false" dtr="false" t="normal">+N487-AB487</f>
        <v>109497.3200000003</v>
      </c>
      <c r="AB487" s="27" t="n">
        <f aca="false" ca="true" dt2D="false" dtr="false" t="normal">SUBTOTAL(9, AC487:AQ487)</f>
        <v>10656532.26</v>
      </c>
      <c r="AC487" s="17" t="n">
        <v>0</v>
      </c>
      <c r="AD487" s="18" t="n">
        <v>0</v>
      </c>
      <c r="AE487" s="18" t="n"/>
      <c r="AF487" s="18" t="n"/>
      <c r="AG487" s="18" t="n">
        <v>0</v>
      </c>
      <c r="AH487" s="18" t="n"/>
      <c r="AI487" s="17" t="n"/>
      <c r="AJ487" s="18" t="n">
        <v>0</v>
      </c>
      <c r="AK487" s="18" t="n">
        <v>0</v>
      </c>
      <c r="AL487" s="18" t="n"/>
      <c r="AM487" s="18" t="n">
        <v>10656532.26</v>
      </c>
      <c r="AN487" s="18" t="n"/>
      <c r="AO487" s="18" t="n"/>
      <c r="AP487" s="18" t="n"/>
      <c r="AQ487" s="191" t="n"/>
      <c r="AR487" s="186" t="n">
        <f aca="false" ca="false" dt2D="false" dtr="false" t="normal">COUNTIF(AC487:AN487, "&gt;0")</f>
        <v>1</v>
      </c>
    </row>
    <row customFormat="true" customHeight="true" ht="18" outlineLevel="0" r="488" s="184">
      <c r="A488" s="5" t="n">
        <f aca="false" ca="false" dt2D="false" dtr="false" t="normal">A487+1</f>
        <v>467</v>
      </c>
      <c r="B488" s="6" t="n">
        <f aca="false" ca="false" dt2D="false" dtr="false" t="normal">B487+1</f>
        <v>8</v>
      </c>
      <c r="C488" s="138" t="s">
        <v>80</v>
      </c>
      <c r="D488" s="138" t="s">
        <v>171</v>
      </c>
      <c r="E488" s="139" t="s">
        <v>162</v>
      </c>
      <c r="F488" s="139" t="n"/>
      <c r="G488" s="139" t="s">
        <v>4</v>
      </c>
      <c r="H488" s="139" t="s">
        <v>165</v>
      </c>
      <c r="I488" s="139" t="s">
        <v>159</v>
      </c>
      <c r="J488" s="17" t="n">
        <v>3725.6</v>
      </c>
      <c r="K488" s="17" t="n">
        <v>3166.8</v>
      </c>
      <c r="L488" s="17" t="n">
        <v>0</v>
      </c>
      <c r="M488" s="140" t="n">
        <v>150</v>
      </c>
      <c r="N488" s="16" t="n">
        <f aca="false" ca="false" dt2D="false" dtr="false" t="normal">P488+Q488+R488+S488+T488</f>
        <v>17226746.4</v>
      </c>
      <c r="O488" s="17" t="n">
        <v>0</v>
      </c>
      <c r="P488" s="18" t="n">
        <v>10570071.94</v>
      </c>
      <c r="Q488" s="18" t="n"/>
      <c r="R488" s="16" t="n">
        <v>1473487.75</v>
      </c>
      <c r="S488" s="16" t="n">
        <v>3460512.07</v>
      </c>
      <c r="T488" s="27" t="n">
        <v>1722674.64</v>
      </c>
      <c r="U488" s="18" t="n">
        <v>6036.35638456785</v>
      </c>
      <c r="V488" s="18" t="n">
        <v>1181.283020064</v>
      </c>
      <c r="W488" s="21" t="n">
        <v>2024</v>
      </c>
      <c r="X488" s="184" t="n">
        <v>1644265.53</v>
      </c>
      <c r="Y488" s="3" t="n">
        <f aca="false" ca="false" dt2D="false" dtr="false" t="normal">+(K488*10+L488*20)*12*0.85</f>
        <v>323013.6</v>
      </c>
      <c r="Z488" s="3" t="n">
        <f aca="false" ca="false" dt2D="false" dtr="false" t="normal">+(K488*10+L488*20)*12*30</f>
        <v>11400480</v>
      </c>
      <c r="AA488" s="3" t="n">
        <f aca="false" ca="false" dt2D="false" dtr="false" t="normal">+N488-AB488</f>
        <v>0</v>
      </c>
      <c r="AB488" s="27" t="n">
        <f aca="false" ca="true" dt2D="false" dtr="false" t="normal">SUBTOTAL(9, AC488:AQ488)</f>
        <v>17226746.4</v>
      </c>
      <c r="AC488" s="17" t="n"/>
      <c r="AD488" s="18" t="n"/>
      <c r="AE488" s="18" t="n"/>
      <c r="AF488" s="18" t="n"/>
      <c r="AG488" s="18" t="n"/>
      <c r="AH488" s="18" t="n"/>
      <c r="AI488" s="17" t="n"/>
      <c r="AJ488" s="18" t="n"/>
      <c r="AK488" s="18" t="n"/>
      <c r="AL488" s="18" t="n"/>
      <c r="AM488" s="18" t="n">
        <v>17226746.4</v>
      </c>
      <c r="AN488" s="18" t="n"/>
      <c r="AO488" s="189" t="n"/>
      <c r="AP488" s="189" t="n"/>
      <c r="AQ488" s="185" t="n"/>
      <c r="AR488" s="186" t="n">
        <f aca="false" ca="false" dt2D="false" dtr="false" t="normal">COUNTIF(AC488:AN488, "&gt;0")</f>
        <v>1</v>
      </c>
      <c r="AT488" s="187" t="n"/>
    </row>
    <row customHeight="true" ht="17.25" outlineLevel="0" r="489">
      <c r="A489" s="5" t="n">
        <f aca="false" ca="false" dt2D="false" dtr="false" t="normal">A488+1</f>
        <v>468</v>
      </c>
      <c r="B489" s="6" t="n">
        <f aca="false" ca="false" dt2D="false" dtr="false" t="normal">B488+1</f>
        <v>9</v>
      </c>
      <c r="C489" s="138" t="s">
        <v>97</v>
      </c>
      <c r="D489" s="138" t="s">
        <v>174</v>
      </c>
      <c r="E489" s="139" t="n">
        <v>1998</v>
      </c>
      <c r="F489" s="139" t="n">
        <v>1998</v>
      </c>
      <c r="G489" s="139" t="s">
        <v>4</v>
      </c>
      <c r="H489" s="139" t="n">
        <v>5</v>
      </c>
      <c r="I489" s="139" t="n">
        <v>4</v>
      </c>
      <c r="J489" s="17" t="n">
        <v>4979.8</v>
      </c>
      <c r="K489" s="17" t="n">
        <v>4317.2</v>
      </c>
      <c r="L489" s="17" t="n">
        <v>0</v>
      </c>
      <c r="M489" s="140" t="n">
        <v>170</v>
      </c>
      <c r="N489" s="16" t="n">
        <f aca="false" ca="false" dt2D="false" dtr="false" t="normal">P489+Q489+R489+S489+T489</f>
        <v>12005669.59</v>
      </c>
      <c r="O489" s="17" t="n"/>
      <c r="P489" s="18" t="n">
        <v>7199614.76</v>
      </c>
      <c r="Q489" s="18" t="n"/>
      <c r="R489" s="16" t="n">
        <v>449404.89</v>
      </c>
      <c r="S489" s="16" t="n">
        <v>3165735.44</v>
      </c>
      <c r="T489" s="27" t="n">
        <v>1190914.5</v>
      </c>
      <c r="U489" s="18" t="n">
        <v>5983.49263433758</v>
      </c>
      <c r="V489" s="18" t="n">
        <v>1180.283020064</v>
      </c>
      <c r="W489" s="21" t="n">
        <v>2024</v>
      </c>
      <c r="X489" s="1" t="n">
        <f aca="false" ca="false" dt2D="false" dtr="false" t="normal">2564742.71-1318564.22</f>
        <v>1246178.49</v>
      </c>
      <c r="Y489" s="3" t="n">
        <f aca="false" ca="false" dt2D="false" dtr="false" t="normal">+(K489*10.5+L489*21)*12*0.85</f>
        <v>462372.11999999994</v>
      </c>
      <c r="Z489" s="3" t="n">
        <f aca="false" ca="false" dt2D="false" dtr="false" t="normal">+(K489*10.5+L489*21)*12*30</f>
        <v>16319015.999999998</v>
      </c>
      <c r="AA489" s="3" t="n">
        <f aca="false" ca="false" dt2D="false" dtr="false" t="normal">+N489-AB489</f>
        <v>0</v>
      </c>
      <c r="AB489" s="27" t="n">
        <f aca="false" ca="true" dt2D="false" dtr="false" t="normal">SUBTOTAL(9, AC489:AQ489)</f>
        <v>12005669.590000002</v>
      </c>
      <c r="AC489" s="17" t="n">
        <v>5393202.38</v>
      </c>
      <c r="AD489" s="18" t="n">
        <v>3557169.42</v>
      </c>
      <c r="AE489" s="18" t="n"/>
      <c r="AF489" s="18" t="n">
        <v>2958773.23</v>
      </c>
      <c r="AG489" s="18" t="n">
        <v>0</v>
      </c>
      <c r="AH489" s="18" t="n"/>
      <c r="AI489" s="17" t="n"/>
      <c r="AJ489" s="18" t="n">
        <v>0</v>
      </c>
      <c r="AK489" s="18" t="n">
        <v>0</v>
      </c>
      <c r="AL489" s="18" t="n">
        <v>0</v>
      </c>
      <c r="AM489" s="18" t="n">
        <v>0</v>
      </c>
      <c r="AN489" s="18" t="n">
        <v>0</v>
      </c>
      <c r="AO489" s="18" t="n"/>
      <c r="AP489" s="18" t="n"/>
      <c r="AQ489" s="191" t="n">
        <v>96524.56</v>
      </c>
      <c r="AR489" s="186" t="n">
        <f aca="false" ca="false" dt2D="false" dtr="false" t="normal">COUNTIF(AC489:AN489, "&gt;0")</f>
        <v>3</v>
      </c>
    </row>
    <row ht="15.75" outlineLevel="0" r="490">
      <c r="A490" s="5" t="n">
        <f aca="false" ca="false" dt2D="false" dtr="false" t="normal">A489+1</f>
        <v>469</v>
      </c>
      <c r="B490" s="6" t="n">
        <f aca="false" ca="false" dt2D="false" dtr="false" t="normal">B489+1</f>
        <v>10</v>
      </c>
      <c r="C490" s="138" t="s">
        <v>97</v>
      </c>
      <c r="D490" s="138" t="s">
        <v>176</v>
      </c>
      <c r="E490" s="139" t="n">
        <v>1996</v>
      </c>
      <c r="F490" s="139" t="n">
        <v>1996</v>
      </c>
      <c r="G490" s="139" t="s">
        <v>4</v>
      </c>
      <c r="H490" s="139" t="n">
        <v>5</v>
      </c>
      <c r="I490" s="139" t="n">
        <v>4</v>
      </c>
      <c r="J490" s="17" t="n">
        <v>3635.6</v>
      </c>
      <c r="K490" s="17" t="n">
        <v>3076.7</v>
      </c>
      <c r="L490" s="17" t="n">
        <v>0</v>
      </c>
      <c r="M490" s="140" t="n">
        <v>122</v>
      </c>
      <c r="N490" s="16" t="n">
        <f aca="false" ca="false" dt2D="false" dtr="false" t="normal">P490+Q490+R490+S490+T490</f>
        <v>4785435.03</v>
      </c>
      <c r="O490" s="17" t="n"/>
      <c r="P490" s="18" t="n">
        <v>2963084.91</v>
      </c>
      <c r="Q490" s="18" t="n"/>
      <c r="R490" s="16" t="n">
        <v>288250.55</v>
      </c>
      <c r="S490" s="16" t="n">
        <v>1060346.32</v>
      </c>
      <c r="T490" s="27" t="n">
        <v>473753.25</v>
      </c>
      <c r="U490" s="18" t="n">
        <v>1109.97150386968</v>
      </c>
      <c r="V490" s="18" t="n">
        <v>1182.283020064</v>
      </c>
      <c r="W490" s="21" t="n">
        <v>2024</v>
      </c>
      <c r="X490" s="12" t="n"/>
      <c r="Y490" s="3" t="n">
        <f aca="false" ca="false" dt2D="false" dtr="false" t="normal">+(K490*11.55+L490*23.1)*12*0.85</f>
        <v>362466.027</v>
      </c>
      <c r="Z490" s="3" t="n">
        <f aca="false" ca="false" dt2D="false" dtr="false" t="normal">+(K490*11.55+L490*23.1)*12*30-'[1]Лист1'!$AQ$221</f>
        <v>11666484.76</v>
      </c>
      <c r="AA490" s="3" t="n">
        <f aca="false" ca="false" dt2D="false" dtr="false" t="normal">+N490-AB490</f>
        <v>0</v>
      </c>
      <c r="AB490" s="27" t="n">
        <f aca="false" ca="true" dt2D="false" dtr="false" t="normal">SUBTOTAL(9, AC490:AQ490)</f>
        <v>4785435.03</v>
      </c>
      <c r="AC490" s="17" t="n">
        <v>4737532.46</v>
      </c>
      <c r="AD490" s="18" t="n"/>
      <c r="AE490" s="18" t="n"/>
      <c r="AF490" s="18" t="n"/>
      <c r="AG490" s="18" t="n">
        <v>0</v>
      </c>
      <c r="AH490" s="18" t="n"/>
      <c r="AI490" s="17" t="n"/>
      <c r="AJ490" s="18" t="n">
        <v>0</v>
      </c>
      <c r="AK490" s="18" t="n">
        <v>0</v>
      </c>
      <c r="AL490" s="18" t="n">
        <v>0</v>
      </c>
      <c r="AM490" s="18" t="n">
        <v>0</v>
      </c>
      <c r="AN490" s="18" t="n">
        <v>0</v>
      </c>
      <c r="AO490" s="18" t="n"/>
      <c r="AP490" s="18" t="n"/>
      <c r="AQ490" s="191" t="n">
        <v>47902.57</v>
      </c>
      <c r="AR490" s="186" t="n">
        <f aca="false" ca="false" dt2D="false" dtr="false" t="normal">COUNTIF(AC490:AN490, "&gt;0")</f>
        <v>1</v>
      </c>
    </row>
    <row customFormat="true" ht="15.75" outlineLevel="0" r="491" s="184">
      <c r="A491" s="5" t="n">
        <f aca="false" ca="false" dt2D="false" dtr="false" t="normal">A490+1</f>
        <v>470</v>
      </c>
      <c r="B491" s="6" t="n">
        <f aca="false" ca="false" dt2D="false" dtr="false" t="normal">B490+1</f>
        <v>11</v>
      </c>
      <c r="C491" s="138" t="s">
        <v>179</v>
      </c>
      <c r="D491" s="138" t="s">
        <v>180</v>
      </c>
      <c r="E491" s="139" t="s">
        <v>181</v>
      </c>
      <c r="F491" s="139" t="n"/>
      <c r="G491" s="139" t="s">
        <v>4</v>
      </c>
      <c r="H491" s="139" t="s">
        <v>165</v>
      </c>
      <c r="I491" s="139" t="s">
        <v>159</v>
      </c>
      <c r="J491" s="17" t="n">
        <v>3731.6</v>
      </c>
      <c r="K491" s="17" t="n">
        <v>3131.6</v>
      </c>
      <c r="L491" s="17" t="n">
        <v>600</v>
      </c>
      <c r="M491" s="140" t="n">
        <v>135</v>
      </c>
      <c r="N491" s="16" t="n">
        <f aca="false" ca="false" dt2D="false" dtr="false" t="normal">P491+Q491+R491+S491+T491</f>
        <v>32110899.54</v>
      </c>
      <c r="O491" s="17" t="n">
        <v>0</v>
      </c>
      <c r="P491" s="18" t="n">
        <v>16075316.34</v>
      </c>
      <c r="Q491" s="18" t="n"/>
      <c r="R491" s="16" t="n">
        <v>441823.2</v>
      </c>
      <c r="S491" s="16" t="n">
        <v>15593760</v>
      </c>
      <c r="T491" s="27" t="n">
        <v>0</v>
      </c>
      <c r="U491" s="17" t="n">
        <v>9389.2312832</v>
      </c>
      <c r="V491" s="17" t="n">
        <v>9389.2312832</v>
      </c>
      <c r="W491" s="21" t="n">
        <v>2024</v>
      </c>
      <c r="X491" s="192" t="n">
        <f aca="false" ca="false" dt2D="false" dtr="false" t="normal">1031781.22</f>
        <v>1031781.22</v>
      </c>
      <c r="Y491" s="3" t="n">
        <f aca="false" ca="false" dt2D="false" dtr="false" t="normal">+(K491*10+L491*20)*12*0.85</f>
        <v>441823.2</v>
      </c>
      <c r="Z491" s="3" t="n">
        <f aca="false" ca="false" dt2D="false" dtr="false" t="normal">+(K491*10+L491*20)*12*30</f>
        <v>15593760</v>
      </c>
      <c r="AA491" s="3" t="n">
        <f aca="false" ca="false" dt2D="false" dtr="false" t="normal">+N491-AB491</f>
        <v>0</v>
      </c>
      <c r="AB491" s="27" t="n">
        <f aca="false" ca="true" dt2D="false" dtr="false" t="normal">SUBTOTAL(9, AC491:AQ491)</f>
        <v>32110899.54</v>
      </c>
      <c r="AC491" s="17" t="n"/>
      <c r="AD491" s="18" t="n"/>
      <c r="AE491" s="18" t="n"/>
      <c r="AF491" s="18" t="n"/>
      <c r="AG491" s="18" t="n"/>
      <c r="AH491" s="18" t="n"/>
      <c r="AI491" s="17" t="n"/>
      <c r="AJ491" s="18" t="n"/>
      <c r="AK491" s="18" t="n">
        <v>12147477.6</v>
      </c>
      <c r="AL491" s="18" t="n"/>
      <c r="AM491" s="18" t="n">
        <v>19963421.94</v>
      </c>
      <c r="AN491" s="18" t="n"/>
      <c r="AO491" s="189" t="n"/>
      <c r="AP491" s="189" t="n"/>
      <c r="AQ491" s="185" t="n"/>
      <c r="AR491" s="186" t="n">
        <f aca="false" ca="false" dt2D="false" dtr="false" t="normal">COUNTIF(AC491:AN491, "&gt;0")</f>
        <v>2</v>
      </c>
      <c r="AT491" s="187" t="n"/>
    </row>
    <row customFormat="true" ht="15.75" outlineLevel="0" r="492" s="184">
      <c r="A492" s="5" t="n">
        <f aca="false" ca="false" dt2D="false" dtr="false" t="normal">A491+1</f>
        <v>471</v>
      </c>
      <c r="B492" s="6" t="n">
        <f aca="false" ca="false" dt2D="false" dtr="false" t="normal">B491+1</f>
        <v>12</v>
      </c>
      <c r="C492" s="138" t="s">
        <v>179</v>
      </c>
      <c r="D492" s="138" t="s">
        <v>183</v>
      </c>
      <c r="E492" s="139" t="s">
        <v>184</v>
      </c>
      <c r="F492" s="139" t="n"/>
      <c r="G492" s="139" t="s">
        <v>4</v>
      </c>
      <c r="H492" s="139" t="s">
        <v>165</v>
      </c>
      <c r="I492" s="139" t="s">
        <v>165</v>
      </c>
      <c r="J492" s="17" t="n">
        <v>4283</v>
      </c>
      <c r="K492" s="17" t="n">
        <v>3860.1</v>
      </c>
      <c r="L492" s="17" t="n">
        <v>409</v>
      </c>
      <c r="M492" s="140" t="n">
        <v>144</v>
      </c>
      <c r="N492" s="16" t="n">
        <f aca="false" ca="false" dt2D="false" dtr="false" t="normal">P492+Q492+R492+S492+T492</f>
        <v>38180923.559999995</v>
      </c>
      <c r="O492" s="17" t="n">
        <v>0</v>
      </c>
      <c r="P492" s="18" t="n">
        <v>19208299.59</v>
      </c>
      <c r="Q492" s="18" t="n"/>
      <c r="R492" s="16" t="n">
        <v>966766.22</v>
      </c>
      <c r="S492" s="16" t="n">
        <v>16532947.63</v>
      </c>
      <c r="T492" s="27" t="n">
        <v>1472910.12</v>
      </c>
      <c r="U492" s="17" t="n">
        <v>4453.38690300063</v>
      </c>
      <c r="V492" s="17" t="n">
        <v>4453.38690300063</v>
      </c>
      <c r="W492" s="21" t="n">
        <v>2024</v>
      </c>
      <c r="X492" s="184" t="n">
        <v>1338217.39</v>
      </c>
      <c r="Y492" s="3" t="n">
        <f aca="false" ca="false" dt2D="false" dtr="false" t="normal">+(K492*10+L492*20)*12*0.85</f>
        <v>477166.2</v>
      </c>
      <c r="Z492" s="3" t="n">
        <f aca="false" ca="false" dt2D="false" dtr="false" t="normal">+(K492*10+L492*20)*12*30</f>
        <v>16841160</v>
      </c>
      <c r="AA492" s="3" t="n">
        <f aca="false" ca="false" dt2D="false" dtr="false" t="normal">+N492-AB492</f>
        <v>0</v>
      </c>
      <c r="AB492" s="27" t="n">
        <f aca="false" ca="true" dt2D="false" dtr="false" t="normal">SUBTOTAL(9, AC492:AQ492)</f>
        <v>38180923.56</v>
      </c>
      <c r="AC492" s="17" t="n"/>
      <c r="AD492" s="18" t="n"/>
      <c r="AE492" s="18" t="n"/>
      <c r="AF492" s="18" t="n"/>
      <c r="AG492" s="18" t="n"/>
      <c r="AH492" s="18" t="n"/>
      <c r="AI492" s="17" t="n"/>
      <c r="AJ492" s="18" t="n"/>
      <c r="AK492" s="18" t="n">
        <v>14729101.2</v>
      </c>
      <c r="AL492" s="18" t="n"/>
      <c r="AM492" s="18" t="n">
        <v>23451822.36</v>
      </c>
      <c r="AN492" s="18" t="n">
        <v>0</v>
      </c>
      <c r="AO492" s="189" t="n"/>
      <c r="AP492" s="189" t="n"/>
      <c r="AQ492" s="185" t="n"/>
      <c r="AR492" s="186" t="n">
        <f aca="false" ca="false" dt2D="false" dtr="false" t="normal">COUNTIF(AC492:AN492, "&gt;0")</f>
        <v>2</v>
      </c>
      <c r="AT492" s="187" t="n"/>
    </row>
    <row customFormat="true" ht="15.75" outlineLevel="0" r="493" s="184">
      <c r="A493" s="5" t="n">
        <f aca="false" ca="false" dt2D="false" dtr="false" t="normal">A492+1</f>
        <v>472</v>
      </c>
      <c r="B493" s="6" t="n">
        <f aca="false" ca="false" dt2D="false" dtr="false" t="normal">B492+1</f>
        <v>13</v>
      </c>
      <c r="C493" s="138" t="s">
        <v>179</v>
      </c>
      <c r="D493" s="138" t="s">
        <v>186</v>
      </c>
      <c r="E493" s="139" t="s">
        <v>187</v>
      </c>
      <c r="F493" s="139" t="n"/>
      <c r="G493" s="139" t="s">
        <v>4</v>
      </c>
      <c r="H493" s="139" t="s">
        <v>165</v>
      </c>
      <c r="I493" s="139" t="s">
        <v>151</v>
      </c>
      <c r="J493" s="17" t="n">
        <v>3806</v>
      </c>
      <c r="K493" s="17" t="n">
        <v>3356.9</v>
      </c>
      <c r="L493" s="17" t="n">
        <v>351</v>
      </c>
      <c r="M493" s="140" t="n">
        <v>135</v>
      </c>
      <c r="N493" s="16" t="n">
        <f aca="false" ca="false" dt2D="false" dtr="false" t="normal">P493+Q493+R493+S493+T493</f>
        <v>31088512.76</v>
      </c>
      <c r="O493" s="17" t="n">
        <v>0</v>
      </c>
      <c r="P493" s="18" t="n">
        <v>15467415.87</v>
      </c>
      <c r="Q493" s="18" t="n"/>
      <c r="R493" s="16" t="n">
        <v>1312528.85</v>
      </c>
      <c r="S493" s="16" t="n">
        <v>13987916.55</v>
      </c>
      <c r="T493" s="27" t="n">
        <v>320651.49</v>
      </c>
      <c r="U493" s="17" t="n">
        <v>4453.38690302</v>
      </c>
      <c r="V493" s="17" t="n">
        <v>4453.38690302</v>
      </c>
      <c r="W493" s="21" t="n">
        <v>2024</v>
      </c>
      <c r="X493" s="184" t="n">
        <v>1309419.32</v>
      </c>
      <c r="Y493" s="3" t="n">
        <f aca="false" ca="false" dt2D="false" dtr="false" t="normal">+(K493*10+L493*20)*12*0.85</f>
        <v>414007.8</v>
      </c>
      <c r="Z493" s="3" t="n">
        <f aca="false" ca="false" dt2D="false" dtr="false" t="normal">+(K493*10+L493*20)*12*30</f>
        <v>14612040</v>
      </c>
      <c r="AA493" s="3" t="n">
        <f aca="false" ca="false" dt2D="false" dtr="false" t="normal">+N493-AB493</f>
        <v>0</v>
      </c>
      <c r="AB493" s="27" t="n">
        <f aca="false" ca="true" dt2D="false" dtr="false" t="normal">SUBTOTAL(9, AC493:AQ493)</f>
        <v>31088512.76</v>
      </c>
      <c r="AC493" s="17" t="n"/>
      <c r="AD493" s="18" t="n"/>
      <c r="AE493" s="18" t="n"/>
      <c r="AF493" s="18" t="n"/>
      <c r="AG493" s="18" t="n"/>
      <c r="AH493" s="18" t="n"/>
      <c r="AI493" s="17" t="n"/>
      <c r="AJ493" s="18" t="n"/>
      <c r="AK493" s="18" t="n">
        <v>11006754</v>
      </c>
      <c r="AL493" s="18" t="n"/>
      <c r="AM493" s="18" t="n">
        <v>20081758.76</v>
      </c>
      <c r="AN493" s="18" t="n">
        <v>0</v>
      </c>
      <c r="AO493" s="189" t="n"/>
      <c r="AP493" s="189" t="n"/>
      <c r="AQ493" s="185" t="n"/>
      <c r="AR493" s="186" t="n">
        <f aca="false" ca="false" dt2D="false" dtr="false" t="normal">COUNTIF(AC493:AN493, "&gt;0")</f>
        <v>2</v>
      </c>
      <c r="AT493" s="187" t="n"/>
    </row>
    <row customFormat="true" ht="15.75" outlineLevel="0" r="494" s="184">
      <c r="A494" s="5" t="n">
        <f aca="false" ca="false" dt2D="false" dtr="false" t="normal">A493+1</f>
        <v>473</v>
      </c>
      <c r="B494" s="6" t="n">
        <f aca="false" ca="false" dt2D="false" dtr="false" t="normal">B493+1</f>
        <v>14</v>
      </c>
      <c r="C494" s="138" t="s">
        <v>179</v>
      </c>
      <c r="D494" s="138" t="s">
        <v>189</v>
      </c>
      <c r="E494" s="139" t="s">
        <v>190</v>
      </c>
      <c r="F494" s="139" t="n"/>
      <c r="G494" s="139" t="s">
        <v>4</v>
      </c>
      <c r="H494" s="139" t="s">
        <v>165</v>
      </c>
      <c r="I494" s="139" t="s">
        <v>151</v>
      </c>
      <c r="J494" s="17" t="n">
        <v>3860</v>
      </c>
      <c r="K494" s="17" t="n">
        <v>3379.8</v>
      </c>
      <c r="L494" s="17" t="n">
        <v>405</v>
      </c>
      <c r="M494" s="140" t="n">
        <v>150</v>
      </c>
      <c r="N494" s="16" t="n">
        <f aca="false" ca="false" dt2D="false" dtr="false" t="normal">P494+Q494+R494+S494+T494</f>
        <v>31630309.32</v>
      </c>
      <c r="O494" s="17" t="n">
        <v>0</v>
      </c>
      <c r="P494" s="18" t="n">
        <v>16119669.72</v>
      </c>
      <c r="Q494" s="18" t="n"/>
      <c r="R494" s="16" t="n">
        <v>427359.6</v>
      </c>
      <c r="S494" s="16" t="n">
        <v>15083280</v>
      </c>
      <c r="T494" s="27" t="n">
        <v>0</v>
      </c>
      <c r="U494" s="17" t="n">
        <v>9389.2312832</v>
      </c>
      <c r="V494" s="17" t="n">
        <v>9389.2312832</v>
      </c>
      <c r="W494" s="21" t="n">
        <v>2024</v>
      </c>
      <c r="X494" s="192" t="n">
        <f aca="false" ca="false" dt2D="false" dtr="false" t="normal">1091644.43</f>
        <v>1091644.43</v>
      </c>
      <c r="Y494" s="3" t="n">
        <f aca="false" ca="false" dt2D="false" dtr="false" t="normal">+(K494*10+L494*20)*12*0.85</f>
        <v>427359.6</v>
      </c>
      <c r="Z494" s="3" t="n">
        <f aca="false" ca="false" dt2D="false" dtr="false" t="normal">+(K494*10+L494*20)*12*30</f>
        <v>15083280</v>
      </c>
      <c r="AA494" s="3" t="n">
        <f aca="false" ca="false" dt2D="false" dtr="false" t="normal">+N494-AB494</f>
        <v>0</v>
      </c>
      <c r="AB494" s="27" t="n">
        <f aca="false" ca="true" dt2D="false" dtr="false" t="normal">SUBTOTAL(9, AC494:AQ494)</f>
        <v>31630309.32</v>
      </c>
      <c r="AC494" s="17" t="n"/>
      <c r="AD494" s="18" t="n"/>
      <c r="AE494" s="18" t="n"/>
      <c r="AF494" s="18" t="n"/>
      <c r="AG494" s="18" t="n"/>
      <c r="AH494" s="18" t="n"/>
      <c r="AI494" s="17" t="n"/>
      <c r="AJ494" s="18" t="n"/>
      <c r="AK494" s="18" t="n">
        <v>11152173.6</v>
      </c>
      <c r="AL494" s="18" t="n"/>
      <c r="AM494" s="18" t="n">
        <v>20478135.72</v>
      </c>
      <c r="AN494" s="18" t="n">
        <v>0</v>
      </c>
      <c r="AO494" s="189" t="n"/>
      <c r="AP494" s="189" t="n"/>
      <c r="AQ494" s="185" t="n"/>
      <c r="AR494" s="186" t="n">
        <f aca="false" ca="false" dt2D="false" dtr="false" t="normal">COUNTIF(AC494:AN494, "&gt;0")</f>
        <v>2</v>
      </c>
      <c r="AT494" s="187" t="n"/>
    </row>
    <row customFormat="true" ht="15.75" outlineLevel="0" r="495" s="184">
      <c r="A495" s="5" t="n">
        <f aca="false" ca="false" dt2D="false" dtr="false" t="normal">A494+1</f>
        <v>474</v>
      </c>
      <c r="B495" s="6" t="n">
        <f aca="false" ca="false" dt2D="false" dtr="false" t="normal">B494+1</f>
        <v>15</v>
      </c>
      <c r="C495" s="138" t="s">
        <v>179</v>
      </c>
      <c r="D495" s="138" t="s">
        <v>192</v>
      </c>
      <c r="E495" s="139" t="s">
        <v>193</v>
      </c>
      <c r="F495" s="139" t="n"/>
      <c r="G495" s="139" t="s">
        <v>4</v>
      </c>
      <c r="H495" s="139" t="s">
        <v>165</v>
      </c>
      <c r="I495" s="139" t="s">
        <v>151</v>
      </c>
      <c r="J495" s="17" t="n">
        <v>3821</v>
      </c>
      <c r="K495" s="17" t="n">
        <v>3372.2</v>
      </c>
      <c r="L495" s="17" t="n">
        <v>340</v>
      </c>
      <c r="M495" s="140" t="n">
        <v>119</v>
      </c>
      <c r="N495" s="16" t="n">
        <f aca="false" ca="false" dt2D="false" dtr="false" t="normal">P495+Q495+R495+S495+T495</f>
        <v>33314419.46</v>
      </c>
      <c r="O495" s="17" t="n">
        <v>0</v>
      </c>
      <c r="P495" s="18" t="n">
        <v>18943596.93</v>
      </c>
      <c r="Q495" s="18" t="n"/>
      <c r="R495" s="16" t="n">
        <v>0</v>
      </c>
      <c r="S495" s="16" t="n">
        <v>14370822.53</v>
      </c>
      <c r="T495" s="27" t="n">
        <v>0</v>
      </c>
      <c r="U495" s="17" t="n">
        <v>9389.2312832</v>
      </c>
      <c r="V495" s="17" t="n">
        <v>9389.2312832</v>
      </c>
      <c r="W495" s="21" t="n">
        <v>2024</v>
      </c>
      <c r="X495" s="192" t="n">
        <f aca="false" ca="false" dt2D="false" dtr="false" t="normal">1248620.15</f>
        <v>1248620.15</v>
      </c>
      <c r="Y495" s="3" t="n">
        <f aca="false" ca="false" dt2D="false" dtr="false" t="normal">+(K495*10+L495*20)*12*0.85</f>
        <v>413324.39999999997</v>
      </c>
      <c r="Z495" s="3" t="n">
        <f aca="false" ca="false" dt2D="false" dtr="false" t="normal">+(K495*10+L495*20)*12*30</f>
        <v>14587920</v>
      </c>
      <c r="AA495" s="3" t="n">
        <f aca="false" ca="false" dt2D="false" dtr="false" t="normal">+N495-AB495</f>
        <v>0</v>
      </c>
      <c r="AB495" s="27" t="n">
        <f aca="false" ca="true" dt2D="false" dtr="false" t="normal">SUBTOTAL(9, AC495:AQ495)</f>
        <v>33314419.46</v>
      </c>
      <c r="AC495" s="17" t="n"/>
      <c r="AD495" s="18" t="n"/>
      <c r="AE495" s="18" t="n"/>
      <c r="AF495" s="18" t="n"/>
      <c r="AG495" s="18" t="n"/>
      <c r="AH495" s="18" t="n"/>
      <c r="AI495" s="17" t="n"/>
      <c r="AJ495" s="18" t="n"/>
      <c r="AK495" s="18" t="n">
        <v>13233639.84</v>
      </c>
      <c r="AL495" s="18" t="n"/>
      <c r="AM495" s="18" t="n">
        <v>20080779.62</v>
      </c>
      <c r="AN495" s="18" t="n">
        <v>0</v>
      </c>
      <c r="AO495" s="17" t="n"/>
      <c r="AP495" s="189" t="n"/>
      <c r="AQ495" s="185" t="n"/>
      <c r="AR495" s="186" t="n">
        <f aca="false" ca="false" dt2D="false" dtr="false" t="normal">COUNTIF(AC495:AN495, "&gt;0")</f>
        <v>2</v>
      </c>
      <c r="AT495" s="187" t="n"/>
    </row>
    <row customFormat="true" ht="15.75" outlineLevel="0" r="496" s="184">
      <c r="A496" s="5" t="n">
        <f aca="false" ca="false" dt2D="false" dtr="false" t="normal">A495+1</f>
        <v>475</v>
      </c>
      <c r="B496" s="6" t="n">
        <f aca="false" ca="false" dt2D="false" dtr="false" t="normal">B495+1</f>
        <v>16</v>
      </c>
      <c r="C496" s="138" t="s">
        <v>179</v>
      </c>
      <c r="D496" s="138" t="s">
        <v>195</v>
      </c>
      <c r="E496" s="139" t="s">
        <v>196</v>
      </c>
      <c r="F496" s="139" t="n"/>
      <c r="G496" s="139" t="s">
        <v>4</v>
      </c>
      <c r="H496" s="139" t="s">
        <v>165</v>
      </c>
      <c r="I496" s="139" t="s">
        <v>5</v>
      </c>
      <c r="J496" s="17" t="n">
        <v>2573</v>
      </c>
      <c r="K496" s="17" t="n">
        <v>2123.1</v>
      </c>
      <c r="L496" s="17" t="n">
        <v>269</v>
      </c>
      <c r="M496" s="140" t="n">
        <v>123</v>
      </c>
      <c r="N496" s="16" t="n">
        <f aca="false" ca="false" dt2D="false" dtr="false" t="normal">P496+Q496+R496+S496+T496</f>
        <v>21486062.09</v>
      </c>
      <c r="O496" s="17" t="n">
        <v>0</v>
      </c>
      <c r="P496" s="18" t="n">
        <v>11634669.89</v>
      </c>
      <c r="Q496" s="18" t="n"/>
      <c r="R496" s="16" t="n">
        <v>271432.2</v>
      </c>
      <c r="S496" s="16" t="n">
        <v>9579960</v>
      </c>
      <c r="T496" s="27" t="n">
        <v>0</v>
      </c>
      <c r="U496" s="17" t="n">
        <v>9414.08254353488</v>
      </c>
      <c r="V496" s="17" t="n">
        <v>9414.08254353488</v>
      </c>
      <c r="W496" s="21" t="n">
        <v>2024</v>
      </c>
      <c r="X496" s="192" t="n">
        <f aca="false" ca="false" dt2D="false" dtr="false" t="normal">770087.63</f>
        <v>770087.63</v>
      </c>
      <c r="Y496" s="3" t="n">
        <f aca="false" ca="false" dt2D="false" dtr="false" t="normal">+(K496*10+L496*20)*12*0.85</f>
        <v>271432.2</v>
      </c>
      <c r="Z496" s="3" t="n">
        <f aca="false" ca="false" dt2D="false" dtr="false" t="normal">+(K496*10+L496*20)*12*30</f>
        <v>9579960</v>
      </c>
      <c r="AA496" s="3" t="n">
        <f aca="false" ca="false" dt2D="false" dtr="false" t="normal">+N496-AB496</f>
        <v>0</v>
      </c>
      <c r="AB496" s="27" t="n">
        <f aca="false" ca="true" dt2D="false" dtr="false" t="normal">SUBTOTAL(9, AC496:AQ496)</f>
        <v>21486062.09</v>
      </c>
      <c r="AC496" s="17" t="n"/>
      <c r="AD496" s="18" t="n"/>
      <c r="AE496" s="18" t="n"/>
      <c r="AF496" s="18" t="n"/>
      <c r="AG496" s="18" t="n"/>
      <c r="AH496" s="18" t="n"/>
      <c r="AI496" s="17" t="n"/>
      <c r="AJ496" s="18" t="n"/>
      <c r="AK496" s="18" t="n">
        <v>8537578.66</v>
      </c>
      <c r="AL496" s="18" t="n"/>
      <c r="AM496" s="18" t="n">
        <v>12948483.43</v>
      </c>
      <c r="AN496" s="18" t="n">
        <v>0</v>
      </c>
      <c r="AO496" s="189" t="n"/>
      <c r="AP496" s="189" t="n"/>
      <c r="AQ496" s="185" t="n"/>
      <c r="AR496" s="186" t="n">
        <f aca="false" ca="false" dt2D="false" dtr="false" t="normal">COUNTIF(AC496:AN496, "&gt;0")</f>
        <v>2</v>
      </c>
      <c r="AT496" s="187" t="n"/>
    </row>
    <row ht="15.75" outlineLevel="0" r="497">
      <c r="A497" s="5" t="n">
        <f aca="false" ca="false" dt2D="false" dtr="false" t="normal">A496+1</f>
        <v>476</v>
      </c>
      <c r="B497" s="6" t="n">
        <f aca="false" ca="false" dt2D="false" dtr="false" t="normal">B496+1</f>
        <v>17</v>
      </c>
      <c r="C497" s="138" t="s">
        <v>104</v>
      </c>
      <c r="D497" s="138" t="s">
        <v>108</v>
      </c>
      <c r="E497" s="139" t="n">
        <v>1996</v>
      </c>
      <c r="F497" s="139" t="n">
        <v>1996</v>
      </c>
      <c r="G497" s="139" t="s">
        <v>4</v>
      </c>
      <c r="H497" s="139" t="n">
        <v>9</v>
      </c>
      <c r="I497" s="139" t="n">
        <v>2</v>
      </c>
      <c r="J497" s="17" t="n">
        <v>5868.8</v>
      </c>
      <c r="K497" s="17" t="n">
        <v>4891.1</v>
      </c>
      <c r="L497" s="17" t="n">
        <v>103.4</v>
      </c>
      <c r="M497" s="140" t="n">
        <v>176</v>
      </c>
      <c r="N497" s="16" t="n">
        <f aca="false" ca="false" dt2D="false" dtr="false" t="normal">P497+Q497+R497+S497+T497</f>
        <v>6214827.949999999</v>
      </c>
      <c r="O497" s="17" t="n"/>
      <c r="P497" s="18" t="n">
        <v>0</v>
      </c>
      <c r="Q497" s="18" t="n"/>
      <c r="R497" s="16" t="n">
        <v>878663.299999999</v>
      </c>
      <c r="S497" s="16" t="n">
        <v>5295493.23</v>
      </c>
      <c r="T497" s="17" t="n">
        <v>40671.42</v>
      </c>
      <c r="U497" s="18" t="n">
        <v>2417.60787044305</v>
      </c>
      <c r="V497" s="18" t="n">
        <v>2417.60787044305</v>
      </c>
      <c r="W497" s="21" t="n">
        <v>2024</v>
      </c>
      <c r="X497" s="12" t="n">
        <v>0</v>
      </c>
      <c r="Y497" s="3" t="n">
        <f aca="false" ca="false" dt2D="false" dtr="false" t="normal">+(K497*15.35+L497*26.02)*12*0.85</f>
        <v>793242.3006</v>
      </c>
      <c r="Z497" s="3" t="n">
        <f aca="false" ca="false" dt2D="false" dtr="false" t="normal">+(K497*15.35+L497*26.02)*12*30-'[1]Лист1'!$AQ$121</f>
        <v>19414217.78</v>
      </c>
      <c r="AA497" s="3" t="n">
        <f aca="false" ca="false" dt2D="false" dtr="false" t="normal">+N497-AB497</f>
        <v>40671.419999999925</v>
      </c>
      <c r="AB497" s="27" t="n">
        <f aca="false" ca="true" dt2D="false" dtr="false" t="normal">SUBTOTAL(9, AC497:AQ497)</f>
        <v>6174156.529999999</v>
      </c>
      <c r="AC497" s="17" t="n"/>
      <c r="AD497" s="18" t="n"/>
      <c r="AE497" s="18" t="n">
        <v>3003296.09</v>
      </c>
      <c r="AF497" s="18" t="n"/>
      <c r="AG497" s="18" t="n">
        <v>0</v>
      </c>
      <c r="AH497" s="18" t="n"/>
      <c r="AI497" s="17" t="n"/>
      <c r="AJ497" s="18" t="n">
        <v>2829176.44</v>
      </c>
      <c r="AK497" s="18" t="n"/>
      <c r="AL497" s="18" t="n">
        <v>0</v>
      </c>
      <c r="AM497" s="18" t="n">
        <v>0</v>
      </c>
      <c r="AN497" s="18" t="n">
        <v>0</v>
      </c>
      <c r="AO497" s="18" t="n">
        <v>256263</v>
      </c>
      <c r="AP497" s="18" t="n">
        <v>85421</v>
      </c>
      <c r="AQ497" s="18" t="n"/>
      <c r="AR497" s="186" t="n">
        <f aca="false" ca="false" dt2D="false" dtr="false" t="normal">COUNTIF(AC497:AN497, "&gt;0")</f>
        <v>2</v>
      </c>
    </row>
    <row ht="15.75" outlineLevel="0" r="498">
      <c r="A498" s="5" t="n">
        <f aca="false" ca="false" dt2D="false" dtr="false" t="normal">A497+1</f>
        <v>477</v>
      </c>
      <c r="B498" s="6" t="n">
        <f aca="false" ca="false" dt2D="false" dtr="false" t="normal">B497+1</f>
        <v>18</v>
      </c>
      <c r="C498" s="138" t="s">
        <v>104</v>
      </c>
      <c r="D498" s="138" t="s">
        <v>199</v>
      </c>
      <c r="E498" s="139" t="n">
        <v>1983</v>
      </c>
      <c r="F498" s="139" t="n">
        <v>2016</v>
      </c>
      <c r="G498" s="139" t="s">
        <v>4</v>
      </c>
      <c r="H498" s="139" t="n">
        <v>4</v>
      </c>
      <c r="I498" s="139" t="n">
        <v>6</v>
      </c>
      <c r="J498" s="17" t="n">
        <v>4031.7</v>
      </c>
      <c r="K498" s="17" t="n">
        <v>3532.1</v>
      </c>
      <c r="L498" s="17" t="n">
        <v>54.9</v>
      </c>
      <c r="M498" s="140" t="n">
        <v>133</v>
      </c>
      <c r="N498" s="16" t="n">
        <f aca="false" ca="false" dt2D="false" dtr="false" t="normal">P498+Q498+R498+S498+T498</f>
        <v>3168590.98</v>
      </c>
      <c r="O498" s="17" t="n"/>
      <c r="P498" s="18" t="n">
        <v>0</v>
      </c>
      <c r="Q498" s="18" t="n"/>
      <c r="R498" s="16" t="n">
        <v>1238345.91</v>
      </c>
      <c r="S498" s="16" t="n">
        <v>1476469.41</v>
      </c>
      <c r="T498" s="188" t="n">
        <v>453775.66</v>
      </c>
      <c r="U498" s="17" t="n">
        <v>773.399172063113</v>
      </c>
      <c r="V498" s="17" t="n">
        <v>773.399172063113</v>
      </c>
      <c r="W498" s="21" t="n">
        <v>2024</v>
      </c>
      <c r="X498" s="1" t="n">
        <v>809293.67</v>
      </c>
      <c r="Y498" s="3" t="n">
        <f aca="false" ca="false" dt2D="false" dtr="false" t="normal">+(K498*11.55+L498*23.1)*12*0.85</f>
        <v>429052.23900000006</v>
      </c>
      <c r="Z498" s="3" t="n">
        <f aca="false" ca="false" dt2D="false" dtr="false" t="normal">+(K498*11.55+L498*23.1)*12*30</f>
        <v>15143020.200000003</v>
      </c>
      <c r="AA498" s="3" t="n">
        <f aca="false" ca="false" dt2D="false" dtr="false" t="normal">+N498-AB498</f>
        <v>32651.540000000037</v>
      </c>
      <c r="AB498" s="27" t="n">
        <f aca="false" ca="true" dt2D="false" dtr="false" t="normal">SUBTOTAL(9, AC498:AQ498)</f>
        <v>3135939.44</v>
      </c>
      <c r="AC498" s="17" t="n">
        <v>0</v>
      </c>
      <c r="AD498" s="18" t="n">
        <v>0</v>
      </c>
      <c r="AE498" s="18" t="n">
        <v>3135939.44</v>
      </c>
      <c r="AF498" s="18" t="n">
        <v>0</v>
      </c>
      <c r="AG498" s="18" t="n">
        <v>0</v>
      </c>
      <c r="AH498" s="18" t="n"/>
      <c r="AI498" s="17" t="n"/>
      <c r="AJ498" s="18" t="n">
        <v>0</v>
      </c>
      <c r="AK498" s="18" t="n">
        <v>0</v>
      </c>
      <c r="AL498" s="18" t="n">
        <v>0</v>
      </c>
      <c r="AM498" s="18" t="n">
        <v>0</v>
      </c>
      <c r="AN498" s="18" t="n">
        <v>0</v>
      </c>
      <c r="AO498" s="18" t="n"/>
      <c r="AP498" s="18" t="n"/>
      <c r="AQ498" s="191" t="n"/>
      <c r="AR498" s="186" t="n">
        <f aca="false" ca="false" dt2D="false" dtr="false" t="normal">COUNTIF(AC498:AN498, "&gt;0")</f>
        <v>1</v>
      </c>
      <c r="AU498" s="3" t="n"/>
    </row>
    <row ht="15.75" outlineLevel="0" r="499">
      <c r="A499" s="5" t="n">
        <f aca="false" ca="false" dt2D="false" dtr="false" t="normal">A498+1</f>
        <v>478</v>
      </c>
      <c r="B499" s="6" t="n">
        <f aca="false" ca="false" dt2D="false" dtr="false" t="normal">B498+1</f>
        <v>19</v>
      </c>
      <c r="C499" s="138" t="s">
        <v>104</v>
      </c>
      <c r="D499" s="138" t="s">
        <v>201</v>
      </c>
      <c r="E499" s="139" t="n">
        <v>1986</v>
      </c>
      <c r="F499" s="139" t="n">
        <v>2017</v>
      </c>
      <c r="G499" s="139" t="s">
        <v>4</v>
      </c>
      <c r="H499" s="139" t="n">
        <v>9</v>
      </c>
      <c r="I499" s="139" t="n">
        <v>1</v>
      </c>
      <c r="J499" s="17" t="n">
        <v>3148.9</v>
      </c>
      <c r="K499" s="17" t="n">
        <v>2686.2</v>
      </c>
      <c r="L499" s="17" t="n">
        <v>0</v>
      </c>
      <c r="M499" s="140" t="n">
        <v>112</v>
      </c>
      <c r="N499" s="16" t="n">
        <f aca="false" ca="false" dt2D="false" dtr="false" t="normal">P499+Q499+R499+S499+T499</f>
        <v>4428811.109999999</v>
      </c>
      <c r="O499" s="17" t="n"/>
      <c r="P499" s="18" t="n">
        <v>0</v>
      </c>
      <c r="Q499" s="18" t="n"/>
      <c r="R499" s="16" t="n">
        <v>420578.33</v>
      </c>
      <c r="S499" s="16" t="n">
        <v>3749455.51</v>
      </c>
      <c r="T499" s="188" t="n">
        <v>258777.27</v>
      </c>
      <c r="U499" s="18" t="n">
        <v>11225.6769820139</v>
      </c>
      <c r="V499" s="18" t="n">
        <v>1187.283020064</v>
      </c>
      <c r="W499" s="21" t="n">
        <v>2024</v>
      </c>
      <c r="X499" s="12" t="n">
        <v>0</v>
      </c>
      <c r="Y499" s="3" t="n">
        <f aca="false" ca="false" dt2D="false" dtr="false" t="normal">+(K499*15.35+L499*26.02)*12*0.85</f>
        <v>420578.334</v>
      </c>
      <c r="Z499" s="3" t="n">
        <f aca="false" ca="false" dt2D="false" dtr="false" t="normal">+(K499*15.35+L499*26.02)*12*30-'[1]Лист1'!$AQ$123</f>
        <v>14552908.19</v>
      </c>
      <c r="AA499" s="3" t="n">
        <f aca="false" ca="false" dt2D="false" dtr="false" t="normal">+N499-AB499</f>
        <v>13731.469999998808</v>
      </c>
      <c r="AB499" s="27" t="n">
        <f aca="false" ca="true" dt2D="false" dtr="false" t="normal">SUBTOTAL(9, AC499:AQ499)</f>
        <v>4415079.640000001</v>
      </c>
      <c r="AC499" s="17" t="n">
        <v>2266868.58</v>
      </c>
      <c r="AD499" s="18" t="n">
        <v>0</v>
      </c>
      <c r="AE499" s="18" t="n">
        <v>2148211.06</v>
      </c>
      <c r="AF499" s="18" t="n">
        <v>0</v>
      </c>
      <c r="AG499" s="18" t="n">
        <v>0</v>
      </c>
      <c r="AH499" s="18" t="n"/>
      <c r="AI499" s="17" t="n"/>
      <c r="AJ499" s="18" t="n">
        <v>0</v>
      </c>
      <c r="AK499" s="18" t="n"/>
      <c r="AL499" s="18" t="n">
        <v>0</v>
      </c>
      <c r="AM499" s="18" t="n"/>
      <c r="AN499" s="18" t="n">
        <v>0</v>
      </c>
      <c r="AO499" s="18" t="n"/>
      <c r="AP499" s="18" t="n"/>
      <c r="AQ499" s="191" t="n"/>
      <c r="AR499" s="186" t="n">
        <f aca="false" ca="false" dt2D="false" dtr="false" t="normal">COUNTIF(AC499:AN499, "&gt;0")</f>
        <v>2</v>
      </c>
      <c r="AU499" s="3" t="n"/>
    </row>
    <row ht="15.75" outlineLevel="0" r="500">
      <c r="A500" s="5" t="n">
        <f aca="false" ca="false" dt2D="false" dtr="false" t="normal">A499+1</f>
        <v>479</v>
      </c>
      <c r="B500" s="6" t="n">
        <f aca="false" ca="false" dt2D="false" dtr="false" t="normal">B499+1</f>
        <v>20</v>
      </c>
      <c r="C500" s="138" t="s">
        <v>104</v>
      </c>
      <c r="D500" s="138" t="s">
        <v>203</v>
      </c>
      <c r="E500" s="139" t="n">
        <v>1981</v>
      </c>
      <c r="F500" s="139" t="n">
        <v>2010</v>
      </c>
      <c r="G500" s="139" t="s">
        <v>4</v>
      </c>
      <c r="H500" s="139" t="n">
        <v>4</v>
      </c>
      <c r="I500" s="139" t="n">
        <v>6</v>
      </c>
      <c r="J500" s="17" t="n">
        <v>4191.3</v>
      </c>
      <c r="K500" s="17" t="n">
        <v>2691</v>
      </c>
      <c r="L500" s="17" t="n">
        <v>827.4</v>
      </c>
      <c r="M500" s="140" t="n">
        <v>128</v>
      </c>
      <c r="N500" s="16" t="n">
        <f aca="false" ca="false" dt2D="false" dtr="false" t="normal">P500+Q500+R500+S500+T500</f>
        <v>3071834.26</v>
      </c>
      <c r="O500" s="17" t="n"/>
      <c r="P500" s="18" t="n">
        <v>0</v>
      </c>
      <c r="Q500" s="18" t="n"/>
      <c r="R500" s="16" t="n">
        <v>2871298.48</v>
      </c>
      <c r="S500" s="16" t="n">
        <v>119979.38</v>
      </c>
      <c r="T500" s="188" t="n">
        <v>80556.4</v>
      </c>
      <c r="U500" s="17" t="n">
        <v>833.707791230341</v>
      </c>
      <c r="V500" s="17" t="n">
        <v>833.707791230341</v>
      </c>
      <c r="W500" s="21" t="n">
        <v>2024</v>
      </c>
      <c r="X500" s="1" t="n">
        <v>2359319.78</v>
      </c>
      <c r="Y500" s="3" t="n">
        <f aca="false" ca="false" dt2D="false" dtr="false" t="normal">+(K500*11.55+L500*23.1)*12*0.85</f>
        <v>511978.6980000001</v>
      </c>
      <c r="Z500" s="3" t="n">
        <f aca="false" ca="false" dt2D="false" dtr="false" t="normal">+(K500*11.55+L500*23.1)*12*30</f>
        <v>18069836.400000002</v>
      </c>
      <c r="AA500" s="3" t="n">
        <f aca="false" ca="false" dt2D="false" dtr="false" t="normal">+N500-AB500</f>
        <v>33737.00999999978</v>
      </c>
      <c r="AB500" s="27" t="n">
        <f aca="false" ca="true" dt2D="false" dtr="false" t="normal">SUBTOTAL(9, AC500:AQ500)</f>
        <v>3038097.25</v>
      </c>
      <c r="AC500" s="17" t="n">
        <v>0</v>
      </c>
      <c r="AD500" s="18" t="n">
        <v>0</v>
      </c>
      <c r="AE500" s="18" t="n">
        <v>3038097.25</v>
      </c>
      <c r="AF500" s="18" t="n">
        <v>0</v>
      </c>
      <c r="AG500" s="18" t="n">
        <v>0</v>
      </c>
      <c r="AH500" s="18" t="n"/>
      <c r="AI500" s="17" t="n"/>
      <c r="AJ500" s="18" t="n">
        <v>0</v>
      </c>
      <c r="AK500" s="18" t="n">
        <v>0</v>
      </c>
      <c r="AL500" s="18" t="n">
        <v>0</v>
      </c>
      <c r="AM500" s="18" t="n">
        <v>0</v>
      </c>
      <c r="AN500" s="18" t="n">
        <v>0</v>
      </c>
      <c r="AO500" s="18" t="n"/>
      <c r="AP500" s="18" t="n"/>
      <c r="AQ500" s="191" t="n"/>
      <c r="AR500" s="186" t="n">
        <f aca="false" ca="false" dt2D="false" dtr="false" t="normal">COUNTIF(AC500:AN500, "&gt;0")</f>
        <v>1</v>
      </c>
      <c r="AU500" s="3" t="n"/>
    </row>
    <row ht="15.75" outlineLevel="0" r="501">
      <c r="A501" s="5" t="n">
        <f aca="false" ca="false" dt2D="false" dtr="false" t="normal">A500+1</f>
        <v>480</v>
      </c>
      <c r="B501" s="6" t="n">
        <f aca="false" ca="false" dt2D="false" dtr="false" t="normal">B500+1</f>
        <v>21</v>
      </c>
      <c r="C501" s="138" t="s">
        <v>104</v>
      </c>
      <c r="D501" s="138" t="s">
        <v>205</v>
      </c>
      <c r="E501" s="139" t="n">
        <v>1980</v>
      </c>
      <c r="F501" s="139" t="n">
        <v>2010</v>
      </c>
      <c r="G501" s="139" t="s">
        <v>4</v>
      </c>
      <c r="H501" s="139" t="n">
        <v>5</v>
      </c>
      <c r="I501" s="139" t="n">
        <v>3</v>
      </c>
      <c r="J501" s="17" t="n">
        <v>5185</v>
      </c>
      <c r="K501" s="17" t="n">
        <v>4394.2</v>
      </c>
      <c r="L501" s="17" t="n">
        <v>0</v>
      </c>
      <c r="M501" s="140" t="n">
        <v>182</v>
      </c>
      <c r="N501" s="16" t="n">
        <f aca="false" ca="false" dt2D="false" dtr="false" t="normal">P501+Q501+R501+S501+T501</f>
        <v>9020661.24</v>
      </c>
      <c r="O501" s="17" t="n"/>
      <c r="P501" s="18" t="n">
        <v>0</v>
      </c>
      <c r="Q501" s="18" t="n"/>
      <c r="R501" s="16" t="n">
        <v>1276190.29</v>
      </c>
      <c r="S501" s="16" t="n">
        <v>7744470.95</v>
      </c>
      <c r="T501" s="27" t="n">
        <v>0</v>
      </c>
      <c r="U501" s="18" t="n">
        <v>3596.82683394726</v>
      </c>
      <c r="V501" s="18" t="n">
        <v>1188.283020064</v>
      </c>
      <c r="W501" s="21" t="n">
        <v>2024</v>
      </c>
      <c r="X501" s="103" t="n">
        <v>758509.59</v>
      </c>
      <c r="Y501" s="3" t="n">
        <f aca="false" ca="false" dt2D="false" dtr="false" t="normal">+(K501*11.55+L501*23.1)*12*0.85</f>
        <v>517680.702</v>
      </c>
      <c r="Z501" s="3" t="n">
        <f aca="false" ca="false" dt2D="false" dtr="false" t="normal">+(K501*11.55+L501*23.1)*12*30</f>
        <v>18271083.6</v>
      </c>
      <c r="AA501" s="3" t="n">
        <f aca="false" ca="false" dt2D="false" dtr="false" t="normal">+N501-AB501</f>
        <v>0</v>
      </c>
      <c r="AB501" s="27" t="n">
        <f aca="false" ca="true" dt2D="false" dtr="false" t="normal">SUBTOTAL(9, AC501:AQ501)</f>
        <v>9020661.24</v>
      </c>
      <c r="AC501" s="17" t="n">
        <v>0</v>
      </c>
      <c r="AD501" s="18" t="n">
        <v>0</v>
      </c>
      <c r="AE501" s="18" t="n">
        <v>0</v>
      </c>
      <c r="AF501" s="18" t="n">
        <v>0</v>
      </c>
      <c r="AG501" s="18" t="n">
        <v>0</v>
      </c>
      <c r="AH501" s="18" t="n"/>
      <c r="AI501" s="17" t="n"/>
      <c r="AJ501" s="18" t="n">
        <v>0</v>
      </c>
      <c r="AK501" s="18" t="n">
        <v>9020661.24</v>
      </c>
      <c r="AL501" s="18" t="n">
        <v>0</v>
      </c>
      <c r="AM501" s="18" t="n"/>
      <c r="AN501" s="18" t="n">
        <v>0</v>
      </c>
      <c r="AO501" s="18" t="n"/>
      <c r="AP501" s="18" t="n"/>
      <c r="AQ501" s="185" t="n"/>
      <c r="AR501" s="186" t="n">
        <f aca="false" ca="false" dt2D="false" dtr="false" t="normal">COUNTIF(AC501:AN501, "&gt;0")</f>
        <v>1</v>
      </c>
      <c r="AU501" s="3" t="n"/>
    </row>
    <row ht="15.75" outlineLevel="0" r="502">
      <c r="A502" s="5" t="n">
        <f aca="false" ca="false" dt2D="false" dtr="false" t="normal">A501+1</f>
        <v>481</v>
      </c>
      <c r="B502" s="6" t="n">
        <f aca="false" ca="false" dt2D="false" dtr="false" t="normal">B501+1</f>
        <v>22</v>
      </c>
      <c r="C502" s="138" t="s">
        <v>104</v>
      </c>
      <c r="D502" s="138" t="s">
        <v>207</v>
      </c>
      <c r="E502" s="139" t="n">
        <v>1990</v>
      </c>
      <c r="F502" s="139" t="n">
        <v>1990</v>
      </c>
      <c r="G502" s="139" t="s">
        <v>4</v>
      </c>
      <c r="H502" s="139" t="n">
        <v>5</v>
      </c>
      <c r="I502" s="139" t="n">
        <v>6</v>
      </c>
      <c r="J502" s="17" t="n">
        <v>5149.9</v>
      </c>
      <c r="K502" s="17" t="n">
        <v>4605.8</v>
      </c>
      <c r="L502" s="17" t="n">
        <v>0</v>
      </c>
      <c r="M502" s="140" t="n">
        <v>217</v>
      </c>
      <c r="N502" s="16" t="n">
        <f aca="false" ca="false" dt2D="false" dtr="false" t="normal">P502+Q502+R502+S502+T502</f>
        <v>3868134.0800000005</v>
      </c>
      <c r="O502" s="17" t="n"/>
      <c r="P502" s="18" t="n">
        <v>0</v>
      </c>
      <c r="Q502" s="18" t="n"/>
      <c r="R502" s="16" t="n">
        <v>542609.3</v>
      </c>
      <c r="S502" s="16" t="n">
        <v>3285923.64</v>
      </c>
      <c r="T502" s="188" t="n">
        <v>39601.14</v>
      </c>
      <c r="U502" s="17" t="n">
        <v>856.052019950121</v>
      </c>
      <c r="V502" s="17" t="n">
        <v>856.052019950121</v>
      </c>
      <c r="W502" s="21" t="n">
        <v>2024</v>
      </c>
      <c r="Y502" s="3" t="n">
        <f aca="false" ca="false" dt2D="false" dtr="false" t="normal">+(K502*11.55+L502*23.1)*12*0.85</f>
        <v>542609.2980000001</v>
      </c>
      <c r="Z502" s="3" t="n">
        <f aca="false" ca="false" dt2D="false" dtr="false" t="normal">+(K502*11.55+L502*23.1)*12*30-'[1]Лист1'!$AQ$126</f>
        <v>12686946.230000002</v>
      </c>
      <c r="AA502" s="3" t="n">
        <f aca="false" ca="false" dt2D="false" dtr="false" t="normal">+N502-AB502</f>
        <v>39601.140000000596</v>
      </c>
      <c r="AB502" s="27" t="n">
        <f aca="false" ca="true" dt2D="false" dtr="false" t="normal">SUBTOTAL(9, AC502:AQ502)</f>
        <v>3828532.94</v>
      </c>
      <c r="AC502" s="17" t="n"/>
      <c r="AD502" s="18" t="n"/>
      <c r="AE502" s="18" t="n">
        <v>3828532.94</v>
      </c>
      <c r="AF502" s="18" t="n"/>
      <c r="AG502" s="18" t="n">
        <v>0</v>
      </c>
      <c r="AH502" s="18" t="n"/>
      <c r="AI502" s="17" t="n"/>
      <c r="AJ502" s="18" t="n">
        <v>0</v>
      </c>
      <c r="AK502" s="18" t="n">
        <v>0</v>
      </c>
      <c r="AL502" s="18" t="n">
        <v>0</v>
      </c>
      <c r="AM502" s="18" t="n">
        <v>0</v>
      </c>
      <c r="AN502" s="18" t="n">
        <v>0</v>
      </c>
      <c r="AO502" s="18" t="n"/>
      <c r="AP502" s="18" t="n"/>
      <c r="AQ502" s="191" t="n"/>
      <c r="AR502" s="186" t="n">
        <f aca="false" ca="false" dt2D="false" dtr="false" t="normal">COUNTIF(AC502:AN502, "&gt;0")</f>
        <v>1</v>
      </c>
      <c r="AU502" s="3" t="n"/>
    </row>
    <row ht="15.75" outlineLevel="0" r="503">
      <c r="A503" s="5" t="n">
        <f aca="false" ca="false" dt2D="false" dtr="false" t="normal">A502+1</f>
        <v>482</v>
      </c>
      <c r="B503" s="6" t="n">
        <f aca="false" ca="false" dt2D="false" dtr="false" t="normal">B502+1</f>
        <v>23</v>
      </c>
      <c r="C503" s="138" t="s">
        <v>104</v>
      </c>
      <c r="D503" s="138" t="s">
        <v>211</v>
      </c>
      <c r="E503" s="139" t="n">
        <v>1985</v>
      </c>
      <c r="F503" s="139" t="n">
        <v>2017</v>
      </c>
      <c r="G503" s="139" t="s">
        <v>4</v>
      </c>
      <c r="H503" s="139" t="n">
        <v>9</v>
      </c>
      <c r="I503" s="139" t="n">
        <v>5</v>
      </c>
      <c r="J503" s="17" t="n">
        <v>13256</v>
      </c>
      <c r="K503" s="17" t="n">
        <v>10326.3</v>
      </c>
      <c r="L503" s="17" t="n">
        <v>160.4</v>
      </c>
      <c r="M503" s="140" t="n">
        <v>409</v>
      </c>
      <c r="N503" s="16" t="n">
        <f aca="false" ca="false" dt2D="false" dtr="false" t="normal">P503+Q503+R503+S503+T503</f>
        <v>6063069.87</v>
      </c>
      <c r="O503" s="17" t="n"/>
      <c r="P503" s="18" t="n">
        <v>0</v>
      </c>
      <c r="Q503" s="18" t="n"/>
      <c r="R503" s="16" t="n">
        <v>6063069.87</v>
      </c>
      <c r="S503" s="27" t="n">
        <v>0</v>
      </c>
      <c r="T503" s="27" t="n">
        <v>0</v>
      </c>
      <c r="U503" s="17" t="n">
        <v>3446.00159899302</v>
      </c>
      <c r="V503" s="17" t="n">
        <v>3446.00159899302</v>
      </c>
      <c r="W503" s="21" t="n">
        <v>2024</v>
      </c>
      <c r="X503" s="1" t="n">
        <v>6376950.85</v>
      </c>
      <c r="Y503" s="3" t="n">
        <f aca="false" ca="false" dt2D="false" dtr="false" t="normal">+(K503*13.29+L503*22.52)*12*0.85</f>
        <v>1436657.0969999998</v>
      </c>
      <c r="Z503" s="3" t="n">
        <f aca="false" ca="false" dt2D="false" dtr="false" t="normal">+(K503*13.29+L503*22.52)*12*30</f>
        <v>50705544.599999994</v>
      </c>
      <c r="AA503" s="3" t="n">
        <f aca="false" ca="false" dt2D="false" dtr="false" t="normal">+N503-AB503</f>
        <v>0</v>
      </c>
      <c r="AB503" s="27" t="n">
        <f aca="false" ca="true" dt2D="false" dtr="false" t="normal">SUBTOTAL(9, AC503:AQ503)</f>
        <v>6063069.87</v>
      </c>
      <c r="AC503" s="17" t="n"/>
      <c r="AD503" s="18" t="n">
        <v>0</v>
      </c>
      <c r="AE503" s="18" t="n">
        <v>6052553.72</v>
      </c>
      <c r="AF503" s="18" t="n">
        <v>0</v>
      </c>
      <c r="AG503" s="18" t="n">
        <v>0</v>
      </c>
      <c r="AH503" s="18" t="n"/>
      <c r="AI503" s="17" t="n"/>
      <c r="AJ503" s="18" t="n">
        <v>0</v>
      </c>
      <c r="AK503" s="18" t="n">
        <v>0</v>
      </c>
      <c r="AL503" s="18" t="n">
        <v>0</v>
      </c>
      <c r="AM503" s="18" t="n">
        <v>0</v>
      </c>
      <c r="AN503" s="18" t="n">
        <v>0</v>
      </c>
      <c r="AO503" s="18" t="n"/>
      <c r="AP503" s="18" t="n"/>
      <c r="AQ503" s="191" t="n">
        <v>10516.15</v>
      </c>
      <c r="AR503" s="186" t="n">
        <f aca="false" ca="false" dt2D="false" dtr="false" t="normal">COUNTIF(AC503:AN503, "&gt;0")</f>
        <v>1</v>
      </c>
      <c r="AU503" s="3" t="n"/>
    </row>
    <row ht="15.75" outlineLevel="0" r="504">
      <c r="A504" s="5" t="n">
        <f aca="false" ca="false" dt2D="false" dtr="false" t="normal">A503+1</f>
        <v>483</v>
      </c>
      <c r="B504" s="6" t="n">
        <f aca="false" ca="false" dt2D="false" dtr="false" t="normal">B503+1</f>
        <v>24</v>
      </c>
      <c r="C504" s="138" t="s">
        <v>104</v>
      </c>
      <c r="D504" s="138" t="s">
        <v>214</v>
      </c>
      <c r="E504" s="139" t="n">
        <v>1992</v>
      </c>
      <c r="F504" s="139" t="n">
        <v>2012</v>
      </c>
      <c r="G504" s="139" t="s">
        <v>4</v>
      </c>
      <c r="H504" s="139" t="n">
        <v>9</v>
      </c>
      <c r="I504" s="139" t="n">
        <v>1</v>
      </c>
      <c r="J504" s="17" t="n">
        <v>2846</v>
      </c>
      <c r="K504" s="17" t="n">
        <v>2452.2</v>
      </c>
      <c r="L504" s="17" t="n">
        <v>0</v>
      </c>
      <c r="M504" s="140" t="n">
        <v>98</v>
      </c>
      <c r="N504" s="16" t="n">
        <f aca="false" ca="false" dt2D="false" dtr="false" t="normal">P504+Q504+R504+S504+T504</f>
        <v>3000018.4499999997</v>
      </c>
      <c r="O504" s="17" t="n"/>
      <c r="P504" s="18" t="n">
        <v>0</v>
      </c>
      <c r="Q504" s="18" t="n"/>
      <c r="R504" s="16" t="n">
        <v>2247888.05</v>
      </c>
      <c r="S504" s="27" t="n">
        <v>752130.4</v>
      </c>
      <c r="T504" s="27" t="n">
        <v>0</v>
      </c>
      <c r="U504" s="18" t="n">
        <v>1741.72171927249</v>
      </c>
      <c r="V504" s="18" t="n">
        <v>1741.72171927249</v>
      </c>
      <c r="W504" s="21" t="n">
        <v>2024</v>
      </c>
      <c r="X504" s="1" t="n">
        <v>1942836.74</v>
      </c>
      <c r="Y504" s="3" t="n">
        <f aca="false" ca="false" dt2D="false" dtr="false" t="normal">+(K504*13.95+L504*23.65)*12*0.85</f>
        <v>348923.53799999994</v>
      </c>
      <c r="Z504" s="3" t="n">
        <f aca="false" ca="false" dt2D="false" dtr="false" t="normal">+(K504*13.95+L504*23.65)*12*30</f>
        <v>12314948.399999997</v>
      </c>
      <c r="AA504" s="3" t="n">
        <f aca="false" ca="false" dt2D="false" dtr="false" t="normal">+N504-AB504</f>
        <v>0</v>
      </c>
      <c r="AB504" s="27" t="n">
        <f aca="false" ca="true" dt2D="false" dtr="false" t="normal">SUBTOTAL(9, AC504:AQ504)</f>
        <v>3000018.45</v>
      </c>
      <c r="AC504" s="17" t="n">
        <v>0</v>
      </c>
      <c r="AD504" s="18" t="n">
        <v>0</v>
      </c>
      <c r="AE504" s="18" t="n">
        <v>0</v>
      </c>
      <c r="AF504" s="18" t="n">
        <v>0</v>
      </c>
      <c r="AG504" s="18" t="n">
        <v>0</v>
      </c>
      <c r="AH504" s="18" t="n"/>
      <c r="AI504" s="17" t="n">
        <v>0</v>
      </c>
      <c r="AJ504" s="18" t="n">
        <v>2829176.45</v>
      </c>
      <c r="AK504" s="18" t="n"/>
      <c r="AL504" s="18" t="n">
        <v>0</v>
      </c>
      <c r="AM504" s="18" t="n">
        <v>0</v>
      </c>
      <c r="AN504" s="18" t="n">
        <v>0</v>
      </c>
      <c r="AO504" s="18" t="n">
        <v>128131.5</v>
      </c>
      <c r="AP504" s="18" t="n">
        <v>42710.5</v>
      </c>
      <c r="AQ504" s="185" t="n"/>
      <c r="AR504" s="186" t="n">
        <f aca="false" ca="false" dt2D="false" dtr="false" t="normal">COUNTIF(AC504:AN504, "&gt;0")</f>
        <v>1</v>
      </c>
      <c r="AU504" s="3" t="n"/>
    </row>
    <row ht="15.75" outlineLevel="0" r="505">
      <c r="A505" s="5" t="n">
        <f aca="false" ca="false" dt2D="false" dtr="false" t="normal">A504+1</f>
        <v>484</v>
      </c>
      <c r="B505" s="6" t="n">
        <f aca="false" ca="false" dt2D="false" dtr="false" t="normal">B504+1</f>
        <v>25</v>
      </c>
      <c r="C505" s="138" t="s">
        <v>104</v>
      </c>
      <c r="D505" s="138" t="s">
        <v>216</v>
      </c>
      <c r="E505" s="139" t="n">
        <v>1985</v>
      </c>
      <c r="F505" s="139" t="n">
        <v>2009</v>
      </c>
      <c r="G505" s="139" t="s">
        <v>4</v>
      </c>
      <c r="H505" s="139" t="n">
        <v>9</v>
      </c>
      <c r="I505" s="139" t="n">
        <v>3</v>
      </c>
      <c r="J505" s="17" t="n">
        <v>8711.5</v>
      </c>
      <c r="K505" s="17" t="n">
        <v>6822.5</v>
      </c>
      <c r="L505" s="17" t="n">
        <v>438.1</v>
      </c>
      <c r="M505" s="140" t="n">
        <v>267</v>
      </c>
      <c r="N505" s="16" t="n">
        <f aca="false" ca="false" dt2D="false" dtr="false" t="normal">P505+Q505+R505+S505+T505</f>
        <v>9000055.31</v>
      </c>
      <c r="O505" s="17" t="n"/>
      <c r="P505" s="18" t="n">
        <v>0</v>
      </c>
      <c r="Q505" s="18" t="n"/>
      <c r="R505" s="16" t="n">
        <v>6408049.38</v>
      </c>
      <c r="S505" s="27" t="n">
        <v>2592005.93</v>
      </c>
      <c r="T505" s="27" t="n">
        <v>0</v>
      </c>
      <c r="U505" s="18" t="n">
        <v>1878.0725540491</v>
      </c>
      <c r="V505" s="18" t="n">
        <v>1196.283020064</v>
      </c>
      <c r="W505" s="21" t="n">
        <v>2024</v>
      </c>
      <c r="X505" s="1" t="n">
        <v>5465842</v>
      </c>
      <c r="Y505" s="3" t="n">
        <f aca="false" ca="false" dt2D="false" dtr="false" t="normal">+(K505*13.95+L505*23.65)*12*0.85</f>
        <v>1076456.388</v>
      </c>
      <c r="Z505" s="3" t="n">
        <f aca="false" ca="false" dt2D="false" dtr="false" t="normal">+(K505*13.95+L505*23.65)*12*30</f>
        <v>37992578.4</v>
      </c>
      <c r="AA505" s="3" t="n">
        <f aca="false" ca="false" dt2D="false" dtr="false" t="normal">+N505-AB505</f>
        <v>0</v>
      </c>
      <c r="AB505" s="27" t="n">
        <f aca="false" ca="true" dt2D="false" dtr="false" t="normal">SUBTOTAL(9, AC505:AQ505)</f>
        <v>9000055.31</v>
      </c>
      <c r="AC505" s="17" t="n"/>
      <c r="AD505" s="18" t="n"/>
      <c r="AE505" s="18" t="n"/>
      <c r="AF505" s="18" t="n"/>
      <c r="AG505" s="18" t="n"/>
      <c r="AH505" s="18" t="n"/>
      <c r="AI505" s="17" t="n"/>
      <c r="AJ505" s="18" t="n">
        <v>8487529.31</v>
      </c>
      <c r="AK505" s="18" t="n"/>
      <c r="AL505" s="18" t="n"/>
      <c r="AM505" s="18" t="n"/>
      <c r="AN505" s="18" t="n"/>
      <c r="AO505" s="18" t="n">
        <v>384394.5</v>
      </c>
      <c r="AP505" s="18" t="n">
        <v>128131.5</v>
      </c>
      <c r="AQ505" s="185" t="n"/>
      <c r="AR505" s="186" t="n">
        <f aca="false" ca="false" dt2D="false" dtr="false" t="normal">COUNTIF(AC505:AN505, "&gt;0")</f>
        <v>1</v>
      </c>
      <c r="AU505" s="3" t="n"/>
    </row>
    <row ht="15.75" outlineLevel="0" r="506">
      <c r="A506" s="5" t="n">
        <f aca="false" ca="false" dt2D="false" dtr="false" t="normal">A505+1</f>
        <v>485</v>
      </c>
      <c r="B506" s="6" t="n">
        <f aca="false" ca="false" dt2D="false" dtr="false" t="normal">B505+1</f>
        <v>26</v>
      </c>
      <c r="C506" s="138" t="s">
        <v>104</v>
      </c>
      <c r="D506" s="138" t="s">
        <v>218</v>
      </c>
      <c r="E506" s="139" t="s">
        <v>196</v>
      </c>
      <c r="F506" s="139" t="n"/>
      <c r="G506" s="139" t="s">
        <v>4</v>
      </c>
      <c r="H506" s="139" t="s">
        <v>150</v>
      </c>
      <c r="I506" s="139" t="s">
        <v>219</v>
      </c>
      <c r="J506" s="17" t="n">
        <v>2946.9</v>
      </c>
      <c r="K506" s="17" t="n">
        <v>2343.5</v>
      </c>
      <c r="L506" s="17" t="n">
        <v>393.2</v>
      </c>
      <c r="M506" s="140" t="n">
        <v>71</v>
      </c>
      <c r="N506" s="16" t="n">
        <f aca="false" ca="false" dt2D="false" dtr="false" t="normal">P506+Q506+R506+S506+T506</f>
        <v>3000018.45</v>
      </c>
      <c r="O506" s="17" t="n"/>
      <c r="P506" s="18" t="n">
        <v>0</v>
      </c>
      <c r="Q506" s="18" t="n"/>
      <c r="R506" s="16" t="n">
        <v>2377696.95</v>
      </c>
      <c r="S506" s="27" t="n">
        <v>622321.5</v>
      </c>
      <c r="T506" s="27" t="n">
        <v>0</v>
      </c>
      <c r="U506" s="18" t="n">
        <v>1560.6569956517</v>
      </c>
      <c r="V506" s="18" t="n">
        <v>1560.6569956517</v>
      </c>
      <c r="W506" s="21" t="n">
        <v>2024</v>
      </c>
      <c r="X506" s="1" t="n">
        <v>1979575.57</v>
      </c>
      <c r="Y506" s="3" t="n">
        <f aca="false" ca="false" dt2D="false" dtr="false" t="normal">+(K506*13.95+L506*23.65)*12*0.85</f>
        <v>428308.25099999993</v>
      </c>
      <c r="Z506" s="3" t="n">
        <f aca="false" ca="false" dt2D="false" dtr="false" t="normal">+(K506*13.95+L506*23.65)*12*30</f>
        <v>15116761.799999999</v>
      </c>
      <c r="AA506" s="3" t="n">
        <f aca="false" ca="false" dt2D="false" dtr="false" t="normal">+N506-AB506</f>
        <v>0</v>
      </c>
      <c r="AB506" s="27" t="n">
        <f aca="false" ca="true" dt2D="false" dtr="false" t="normal">SUBTOTAL(9, AC506:AQ506)</f>
        <v>3000018.45</v>
      </c>
      <c r="AC506" s="17" t="n"/>
      <c r="AD506" s="18" t="n"/>
      <c r="AE506" s="18" t="n"/>
      <c r="AF506" s="18" t="n"/>
      <c r="AG506" s="18" t="n"/>
      <c r="AH506" s="18" t="n"/>
      <c r="AI506" s="17" t="n"/>
      <c r="AJ506" s="18" t="n">
        <v>2829176.45</v>
      </c>
      <c r="AK506" s="18" t="n"/>
      <c r="AL506" s="18" t="n"/>
      <c r="AM506" s="18" t="n"/>
      <c r="AN506" s="18" t="n"/>
      <c r="AO506" s="18" t="n">
        <v>128131.5</v>
      </c>
      <c r="AP506" s="18" t="n">
        <v>42710.5</v>
      </c>
      <c r="AQ506" s="185" t="n"/>
      <c r="AR506" s="186" t="n">
        <f aca="false" ca="false" dt2D="false" dtr="false" t="normal">COUNTIF(AC506:AN506, "&gt;0")</f>
        <v>1</v>
      </c>
      <c r="AU506" s="3" t="n"/>
    </row>
    <row ht="15.75" outlineLevel="0" r="507">
      <c r="A507" s="5" t="n">
        <f aca="false" ca="false" dt2D="false" dtr="false" t="normal">A506+1</f>
        <v>486</v>
      </c>
      <c r="B507" s="6" t="n">
        <f aca="false" ca="false" dt2D="false" dtr="false" t="normal">B506+1</f>
        <v>27</v>
      </c>
      <c r="C507" s="138" t="s">
        <v>104</v>
      </c>
      <c r="D507" s="138" t="s">
        <v>221</v>
      </c>
      <c r="E507" s="139" t="s">
        <v>196</v>
      </c>
      <c r="F507" s="139" t="n"/>
      <c r="G507" s="139" t="s">
        <v>4</v>
      </c>
      <c r="H507" s="139" t="s">
        <v>150</v>
      </c>
      <c r="I507" s="139" t="s">
        <v>5</v>
      </c>
      <c r="J507" s="17" t="n">
        <v>5832.9</v>
      </c>
      <c r="K507" s="17" t="n">
        <v>4738.4</v>
      </c>
      <c r="L507" s="17" t="n">
        <v>801.3</v>
      </c>
      <c r="M507" s="140" t="n">
        <v>154</v>
      </c>
      <c r="N507" s="16" t="n">
        <f aca="false" ca="false" dt2D="false" dtr="false" t="normal">P507+Q507+R507+S507+T507</f>
        <v>6000036.88</v>
      </c>
      <c r="O507" s="17" t="n"/>
      <c r="P507" s="18" t="n">
        <v>0</v>
      </c>
      <c r="Q507" s="18" t="n"/>
      <c r="R507" s="16" t="n">
        <v>4737585.31</v>
      </c>
      <c r="S507" s="27" t="n">
        <v>1262451.57</v>
      </c>
      <c r="T507" s="27" t="n">
        <v>0</v>
      </c>
      <c r="U507" s="18" t="n">
        <v>1541.97880751665</v>
      </c>
      <c r="V507" s="18" t="n">
        <v>1541.97880751665</v>
      </c>
      <c r="W507" s="21" t="n">
        <v>2024</v>
      </c>
      <c r="X507" s="1" t="n">
        <v>3963069.89</v>
      </c>
      <c r="Y507" s="3" t="n">
        <f aca="false" ca="false" dt2D="false" dtr="false" t="normal">+(K507*13.95+L507*23.65)*12*0.85</f>
        <v>867524.5349999999</v>
      </c>
      <c r="Z507" s="3" t="n">
        <f aca="false" ca="false" dt2D="false" dtr="false" t="normal">+(K507*13.95+L507*23.65)*12*30</f>
        <v>30618512.999999996</v>
      </c>
      <c r="AA507" s="3" t="n">
        <f aca="false" ca="false" dt2D="false" dtr="false" t="normal">+N507-AB507</f>
        <v>0</v>
      </c>
      <c r="AB507" s="27" t="n">
        <f aca="false" ca="true" dt2D="false" dtr="false" t="normal">SUBTOTAL(9, AC507:AQ507)</f>
        <v>6000036.88</v>
      </c>
      <c r="AC507" s="17" t="n"/>
      <c r="AD507" s="18" t="n"/>
      <c r="AE507" s="18" t="n"/>
      <c r="AF507" s="18" t="n"/>
      <c r="AG507" s="18" t="n"/>
      <c r="AH507" s="18" t="n"/>
      <c r="AI507" s="17" t="n"/>
      <c r="AJ507" s="18" t="n">
        <v>5658352.88</v>
      </c>
      <c r="AK507" s="18" t="n"/>
      <c r="AL507" s="18" t="n"/>
      <c r="AM507" s="18" t="n"/>
      <c r="AN507" s="18" t="n"/>
      <c r="AO507" s="18" t="n">
        <v>256263</v>
      </c>
      <c r="AP507" s="18" t="n">
        <v>85421</v>
      </c>
      <c r="AQ507" s="185" t="n"/>
      <c r="AR507" s="186" t="n">
        <f aca="false" ca="false" dt2D="false" dtr="false" t="normal">COUNTIF(AC507:AN507, "&gt;0")</f>
        <v>1</v>
      </c>
      <c r="AU507" s="3" t="n"/>
    </row>
    <row ht="15.75" outlineLevel="0" r="508">
      <c r="A508" s="5" t="n">
        <f aca="false" ca="false" dt2D="false" dtr="false" t="normal">A507+1</f>
        <v>487</v>
      </c>
      <c r="B508" s="6" t="n">
        <f aca="false" ca="false" dt2D="false" dtr="false" t="normal">B507+1</f>
        <v>28</v>
      </c>
      <c r="C508" s="138" t="s">
        <v>104</v>
      </c>
      <c r="D508" s="138" t="s">
        <v>223</v>
      </c>
      <c r="E508" s="139" t="s">
        <v>149</v>
      </c>
      <c r="F508" s="139" t="n"/>
      <c r="G508" s="139" t="s">
        <v>4</v>
      </c>
      <c r="H508" s="139" t="s">
        <v>150</v>
      </c>
      <c r="I508" s="139" t="s">
        <v>219</v>
      </c>
      <c r="J508" s="17" t="n">
        <v>3327.1</v>
      </c>
      <c r="K508" s="17" t="n">
        <v>2700.2</v>
      </c>
      <c r="L508" s="17" t="n">
        <v>127.1</v>
      </c>
      <c r="M508" s="140" t="n">
        <v>93</v>
      </c>
      <c r="N508" s="16" t="n">
        <f aca="false" ca="false" dt2D="false" dtr="false" t="normal">P508+Q508+R508+S508+T508</f>
        <v>3000018.4299999997</v>
      </c>
      <c r="O508" s="17" t="n"/>
      <c r="P508" s="18" t="n">
        <v>0</v>
      </c>
      <c r="Q508" s="18" t="n"/>
      <c r="R508" s="27" t="n">
        <v>2695312.82</v>
      </c>
      <c r="S508" s="27" t="n">
        <v>304705.61</v>
      </c>
      <c r="T508" s="27" t="n">
        <v>0</v>
      </c>
      <c r="U508" s="18" t="n">
        <v>1510.64619955435</v>
      </c>
      <c r="V508" s="18" t="n">
        <v>1510.64619955435</v>
      </c>
      <c r="W508" s="21" t="n">
        <v>2024</v>
      </c>
      <c r="X508" s="1" t="n">
        <v>2333087.7</v>
      </c>
      <c r="Y508" s="3" t="n">
        <f aca="false" ca="false" dt2D="false" dtr="false" t="normal">+(K508*13.95+L508*23.65)*12*0.85</f>
        <v>414871.79099999997</v>
      </c>
      <c r="Z508" s="3" t="n">
        <f aca="false" ca="false" dt2D="false" dtr="false" t="normal">+(K508*13.95+L508*23.65)*12*30</f>
        <v>14642533.799999999</v>
      </c>
      <c r="AA508" s="3" t="n">
        <f aca="false" ca="false" dt2D="false" dtr="false" t="normal">+N508-AB508</f>
        <v>0</v>
      </c>
      <c r="AB508" s="27" t="n">
        <f aca="false" ca="true" dt2D="false" dtr="false" t="normal">SUBTOTAL(9, AC508:AQ508)</f>
        <v>3000018.43</v>
      </c>
      <c r="AC508" s="17" t="n"/>
      <c r="AD508" s="18" t="n"/>
      <c r="AE508" s="18" t="n"/>
      <c r="AF508" s="18" t="n"/>
      <c r="AG508" s="18" t="n"/>
      <c r="AH508" s="18" t="n"/>
      <c r="AI508" s="17" t="n"/>
      <c r="AJ508" s="18" t="n">
        <v>2829176.43</v>
      </c>
      <c r="AK508" s="18" t="n"/>
      <c r="AL508" s="18" t="n"/>
      <c r="AM508" s="18" t="n"/>
      <c r="AN508" s="18" t="n"/>
      <c r="AO508" s="18" t="n">
        <v>128131.5</v>
      </c>
      <c r="AP508" s="18" t="n">
        <v>42710.5</v>
      </c>
      <c r="AQ508" s="185" t="n"/>
      <c r="AR508" s="186" t="n">
        <f aca="false" ca="false" dt2D="false" dtr="false" t="normal">COUNTIF(AC508:AN508, "&gt;0")</f>
        <v>1</v>
      </c>
      <c r="AU508" s="3" t="n"/>
    </row>
    <row ht="15.75" outlineLevel="0" r="509">
      <c r="A509" s="5" t="n">
        <f aca="false" ca="false" dt2D="false" dtr="false" t="normal">A508+1</f>
        <v>488</v>
      </c>
      <c r="B509" s="6" t="n">
        <f aca="false" ca="false" dt2D="false" dtr="false" t="normal">B508+1</f>
        <v>29</v>
      </c>
      <c r="C509" s="138" t="s">
        <v>104</v>
      </c>
      <c r="D509" s="138" t="s">
        <v>225</v>
      </c>
      <c r="E509" s="139" t="n">
        <v>1985</v>
      </c>
      <c r="F509" s="139" t="n">
        <v>2011</v>
      </c>
      <c r="G509" s="139" t="s">
        <v>4</v>
      </c>
      <c r="H509" s="139" t="n">
        <v>9</v>
      </c>
      <c r="I509" s="139" t="n">
        <v>3</v>
      </c>
      <c r="J509" s="17" t="n">
        <v>8800.5</v>
      </c>
      <c r="K509" s="17" t="n">
        <v>6909.1</v>
      </c>
      <c r="L509" s="17" t="n">
        <v>362.5</v>
      </c>
      <c r="M509" s="140" t="n">
        <v>269</v>
      </c>
      <c r="N509" s="16" t="n">
        <f aca="false" ca="false" dt2D="false" dtr="false" t="normal">P509+Q509+R509+S509+T509</f>
        <v>9000055.33</v>
      </c>
      <c r="O509" s="17" t="n"/>
      <c r="P509" s="18" t="n">
        <v>0</v>
      </c>
      <c r="Q509" s="18" t="n"/>
      <c r="R509" s="27" t="n">
        <v>6233864.74</v>
      </c>
      <c r="S509" s="27" t="n">
        <v>2766190.59</v>
      </c>
      <c r="T509" s="27" t="n">
        <v>0</v>
      </c>
      <c r="U509" s="18" t="n">
        <v>1762.08124759338</v>
      </c>
      <c r="V509" s="18" t="n">
        <v>1762.08124759338</v>
      </c>
      <c r="W509" s="21" t="n">
        <v>2024</v>
      </c>
      <c r="X509" s="103" t="n">
        <v>5284410.37</v>
      </c>
      <c r="Y509" s="3" t="n">
        <f aca="false" ca="false" dt2D="false" dtr="false" t="normal">+(K509*13.95+L509*23.65)*12*0.85</f>
        <v>1070541.7140000002</v>
      </c>
      <c r="Z509" s="3" t="n">
        <f aca="false" ca="false" dt2D="false" dtr="false" t="normal">+(K509*13.95+L509*23.65)*12*30</f>
        <v>37783825.2</v>
      </c>
      <c r="AA509" s="3" t="n">
        <f aca="false" ca="false" dt2D="false" dtr="false" t="normal">+N509-AB509</f>
        <v>0</v>
      </c>
      <c r="AB509" s="27" t="n">
        <f aca="false" ca="true" dt2D="false" dtr="false" t="normal">SUBTOTAL(9, AC509:AQ509)</f>
        <v>9000055.33</v>
      </c>
      <c r="AC509" s="17" t="n"/>
      <c r="AD509" s="18" t="n"/>
      <c r="AE509" s="18" t="n"/>
      <c r="AF509" s="18" t="n"/>
      <c r="AG509" s="18" t="n"/>
      <c r="AH509" s="18" t="n"/>
      <c r="AI509" s="17" t="n"/>
      <c r="AJ509" s="18" t="n">
        <v>8487529.33</v>
      </c>
      <c r="AK509" s="18" t="n"/>
      <c r="AL509" s="18" t="n"/>
      <c r="AM509" s="18" t="n"/>
      <c r="AN509" s="18" t="n"/>
      <c r="AO509" s="18" t="n">
        <v>384394.5</v>
      </c>
      <c r="AP509" s="18" t="n">
        <v>128131.5</v>
      </c>
      <c r="AQ509" s="185" t="n"/>
      <c r="AR509" s="186" t="n">
        <f aca="false" ca="false" dt2D="false" dtr="false" t="normal">COUNTIF(AC509:AN509, "&gt;0")</f>
        <v>1</v>
      </c>
      <c r="AU509" s="3" t="n"/>
    </row>
    <row ht="15.75" outlineLevel="0" r="510">
      <c r="A510" s="5" t="n">
        <f aca="false" ca="false" dt2D="false" dtr="false" t="normal">A509+1</f>
        <v>489</v>
      </c>
      <c r="B510" s="6" t="n">
        <f aca="false" ca="false" dt2D="false" dtr="false" t="normal">B509+1</f>
        <v>30</v>
      </c>
      <c r="C510" s="138" t="s">
        <v>104</v>
      </c>
      <c r="D510" s="138" t="s">
        <v>116</v>
      </c>
      <c r="E510" s="139" t="n">
        <v>1990</v>
      </c>
      <c r="F510" s="139" t="n">
        <v>2017</v>
      </c>
      <c r="G510" s="139" t="s">
        <v>4</v>
      </c>
      <c r="H510" s="139" t="n">
        <v>9</v>
      </c>
      <c r="I510" s="139" t="n">
        <v>1</v>
      </c>
      <c r="J510" s="17" t="n">
        <v>4531.3</v>
      </c>
      <c r="K510" s="17" t="n">
        <v>3818.4</v>
      </c>
      <c r="L510" s="17" t="n">
        <v>61.2</v>
      </c>
      <c r="M510" s="140" t="n">
        <v>144</v>
      </c>
      <c r="N510" s="16" t="n">
        <f aca="false" ca="false" dt2D="false" dtr="false" t="normal">P510+Q510+R510+S510+T510</f>
        <v>2343081.2</v>
      </c>
      <c r="O510" s="17" t="n"/>
      <c r="P510" s="18" t="n">
        <v>0</v>
      </c>
      <c r="Q510" s="18" t="n"/>
      <c r="R510" s="27" t="n">
        <v>614089.61</v>
      </c>
      <c r="S510" s="27" t="n">
        <v>1728991.59</v>
      </c>
      <c r="T510" s="27" t="n">
        <v>0</v>
      </c>
      <c r="U510" s="18" t="n">
        <v>1712.31720551163</v>
      </c>
      <c r="V510" s="18" t="n">
        <v>1712.31720551163</v>
      </c>
      <c r="W510" s="21" t="n">
        <v>2024</v>
      </c>
      <c r="X510" s="12" t="n"/>
      <c r="Y510" s="3" t="n">
        <f aca="false" ca="false" dt2D="false" dtr="false" t="normal">+(K510*15.35+L510*26.02)*12*0.85</f>
        <v>614089.6128</v>
      </c>
      <c r="Z510" s="3" t="n">
        <f aca="false" ca="false" dt2D="false" dtr="false" t="normal">+(K510*15.35+L510*26.02)*12*30-'[1]Лист1'!$AQ$135</f>
        <v>14527905.239999998</v>
      </c>
      <c r="AA510" s="3" t="n">
        <f aca="false" ca="false" dt2D="false" dtr="false" t="normal">+N510-AB510</f>
        <v>0</v>
      </c>
      <c r="AB510" s="27" t="n">
        <f aca="false" ca="true" dt2D="false" dtr="false" t="normal">SUBTOTAL(9, AC510:AQ510)</f>
        <v>2343081.2</v>
      </c>
      <c r="AC510" s="17" t="n"/>
      <c r="AD510" s="18" t="n"/>
      <c r="AE510" s="18" t="n">
        <v>2343081.2</v>
      </c>
      <c r="AF510" s="18" t="n"/>
      <c r="AG510" s="18" t="n"/>
      <c r="AH510" s="18" t="n"/>
      <c r="AI510" s="17" t="n"/>
      <c r="AJ510" s="18" t="n">
        <v>0</v>
      </c>
      <c r="AK510" s="18" t="n">
        <v>0</v>
      </c>
      <c r="AL510" s="18" t="n"/>
      <c r="AM510" s="18" t="n">
        <v>0</v>
      </c>
      <c r="AN510" s="18" t="n">
        <v>0</v>
      </c>
      <c r="AO510" s="18" t="n"/>
      <c r="AP510" s="18" t="n"/>
      <c r="AQ510" s="191" t="n"/>
      <c r="AR510" s="186" t="n">
        <f aca="false" ca="false" dt2D="false" dtr="false" t="normal">COUNTIF(AC510:AN510, "&gt;0")</f>
        <v>1</v>
      </c>
      <c r="AU510" s="3" t="n"/>
    </row>
    <row ht="15.75" outlineLevel="0" r="511">
      <c r="A511" s="5" t="n">
        <f aca="false" ca="false" dt2D="false" dtr="false" t="normal">A510+1</f>
        <v>490</v>
      </c>
      <c r="B511" s="6" t="n">
        <f aca="false" ca="false" dt2D="false" dtr="false" t="normal">B510+1</f>
        <v>31</v>
      </c>
      <c r="C511" s="138" t="s">
        <v>104</v>
      </c>
      <c r="D511" s="138" t="s">
        <v>228</v>
      </c>
      <c r="E511" s="139" t="s">
        <v>149</v>
      </c>
      <c r="F511" s="139" t="n"/>
      <c r="G511" s="139" t="s">
        <v>4</v>
      </c>
      <c r="H511" s="139" t="s">
        <v>150</v>
      </c>
      <c r="I511" s="139" t="s">
        <v>219</v>
      </c>
      <c r="J511" s="17" t="n">
        <v>3391</v>
      </c>
      <c r="K511" s="17" t="n">
        <v>2799.1</v>
      </c>
      <c r="L511" s="17" t="n">
        <v>0</v>
      </c>
      <c r="M511" s="140" t="n">
        <v>93</v>
      </c>
      <c r="N511" s="16" t="n">
        <f aca="false" ca="false" dt2D="false" dtr="false" t="normal">P511+Q511+R511+S511+T511</f>
        <v>3000018.45</v>
      </c>
      <c r="O511" s="17" t="n"/>
      <c r="P511" s="18" t="n">
        <v>0</v>
      </c>
      <c r="Q511" s="18" t="n"/>
      <c r="R511" s="27" t="n">
        <v>2470636.67</v>
      </c>
      <c r="S511" s="27" t="n">
        <v>529381.78</v>
      </c>
      <c r="T511" s="27" t="n">
        <v>0</v>
      </c>
      <c r="U511" s="18" t="n">
        <v>1525.86545675396</v>
      </c>
      <c r="V511" s="18" t="n">
        <v>1525.86545675396</v>
      </c>
      <c r="W511" s="21" t="n">
        <v>2024</v>
      </c>
      <c r="X511" s="1" t="n">
        <v>2120612.18</v>
      </c>
      <c r="Y511" s="3" t="n">
        <f aca="false" ca="false" dt2D="false" dtr="false" t="normal">+(K511*13.95+L511*23.65)*12*0.85</f>
        <v>398283.93899999995</v>
      </c>
      <c r="Z511" s="3" t="n">
        <f aca="false" ca="false" dt2D="false" dtr="false" t="normal">+(K511*13.95+L511*23.65)*12*30</f>
        <v>14057080.2</v>
      </c>
      <c r="AA511" s="3" t="n">
        <f aca="false" ca="false" dt2D="false" dtr="false" t="normal">+N511-AB511</f>
        <v>0</v>
      </c>
      <c r="AB511" s="27" t="n">
        <f aca="false" ca="true" dt2D="false" dtr="false" t="normal">SUBTOTAL(9, AC511:AQ511)</f>
        <v>3000018.45</v>
      </c>
      <c r="AC511" s="17" t="n"/>
      <c r="AD511" s="18" t="n"/>
      <c r="AE511" s="18" t="n"/>
      <c r="AF511" s="18" t="n"/>
      <c r="AG511" s="18" t="n"/>
      <c r="AH511" s="18" t="n"/>
      <c r="AI511" s="17" t="n"/>
      <c r="AJ511" s="18" t="n">
        <v>2829176.45</v>
      </c>
      <c r="AK511" s="18" t="n"/>
      <c r="AL511" s="18" t="n"/>
      <c r="AM511" s="18" t="n"/>
      <c r="AN511" s="18" t="n"/>
      <c r="AO511" s="18" t="n">
        <v>128131.5</v>
      </c>
      <c r="AP511" s="18" t="n">
        <v>42710.5</v>
      </c>
      <c r="AQ511" s="185" t="n"/>
      <c r="AR511" s="186" t="n">
        <f aca="false" ca="false" dt2D="false" dtr="false" t="normal">COUNTIF(AC511:AN511, "&gt;0")</f>
        <v>1</v>
      </c>
      <c r="AU511" s="3" t="n"/>
    </row>
    <row ht="15.75" outlineLevel="0" r="512">
      <c r="A512" s="5" t="n">
        <f aca="false" ca="false" dt2D="false" dtr="false" t="normal">A511+1</f>
        <v>491</v>
      </c>
      <c r="B512" s="6" t="n">
        <f aca="false" ca="false" dt2D="false" dtr="false" t="normal">B511+1</f>
        <v>32</v>
      </c>
      <c r="C512" s="138" t="s">
        <v>104</v>
      </c>
      <c r="D512" s="138" t="s">
        <v>230</v>
      </c>
      <c r="E512" s="139" t="n">
        <v>1984</v>
      </c>
      <c r="F512" s="139" t="n">
        <v>2016</v>
      </c>
      <c r="G512" s="139" t="s">
        <v>4</v>
      </c>
      <c r="H512" s="139" t="n">
        <v>5</v>
      </c>
      <c r="I512" s="139" t="n">
        <v>3</v>
      </c>
      <c r="J512" s="17" t="n">
        <v>5122</v>
      </c>
      <c r="K512" s="17" t="n">
        <v>4380.85</v>
      </c>
      <c r="L512" s="17" t="n">
        <v>19</v>
      </c>
      <c r="M512" s="140" t="n">
        <v>187</v>
      </c>
      <c r="N512" s="16" t="n">
        <f aca="false" ca="false" dt2D="false" dtr="false" t="normal">P512+Q512+R512+S512+T512</f>
        <v>5086142.949999999</v>
      </c>
      <c r="O512" s="17" t="n"/>
      <c r="P512" s="18" t="n">
        <v>0</v>
      </c>
      <c r="Q512" s="18" t="n"/>
      <c r="R512" s="27" t="n">
        <v>520584.72</v>
      </c>
      <c r="S512" s="27" t="n">
        <v>1749109.91</v>
      </c>
      <c r="T512" s="27" t="n">
        <v>2816448.32</v>
      </c>
      <c r="U512" s="18" t="n">
        <v>1155.84982928258</v>
      </c>
      <c r="V512" s="18" t="n">
        <v>1155.84982928258</v>
      </c>
      <c r="W512" s="21" t="n">
        <v>2024</v>
      </c>
      <c r="X512" s="1" t="n">
        <v>0</v>
      </c>
      <c r="Y512" s="3" t="n">
        <f aca="false" ca="false" dt2D="false" dtr="false" t="normal">+(K512*11.55+L512*23.1)*12*0.85</f>
        <v>520584.7185000001</v>
      </c>
      <c r="Z512" s="3" t="n">
        <f aca="false" ca="false" dt2D="false" dtr="false" t="normal">+(K512*11.55+L512*23.1)*12*30-'[1]Лист1'!$AQ$137</f>
        <v>18070466.700000003</v>
      </c>
      <c r="AA512" s="3" t="n">
        <f aca="false" ca="false" dt2D="false" dtr="false" t="normal">+N512-AB512</f>
        <v>0</v>
      </c>
      <c r="AB512" s="27" t="n">
        <f aca="false" ca="true" dt2D="false" dtr="false" t="normal">SUBTOTAL(9, AC512:AQ512)</f>
        <v>5086142.95</v>
      </c>
      <c r="AC512" s="17" t="n">
        <v>0</v>
      </c>
      <c r="AD512" s="18" t="n">
        <v>0</v>
      </c>
      <c r="AE512" s="18" t="n">
        <v>0</v>
      </c>
      <c r="AF512" s="18" t="n">
        <v>0</v>
      </c>
      <c r="AG512" s="18" t="n">
        <v>0</v>
      </c>
      <c r="AH512" s="18" t="n"/>
      <c r="AI512" s="17" t="n"/>
      <c r="AJ512" s="18" t="n">
        <v>0</v>
      </c>
      <c r="AK512" s="18" t="n">
        <v>0</v>
      </c>
      <c r="AL512" s="18" t="n">
        <v>0</v>
      </c>
      <c r="AM512" s="18" t="n">
        <v>5086142.95</v>
      </c>
      <c r="AN512" s="18" t="n">
        <v>0</v>
      </c>
      <c r="AO512" s="18" t="n"/>
      <c r="AP512" s="18" t="n"/>
      <c r="AQ512" s="191" t="n"/>
      <c r="AR512" s="186" t="n">
        <f aca="false" ca="false" dt2D="false" dtr="false" t="normal">COUNTIF(AC512:AN512, "&gt;0")</f>
        <v>1</v>
      </c>
      <c r="AU512" s="3" t="n"/>
    </row>
    <row ht="15.75" outlineLevel="0" r="513">
      <c r="A513" s="5" t="n">
        <f aca="false" ca="false" dt2D="false" dtr="false" t="normal">A512+1</f>
        <v>492</v>
      </c>
      <c r="B513" s="6" t="n">
        <f aca="false" ca="false" dt2D="false" dtr="false" t="normal">B512+1</f>
        <v>33</v>
      </c>
      <c r="C513" s="138" t="s">
        <v>104</v>
      </c>
      <c r="D513" s="138" t="s">
        <v>232</v>
      </c>
      <c r="E513" s="139" t="n">
        <v>1986</v>
      </c>
      <c r="F513" s="139" t="n">
        <v>2017</v>
      </c>
      <c r="G513" s="139" t="s">
        <v>4</v>
      </c>
      <c r="H513" s="139" t="n">
        <v>5</v>
      </c>
      <c r="I513" s="139" t="n">
        <v>4</v>
      </c>
      <c r="J513" s="17" t="n">
        <v>5725</v>
      </c>
      <c r="K513" s="17" t="n">
        <v>4812.8</v>
      </c>
      <c r="L513" s="17" t="n">
        <v>0</v>
      </c>
      <c r="M513" s="140" t="n">
        <v>190</v>
      </c>
      <c r="N513" s="16" t="n">
        <f aca="false" ca="false" dt2D="false" dtr="false" t="normal">P513+Q513+R513+S513+T513</f>
        <v>11042844.71</v>
      </c>
      <c r="O513" s="17" t="n"/>
      <c r="P513" s="18" t="n">
        <v>0</v>
      </c>
      <c r="Q513" s="18" t="n"/>
      <c r="R513" s="27" t="n">
        <v>3409391.35</v>
      </c>
      <c r="S513" s="27" t="n">
        <v>7633453.36</v>
      </c>
      <c r="T513" s="27" t="n">
        <v>0</v>
      </c>
      <c r="U513" s="18" t="n">
        <v>4497.35223711315</v>
      </c>
      <c r="V513" s="18" t="n">
        <v>4497.35223711315</v>
      </c>
      <c r="W513" s="21" t="n">
        <v>2024</v>
      </c>
      <c r="X513" s="1" t="n">
        <v>2983888.22</v>
      </c>
      <c r="Y513" s="3" t="n">
        <f aca="false" ca="false" dt2D="false" dtr="false" t="normal">+(K513*10.5+L513*21)*12*0.85</f>
        <v>515450.88</v>
      </c>
      <c r="Z513" s="3" t="n">
        <f aca="false" ca="false" dt2D="false" dtr="false" t="normal">+(K513*10.5+L513*21)*12*30</f>
        <v>18192384</v>
      </c>
      <c r="AA513" s="3" t="n">
        <f aca="false" ca="false" dt2D="false" dtr="false" t="normal">+N513-AB513</f>
        <v>0</v>
      </c>
      <c r="AB513" s="27" t="n">
        <f aca="false" ca="true" dt2D="false" dtr="false" t="normal">SUBTOTAL(9, AC513:AQ513)</f>
        <v>11042844.71</v>
      </c>
      <c r="AC513" s="17" t="n">
        <v>6697520.76</v>
      </c>
      <c r="AD513" s="18" t="n">
        <v>0</v>
      </c>
      <c r="AE513" s="18" t="n">
        <v>0</v>
      </c>
      <c r="AF513" s="18" t="n">
        <v>4345323.95</v>
      </c>
      <c r="AG513" s="18" t="n">
        <v>0</v>
      </c>
      <c r="AH513" s="18" t="n"/>
      <c r="AI513" s="17" t="n"/>
      <c r="AJ513" s="18" t="n">
        <v>0</v>
      </c>
      <c r="AK513" s="18" t="n">
        <v>0</v>
      </c>
      <c r="AL513" s="18" t="n">
        <v>0</v>
      </c>
      <c r="AM513" s="18" t="n">
        <v>0</v>
      </c>
      <c r="AN513" s="18" t="n">
        <v>0</v>
      </c>
      <c r="AO513" s="18" t="n"/>
      <c r="AP513" s="18" t="n"/>
      <c r="AQ513" s="185" t="n"/>
      <c r="AR513" s="186" t="n">
        <f aca="false" ca="false" dt2D="false" dtr="false" t="normal">COUNTIF(AC513:AN513, "&gt;0")</f>
        <v>2</v>
      </c>
      <c r="AU513" s="3" t="n"/>
    </row>
    <row ht="15.75" outlineLevel="0" r="514">
      <c r="A514" s="5" t="n">
        <f aca="false" ca="false" dt2D="false" dtr="false" t="normal">A513+1</f>
        <v>493</v>
      </c>
      <c r="B514" s="6" t="n">
        <f aca="false" ca="false" dt2D="false" dtr="false" t="normal">B513+1</f>
        <v>34</v>
      </c>
      <c r="C514" s="138" t="s">
        <v>104</v>
      </c>
      <c r="D514" s="138" t="s">
        <v>234</v>
      </c>
      <c r="E514" s="139" t="n">
        <v>1984</v>
      </c>
      <c r="F514" s="139" t="n">
        <v>2012</v>
      </c>
      <c r="G514" s="139" t="s">
        <v>4</v>
      </c>
      <c r="H514" s="139" t="n">
        <v>5</v>
      </c>
      <c r="I514" s="139" t="n">
        <v>2</v>
      </c>
      <c r="J514" s="17" t="n">
        <v>4407.85</v>
      </c>
      <c r="K514" s="17" t="n">
        <v>2910.8</v>
      </c>
      <c r="L514" s="17" t="n">
        <v>859.6</v>
      </c>
      <c r="M514" s="140" t="n">
        <v>176</v>
      </c>
      <c r="N514" s="16" t="n">
        <f aca="false" ca="false" dt2D="false" dtr="false" t="normal">P514+Q514+R514+S514+T514</f>
        <v>5165887.8</v>
      </c>
      <c r="O514" s="17" t="n"/>
      <c r="P514" s="18" t="n">
        <v>0</v>
      </c>
      <c r="Q514" s="18" t="n"/>
      <c r="R514" s="27" t="n">
        <v>1917627.07</v>
      </c>
      <c r="S514" s="27" t="n">
        <v>3248260.73</v>
      </c>
      <c r="T514" s="27" t="n">
        <v>0</v>
      </c>
      <c r="U514" s="18" t="n">
        <v>7279.96073175759</v>
      </c>
      <c r="V514" s="18" t="n">
        <v>1192.283020064</v>
      </c>
      <c r="W514" s="21" t="n">
        <v>2024</v>
      </c>
      <c r="Y514" s="3" t="n">
        <f aca="false" ca="false" dt2D="false" dtr="false" t="normal">+(K514*11.55+L514*23.1)*12*0.85</f>
        <v>545460.3</v>
      </c>
      <c r="Z514" s="3" t="n">
        <f aca="false" ca="false" dt2D="false" dtr="false" t="normal">+(K514*11.55+L514*23.1)*12*30-'[1]Лист1'!$AQ$139</f>
        <v>19205153.000000004</v>
      </c>
      <c r="AA514" s="3" t="n">
        <f aca="false" ca="false" dt2D="false" dtr="false" t="normal">+N514-AB514</f>
        <v>0</v>
      </c>
      <c r="AB514" s="27" t="n">
        <f aca="false" ca="true" dt2D="false" dtr="false" t="normal">SUBTOTAL(9, AC514:AQ514)</f>
        <v>5165887.8</v>
      </c>
      <c r="AC514" s="17" t="n">
        <v>0</v>
      </c>
      <c r="AD514" s="18" t="n">
        <v>0</v>
      </c>
      <c r="AE514" s="18" t="n">
        <v>0</v>
      </c>
      <c r="AF514" s="18" t="n">
        <v>0</v>
      </c>
      <c r="AG514" s="18" t="n">
        <v>0</v>
      </c>
      <c r="AH514" s="18" t="n"/>
      <c r="AI514" s="17" t="n"/>
      <c r="AJ514" s="18" t="n">
        <v>0</v>
      </c>
      <c r="AK514" s="18" t="n">
        <v>0</v>
      </c>
      <c r="AL514" s="18" t="n">
        <v>0</v>
      </c>
      <c r="AM514" s="18" t="n">
        <v>5165887.8</v>
      </c>
      <c r="AN514" s="18" t="n">
        <v>0</v>
      </c>
      <c r="AO514" s="18" t="n"/>
      <c r="AP514" s="18" t="n"/>
      <c r="AQ514" s="185" t="n"/>
      <c r="AR514" s="186" t="n">
        <f aca="false" ca="false" dt2D="false" dtr="false" t="normal">COUNTIF(AC514:AN514, "&gt;0")</f>
        <v>1</v>
      </c>
      <c r="AU514" s="3" t="n"/>
    </row>
    <row ht="15.75" outlineLevel="0" r="515">
      <c r="A515" s="5" t="n">
        <f aca="false" ca="false" dt2D="false" dtr="false" t="normal">A514+1</f>
        <v>494</v>
      </c>
      <c r="B515" s="6" t="n">
        <f aca="false" ca="false" dt2D="false" dtr="false" t="normal">B514+1</f>
        <v>35</v>
      </c>
      <c r="C515" s="138" t="s">
        <v>104</v>
      </c>
      <c r="D515" s="138" t="s">
        <v>236</v>
      </c>
      <c r="E515" s="139" t="n">
        <v>1988</v>
      </c>
      <c r="F515" s="139" t="n">
        <v>2016</v>
      </c>
      <c r="G515" s="139" t="s">
        <v>4</v>
      </c>
      <c r="H515" s="139" t="n">
        <v>5</v>
      </c>
      <c r="I515" s="139" t="n">
        <v>2</v>
      </c>
      <c r="J515" s="17" t="n">
        <v>4366.2</v>
      </c>
      <c r="K515" s="17" t="n">
        <v>3056.1</v>
      </c>
      <c r="L515" s="17" t="n">
        <v>725.4</v>
      </c>
      <c r="M515" s="140" t="n">
        <v>194</v>
      </c>
      <c r="N515" s="16" t="n">
        <f aca="false" ca="false" dt2D="false" dtr="false" t="normal">P515+Q515+R515+S515+T515</f>
        <v>5293660.37</v>
      </c>
      <c r="O515" s="17" t="n"/>
      <c r="P515" s="18" t="n">
        <v>1916900.57</v>
      </c>
      <c r="Q515" s="18" t="n"/>
      <c r="R515" s="27" t="n">
        <v>2074624.49</v>
      </c>
      <c r="S515" s="27" t="n">
        <v>771628.82</v>
      </c>
      <c r="T515" s="27" t="n">
        <v>530506.49</v>
      </c>
      <c r="U515" s="18" t="n">
        <v>5190.89946815807</v>
      </c>
      <c r="V515" s="18" t="n">
        <v>1195.283020064</v>
      </c>
      <c r="W515" s="21" t="n">
        <v>2024</v>
      </c>
      <c r="X515" s="103" t="n"/>
      <c r="Y515" s="3" t="n">
        <f aca="false" ca="false" dt2D="false" dtr="false" t="normal">+(K515*11.55+L515*23.1)*12*0.85</f>
        <v>530957.8890000001</v>
      </c>
      <c r="Z515" s="3" t="n">
        <f aca="false" ca="false" dt2D="false" dtr="false" t="normal">+(K515*11.55+L515*23.1)*12*30-'[1]Лист1'!$AQ$140</f>
        <v>16107576.040000003</v>
      </c>
      <c r="AA515" s="3" t="n">
        <f aca="false" ca="false" dt2D="false" dtr="false" t="normal">+N515-AB515</f>
        <v>6292.160000000149</v>
      </c>
      <c r="AB515" s="27" t="n">
        <f aca="false" ca="true" dt2D="false" dtr="false" t="normal">SUBTOTAL(9, AC515:AQ515)</f>
        <v>5287368.21</v>
      </c>
      <c r="AC515" s="17" t="n"/>
      <c r="AD515" s="18" t="n">
        <v>0</v>
      </c>
      <c r="AE515" s="18" t="n">
        <v>0</v>
      </c>
      <c r="AF515" s="18" t="n">
        <v>0</v>
      </c>
      <c r="AG515" s="18" t="n">
        <v>0</v>
      </c>
      <c r="AH515" s="18" t="n"/>
      <c r="AI515" s="17" t="n"/>
      <c r="AJ515" s="18" t="n"/>
      <c r="AK515" s="18" t="n"/>
      <c r="AL515" s="18" t="n"/>
      <c r="AM515" s="18" t="n">
        <v>5242143.32</v>
      </c>
      <c r="AN515" s="18" t="n">
        <v>0</v>
      </c>
      <c r="AO515" s="18" t="n"/>
      <c r="AP515" s="18" t="n"/>
      <c r="AQ515" s="191" t="n">
        <v>45224.89</v>
      </c>
      <c r="AR515" s="186" t="n">
        <f aca="false" ca="false" dt2D="false" dtr="false" t="normal">COUNTIF(AC515:AN515, "&gt;0")</f>
        <v>1</v>
      </c>
      <c r="AU515" s="3" t="n"/>
    </row>
    <row ht="15.75" outlineLevel="0" r="516">
      <c r="A516" s="5" t="n">
        <f aca="false" ca="false" dt2D="false" dtr="false" t="normal">A515+1</f>
        <v>495</v>
      </c>
      <c r="B516" s="6" t="n">
        <f aca="false" ca="false" dt2D="false" dtr="false" t="normal">B515+1</f>
        <v>36</v>
      </c>
      <c r="C516" s="138" t="s">
        <v>104</v>
      </c>
      <c r="D516" s="138" t="s">
        <v>238</v>
      </c>
      <c r="E516" s="139" t="n">
        <v>1984</v>
      </c>
      <c r="F516" s="139" t="n">
        <v>2017</v>
      </c>
      <c r="G516" s="139" t="s">
        <v>4</v>
      </c>
      <c r="H516" s="139" t="n">
        <v>5</v>
      </c>
      <c r="I516" s="139" t="n">
        <v>5</v>
      </c>
      <c r="J516" s="17" t="n">
        <v>5852.2</v>
      </c>
      <c r="K516" s="17" t="n">
        <v>4921.1</v>
      </c>
      <c r="L516" s="17" t="n">
        <v>51.7</v>
      </c>
      <c r="M516" s="140" t="n">
        <v>171</v>
      </c>
      <c r="N516" s="16" t="n">
        <f aca="false" ca="false" dt2D="false" dtr="false" t="normal">P516+Q516+R516+S516+T516</f>
        <v>5242000.45</v>
      </c>
      <c r="O516" s="17" t="n"/>
      <c r="P516" s="18" t="n">
        <v>0</v>
      </c>
      <c r="Q516" s="18" t="n"/>
      <c r="R516" s="27" t="n">
        <v>2292072.1</v>
      </c>
      <c r="S516" s="27" t="n">
        <v>1549190.56</v>
      </c>
      <c r="T516" s="188" t="n">
        <v>1400737.79</v>
      </c>
      <c r="U516" s="17" t="n">
        <v>789.346704631969</v>
      </c>
      <c r="V516" s="17" t="n">
        <v>789.346704631969</v>
      </c>
      <c r="W516" s="21" t="n">
        <v>2024</v>
      </c>
      <c r="X516" s="1" t="n">
        <v>1700135.75</v>
      </c>
      <c r="Y516" s="3" t="n">
        <f aca="false" ca="false" dt2D="false" dtr="false" t="normal">+(K516*11.55+L516*23.1)*12*0.85</f>
        <v>591936.3450000001</v>
      </c>
      <c r="Z516" s="3" t="n">
        <f aca="false" ca="false" dt2D="false" dtr="false" t="normal">+(K516*11.55+L516*23.1)*12*30</f>
        <v>20891871.000000004</v>
      </c>
      <c r="AA516" s="3" t="n">
        <f aca="false" ca="false" dt2D="false" dtr="false" t="normal">+N516-AB516</f>
        <v>56749.169999999925</v>
      </c>
      <c r="AB516" s="27" t="n">
        <f aca="false" ca="true" dt2D="false" dtr="false" t="normal">SUBTOTAL(9, AC516:AQ516)</f>
        <v>5185251.28</v>
      </c>
      <c r="AC516" s="17" t="n">
        <v>0</v>
      </c>
      <c r="AD516" s="18" t="n">
        <v>0</v>
      </c>
      <c r="AE516" s="18" t="n">
        <v>5185251.28</v>
      </c>
      <c r="AF516" s="18" t="n">
        <v>0</v>
      </c>
      <c r="AG516" s="18" t="n">
        <v>0</v>
      </c>
      <c r="AH516" s="18" t="n"/>
      <c r="AI516" s="17" t="n"/>
      <c r="AJ516" s="18" t="n">
        <v>0</v>
      </c>
      <c r="AK516" s="18" t="n">
        <v>0</v>
      </c>
      <c r="AL516" s="18" t="n">
        <v>0</v>
      </c>
      <c r="AM516" s="18" t="n">
        <v>0</v>
      </c>
      <c r="AN516" s="18" t="n">
        <v>0</v>
      </c>
      <c r="AO516" s="18" t="n"/>
      <c r="AP516" s="18" t="n"/>
      <c r="AQ516" s="191" t="n"/>
      <c r="AR516" s="186" t="n">
        <f aca="false" ca="false" dt2D="false" dtr="false" t="normal">COUNTIF(AC516:AN516, "&gt;0")</f>
        <v>1</v>
      </c>
      <c r="AU516" s="3" t="n"/>
    </row>
    <row ht="15.75" outlineLevel="0" r="517">
      <c r="A517" s="5" t="n">
        <f aca="false" ca="false" dt2D="false" dtr="false" t="normal">A516+1</f>
        <v>496</v>
      </c>
      <c r="B517" s="6" t="n">
        <f aca="false" ca="false" dt2D="false" dtr="false" t="normal">B516+1</f>
        <v>37</v>
      </c>
      <c r="C517" s="138" t="s">
        <v>104</v>
      </c>
      <c r="D517" s="138" t="s">
        <v>124</v>
      </c>
      <c r="E517" s="139" t="n">
        <v>1981</v>
      </c>
      <c r="F517" s="139" t="n">
        <v>2016</v>
      </c>
      <c r="G517" s="139" t="s">
        <v>4</v>
      </c>
      <c r="H517" s="139" t="n">
        <v>4</v>
      </c>
      <c r="I517" s="139" t="n">
        <v>3</v>
      </c>
      <c r="J517" s="17" t="n">
        <v>3910.2</v>
      </c>
      <c r="K517" s="17" t="n">
        <v>2017.9</v>
      </c>
      <c r="L517" s="17" t="n">
        <v>997.9</v>
      </c>
      <c r="M517" s="140" t="n">
        <v>113</v>
      </c>
      <c r="N517" s="16" t="n">
        <f aca="false" ca="false" dt2D="false" dtr="false" t="normal">P517+Q517+R517+S517+T517</f>
        <v>2476321.54</v>
      </c>
      <c r="O517" s="17" t="n"/>
      <c r="P517" s="18" t="n">
        <v>0</v>
      </c>
      <c r="Q517" s="18" t="n"/>
      <c r="R517" s="27" t="n">
        <v>472853.997</v>
      </c>
      <c r="S517" s="27" t="n">
        <v>1742930.233</v>
      </c>
      <c r="T517" s="27" t="n">
        <v>260537.31</v>
      </c>
      <c r="U517" s="18" t="n">
        <v>1518.93394104065</v>
      </c>
      <c r="V517" s="18" t="n">
        <v>1197.283020064</v>
      </c>
      <c r="W517" s="21" t="n">
        <v>2024</v>
      </c>
      <c r="X517" s="12" t="n"/>
      <c r="Y517" s="3" t="n">
        <f aca="false" ca="false" dt2D="false" dtr="false" t="normal">+(K517*11.55+L517*23.1)*12*0.85</f>
        <v>472853.99700000003</v>
      </c>
      <c r="Z517" s="3" t="n">
        <f aca="false" ca="false" dt2D="false" dtr="false" t="normal">+(K517*11.55+L517*23.1)*12*30-'[1]Лист1'!$AQ$142</f>
        <v>4010069.6500000022</v>
      </c>
      <c r="AA517" s="3" t="n">
        <f aca="false" ca="false" dt2D="false" dtr="false" t="normal">+N517-AB517</f>
        <v>0</v>
      </c>
      <c r="AB517" s="27" t="n">
        <f aca="false" ca="true" dt2D="false" dtr="false" t="normal">SUBTOTAL(9, AC517:AQ517)</f>
        <v>2476321.54</v>
      </c>
      <c r="AC517" s="17" t="n"/>
      <c r="AD517" s="18" t="n"/>
      <c r="AE517" s="18" t="n">
        <v>2476321.54</v>
      </c>
      <c r="AF517" s="18" t="n">
        <v>0</v>
      </c>
      <c r="AG517" s="18" t="n"/>
      <c r="AH517" s="18" t="n"/>
      <c r="AI517" s="17" t="n"/>
      <c r="AJ517" s="18" t="n"/>
      <c r="AK517" s="18" t="n"/>
      <c r="AL517" s="18" t="n">
        <v>0</v>
      </c>
      <c r="AM517" s="18" t="n">
        <v>0</v>
      </c>
      <c r="AN517" s="18" t="n">
        <v>0</v>
      </c>
      <c r="AO517" s="18" t="n"/>
      <c r="AP517" s="18" t="n"/>
      <c r="AQ517" s="185" t="n"/>
      <c r="AR517" s="186" t="n">
        <f aca="false" ca="false" dt2D="false" dtr="false" t="normal">COUNTIF(AC517:AN517, "&gt;0")</f>
        <v>1</v>
      </c>
      <c r="AU517" s="3" t="n"/>
    </row>
    <row ht="15.75" outlineLevel="0" r="518">
      <c r="A518" s="5" t="n">
        <f aca="false" ca="false" dt2D="false" dtr="false" t="normal">A517+1</f>
        <v>497</v>
      </c>
      <c r="B518" s="6" t="n">
        <f aca="false" ca="false" dt2D="false" dtr="false" t="normal">B517+1</f>
        <v>38</v>
      </c>
      <c r="C518" s="138" t="s">
        <v>104</v>
      </c>
      <c r="D518" s="138" t="s">
        <v>241</v>
      </c>
      <c r="E518" s="139" t="n">
        <v>1991</v>
      </c>
      <c r="F518" s="139" t="n">
        <v>2011</v>
      </c>
      <c r="G518" s="139" t="s">
        <v>4</v>
      </c>
      <c r="H518" s="139" t="n">
        <v>9</v>
      </c>
      <c r="I518" s="139" t="n">
        <v>1</v>
      </c>
      <c r="J518" s="17" t="n">
        <v>2848.2</v>
      </c>
      <c r="K518" s="17" t="n">
        <v>2372.7</v>
      </c>
      <c r="L518" s="17" t="n">
        <v>100.6</v>
      </c>
      <c r="M518" s="140" t="n">
        <v>61</v>
      </c>
      <c r="N518" s="16" t="n">
        <f aca="false" ca="false" dt2D="false" dtr="false" t="normal">P518+Q518+R518+S518+T518</f>
        <v>1756633.96</v>
      </c>
      <c r="O518" s="17" t="n"/>
      <c r="P518" s="18" t="n">
        <v>0</v>
      </c>
      <c r="Q518" s="18" t="n"/>
      <c r="R518" s="27" t="n">
        <v>398193.28</v>
      </c>
      <c r="S518" s="27" t="n">
        <v>1335942.63</v>
      </c>
      <c r="T518" s="27" t="n">
        <v>22498.05</v>
      </c>
      <c r="U518" s="17" t="n">
        <v>843.170161664019</v>
      </c>
      <c r="V518" s="17" t="n">
        <v>843.170161664019</v>
      </c>
      <c r="W518" s="21" t="n">
        <v>2024</v>
      </c>
      <c r="Y518" s="3" t="n">
        <f aca="false" ca="false" dt2D="false" dtr="false" t="normal">+(K518*15.35+L518*26.02)*12*0.85</f>
        <v>398193.2814</v>
      </c>
      <c r="Z518" s="3" t="n">
        <f aca="false" ca="false" dt2D="false" dtr="false" t="normal">+(K518*15.35+L518*26.02)*12*30-'[1]Лист1'!$AQ$144</f>
        <v>12139869.1</v>
      </c>
      <c r="AA518" s="3" t="n">
        <f aca="false" ca="false" dt2D="false" dtr="false" t="normal">+N518-AB518</f>
        <v>22498.050000000047</v>
      </c>
      <c r="AB518" s="27" t="n">
        <f aca="false" ca="true" dt2D="false" dtr="false" t="normal">SUBTOTAL(9, AC518:AQ518)</f>
        <v>1734135.91</v>
      </c>
      <c r="AC518" s="17" t="n"/>
      <c r="AD518" s="18" t="n">
        <v>0</v>
      </c>
      <c r="AE518" s="18" t="n">
        <v>1734135.91</v>
      </c>
      <c r="AF518" s="18" t="n">
        <v>0</v>
      </c>
      <c r="AG518" s="18" t="n">
        <v>0</v>
      </c>
      <c r="AH518" s="18" t="n"/>
      <c r="AI518" s="17" t="n"/>
      <c r="AJ518" s="18" t="n">
        <v>0</v>
      </c>
      <c r="AK518" s="18" t="n">
        <v>0</v>
      </c>
      <c r="AL518" s="18" t="n">
        <v>0</v>
      </c>
      <c r="AM518" s="18" t="n">
        <v>0</v>
      </c>
      <c r="AN518" s="18" t="n">
        <v>0</v>
      </c>
      <c r="AO518" s="18" t="n"/>
      <c r="AP518" s="18" t="n"/>
      <c r="AQ518" s="191" t="n"/>
      <c r="AR518" s="186" t="n">
        <f aca="false" ca="false" dt2D="false" dtr="false" t="normal">COUNTIF(AC518:AN518, "&gt;0")</f>
        <v>1</v>
      </c>
      <c r="AU518" s="3" t="n"/>
    </row>
    <row ht="15.75" outlineLevel="0" r="519">
      <c r="A519" s="5" t="n">
        <f aca="false" ca="false" dt2D="false" dtr="false" t="normal">A518+1</f>
        <v>498</v>
      </c>
      <c r="B519" s="6" t="n">
        <f aca="false" ca="false" dt2D="false" dtr="false" t="normal">B518+1</f>
        <v>39</v>
      </c>
      <c r="C519" s="138" t="s">
        <v>104</v>
      </c>
      <c r="D519" s="138" t="s">
        <v>244</v>
      </c>
      <c r="E519" s="139" t="n">
        <v>1987</v>
      </c>
      <c r="F519" s="139" t="n">
        <v>2016</v>
      </c>
      <c r="G519" s="139" t="s">
        <v>4</v>
      </c>
      <c r="H519" s="139" t="n">
        <v>5</v>
      </c>
      <c r="I519" s="139" t="n">
        <v>4</v>
      </c>
      <c r="J519" s="17" t="n">
        <v>5812.1</v>
      </c>
      <c r="K519" s="17" t="n">
        <v>4766.5</v>
      </c>
      <c r="L519" s="17" t="n">
        <v>87</v>
      </c>
      <c r="M519" s="140" t="n">
        <v>201</v>
      </c>
      <c r="N519" s="16" t="n">
        <f aca="false" ca="false" dt2D="false" dtr="false" t="normal">P519+Q519+R519+S519+T519</f>
        <v>9960662.120000001</v>
      </c>
      <c r="O519" s="17" t="n"/>
      <c r="P519" s="18" t="n">
        <v>808927.8</v>
      </c>
      <c r="Q519" s="18" t="n"/>
      <c r="R519" s="27" t="n">
        <v>2395612.07</v>
      </c>
      <c r="S519" s="27" t="n">
        <v>5760056.04</v>
      </c>
      <c r="T519" s="27" t="n">
        <v>996066.21</v>
      </c>
      <c r="U519" s="18" t="n">
        <v>7227.38217010749</v>
      </c>
      <c r="V519" s="18" t="n">
        <v>1201.283020064</v>
      </c>
      <c r="W519" s="21" t="n">
        <v>2024</v>
      </c>
      <c r="X519" s="103" t="n">
        <f aca="false" ca="false" dt2D="false" dtr="false" t="normal">+'[1]Лист1'!$BC$145</f>
        <v>2820894.2</v>
      </c>
      <c r="Y519" s="3" t="n">
        <f aca="false" ca="false" dt2D="false" dtr="false" t="normal">+(K519*11.55+L519*23.1)*12*0.85</f>
        <v>582040.305</v>
      </c>
      <c r="Z519" s="3" t="n">
        <f aca="false" ca="false" dt2D="false" dtr="false" t="normal">+(K519*11.55+L519*23.1)*12*30</f>
        <v>20542599</v>
      </c>
      <c r="AA519" s="3" t="n">
        <f aca="false" ca="false" dt2D="false" dtr="false" t="normal">+N519-AB519</f>
        <v>0</v>
      </c>
      <c r="AB519" s="27" t="n">
        <f aca="false" ca="true" dt2D="false" dtr="false" t="normal">SUBTOTAL(9, AC519:AQ519)</f>
        <v>9960662.12</v>
      </c>
      <c r="AC519" s="17" t="n">
        <v>0</v>
      </c>
      <c r="AD519" s="18" t="n">
        <v>0</v>
      </c>
      <c r="AE519" s="18" t="n">
        <v>0</v>
      </c>
      <c r="AF519" s="18" t="n">
        <v>0</v>
      </c>
      <c r="AG519" s="18" t="n">
        <v>0</v>
      </c>
      <c r="AH519" s="18" t="n"/>
      <c r="AI519" s="17" t="n"/>
      <c r="AJ519" s="18" t="n">
        <v>0</v>
      </c>
      <c r="AK519" s="18" t="n">
        <v>0</v>
      </c>
      <c r="AL519" s="18" t="n"/>
      <c r="AM519" s="18" t="n">
        <v>9960662.12</v>
      </c>
      <c r="AN519" s="18" t="n">
        <v>0</v>
      </c>
      <c r="AO519" s="18" t="n"/>
      <c r="AP519" s="18" t="n"/>
      <c r="AQ519" s="185" t="n"/>
      <c r="AR519" s="186" t="n">
        <f aca="false" ca="false" dt2D="false" dtr="false" t="normal">COUNTIF(AC519:AN519, "&gt;0")</f>
        <v>1</v>
      </c>
      <c r="AU519" s="3" t="n"/>
    </row>
    <row ht="15.75" outlineLevel="0" r="520">
      <c r="A520" s="5" t="n">
        <f aca="false" ca="false" dt2D="false" dtr="false" t="normal">A519+1</f>
        <v>499</v>
      </c>
      <c r="B520" s="6" t="n">
        <f aca="false" ca="false" dt2D="false" dtr="false" t="normal">B519+1</f>
        <v>40</v>
      </c>
      <c r="C520" s="138" t="s">
        <v>104</v>
      </c>
      <c r="D520" s="138" t="s">
        <v>246</v>
      </c>
      <c r="E520" s="139" t="n">
        <v>1989</v>
      </c>
      <c r="F520" s="139" t="n">
        <v>2017</v>
      </c>
      <c r="G520" s="139" t="s">
        <v>4</v>
      </c>
      <c r="H520" s="139" t="n">
        <v>10</v>
      </c>
      <c r="I520" s="139" t="n">
        <v>1</v>
      </c>
      <c r="J520" s="17" t="n">
        <v>3562.9</v>
      </c>
      <c r="K520" s="17" t="n">
        <v>3068</v>
      </c>
      <c r="L520" s="17" t="n">
        <v>0</v>
      </c>
      <c r="M520" s="140" t="n">
        <v>120</v>
      </c>
      <c r="N520" s="16" t="n">
        <f aca="false" ca="false" dt2D="false" dtr="false" t="normal">P520+Q520+R520+S520+T520</f>
        <v>3016891.8</v>
      </c>
      <c r="O520" s="17" t="n"/>
      <c r="P520" s="18" t="n">
        <v>0</v>
      </c>
      <c r="Q520" s="18" t="n"/>
      <c r="R520" s="27" t="n">
        <v>949019.77</v>
      </c>
      <c r="S520" s="27" t="n">
        <v>2067872.03</v>
      </c>
      <c r="T520" s="27" t="n">
        <v>0</v>
      </c>
      <c r="U520" s="18" t="n">
        <v>4712.02335049937</v>
      </c>
      <c r="V520" s="18" t="n">
        <v>1208.283020064</v>
      </c>
      <c r="W520" s="21" t="n">
        <v>2024</v>
      </c>
      <c r="X520" s="103" t="n">
        <f aca="false" ca="false" dt2D="false" dtr="false" t="normal">+'[1]Лист1'!$BC$149</f>
        <v>468663.01</v>
      </c>
      <c r="Y520" s="3" t="n">
        <f aca="false" ca="false" dt2D="false" dtr="false" t="normal">+(K520*15.35+L520*26.02)*12*0.85</f>
        <v>480356.75999999995</v>
      </c>
      <c r="Z520" s="3" t="n">
        <f aca="false" ca="false" dt2D="false" dtr="false" t="normal">+(K520*15.35+L520*26.02)*12*30</f>
        <v>16953768</v>
      </c>
      <c r="AA520" s="3" t="n">
        <f aca="false" ca="false" dt2D="false" dtr="false" t="normal">+N520-AB520</f>
        <v>0</v>
      </c>
      <c r="AB520" s="27" t="n">
        <f aca="false" ca="true" dt2D="false" dtr="false" t="normal">SUBTOTAL(9, AC520:AQ520)</f>
        <v>3016891.8</v>
      </c>
      <c r="AC520" s="17" t="n"/>
      <c r="AD520" s="18" t="n"/>
      <c r="AE520" s="18" t="n">
        <v>0</v>
      </c>
      <c r="AF520" s="18" t="n">
        <v>0</v>
      </c>
      <c r="AG520" s="18" t="n">
        <v>0</v>
      </c>
      <c r="AH520" s="18" t="n"/>
      <c r="AI520" s="17" t="n">
        <v>0</v>
      </c>
      <c r="AJ520" s="18" t="n"/>
      <c r="AK520" s="18" t="n"/>
      <c r="AL520" s="18" t="n">
        <v>3016891.8</v>
      </c>
      <c r="AM520" s="18" t="n">
        <v>0</v>
      </c>
      <c r="AN520" s="18" t="n">
        <v>0</v>
      </c>
      <c r="AO520" s="189" t="n"/>
      <c r="AP520" s="189" t="n"/>
      <c r="AQ520" s="185" t="n"/>
      <c r="AR520" s="186" t="n">
        <f aca="false" ca="false" dt2D="false" dtr="false" t="normal">COUNTIF(AC520:AN520, "&gt;0")</f>
        <v>1</v>
      </c>
      <c r="AU520" s="3" t="n"/>
    </row>
    <row ht="15.75" outlineLevel="0" r="521">
      <c r="A521" s="5" t="n">
        <f aca="false" ca="false" dt2D="false" dtr="false" t="normal">A520+1</f>
        <v>500</v>
      </c>
      <c r="B521" s="6" t="n">
        <f aca="false" ca="false" dt2D="false" dtr="false" t="normal">B520+1</f>
        <v>41</v>
      </c>
      <c r="C521" s="138" t="s">
        <v>104</v>
      </c>
      <c r="D521" s="138" t="s">
        <v>126</v>
      </c>
      <c r="E521" s="139" t="n">
        <v>1990</v>
      </c>
      <c r="F521" s="139" t="n">
        <v>2017</v>
      </c>
      <c r="G521" s="139" t="s">
        <v>4</v>
      </c>
      <c r="H521" s="139" t="n">
        <v>10</v>
      </c>
      <c r="I521" s="139" t="n">
        <v>3</v>
      </c>
      <c r="J521" s="17" t="n">
        <v>9593.3</v>
      </c>
      <c r="K521" s="17" t="n">
        <v>8146.5</v>
      </c>
      <c r="L521" s="17" t="n">
        <v>251.7</v>
      </c>
      <c r="M521" s="140" t="n">
        <v>290</v>
      </c>
      <c r="N521" s="16" t="n">
        <f aca="false" ca="false" dt2D="false" dtr="false" t="normal">P521+Q521+R521+S521+T521</f>
        <v>4238474.54</v>
      </c>
      <c r="O521" s="17" t="n"/>
      <c r="P521" s="18" t="n">
        <v>0</v>
      </c>
      <c r="Q521" s="18" t="n"/>
      <c r="R521" s="27" t="n">
        <v>1342299.69</v>
      </c>
      <c r="S521" s="27" t="n">
        <v>2844681.79</v>
      </c>
      <c r="T521" s="188" t="n">
        <v>51493.06</v>
      </c>
      <c r="U521" s="17" t="n">
        <v>710.264940499959</v>
      </c>
      <c r="V521" s="17" t="n">
        <v>710.264940499959</v>
      </c>
      <c r="W521" s="21" t="n">
        <v>2024</v>
      </c>
      <c r="X521" s="12" t="n"/>
      <c r="Y521" s="3" t="n">
        <f aca="false" ca="false" dt2D="false" dtr="false" t="normal">+(K521*15.35+L521*26.02)*12*0.85</f>
        <v>1342299.6918</v>
      </c>
      <c r="Z521" s="3" t="n">
        <f aca="false" ca="false" dt2D="false" dtr="false" t="normal">+(K521*15.35+L521*26.02)*12*30-'[1]Лист1'!$AQ$150</f>
        <v>34356059.44</v>
      </c>
      <c r="AA521" s="3" t="n">
        <f aca="false" ca="false" dt2D="false" dtr="false" t="normal">+N521-AB521</f>
        <v>51493.060000000056</v>
      </c>
      <c r="AB521" s="27" t="n">
        <f aca="false" ca="true" dt2D="false" dtr="false" t="normal">SUBTOTAL(9, AC521:AQ521)</f>
        <v>4186981.48</v>
      </c>
      <c r="AC521" s="17" t="n"/>
      <c r="AD521" s="18" t="n"/>
      <c r="AE521" s="18" t="n">
        <v>4186981.48</v>
      </c>
      <c r="AF521" s="18" t="n"/>
      <c r="AG521" s="18" t="n"/>
      <c r="AH521" s="18" t="n"/>
      <c r="AI521" s="17" t="n"/>
      <c r="AJ521" s="18" t="n"/>
      <c r="AK521" s="18" t="n"/>
      <c r="AL521" s="18" t="n"/>
      <c r="AM521" s="18" t="n">
        <v>0</v>
      </c>
      <c r="AN521" s="18" t="n">
        <v>0</v>
      </c>
      <c r="AO521" s="18" t="n"/>
      <c r="AP521" s="18" t="n"/>
      <c r="AQ521" s="191" t="n"/>
      <c r="AR521" s="186" t="n">
        <f aca="false" ca="false" dt2D="false" dtr="false" t="normal">COUNTIF(AC521:AN521, "&gt;0")</f>
        <v>1</v>
      </c>
      <c r="AU521" s="3" t="n"/>
    </row>
    <row ht="15.75" outlineLevel="0" r="522">
      <c r="A522" s="5" t="n">
        <f aca="false" ca="false" dt2D="false" dtr="false" t="normal">A521+1</f>
        <v>501</v>
      </c>
      <c r="B522" s="6" t="n">
        <f aca="false" ca="false" dt2D="false" dtr="false" t="normal">B521+1</f>
        <v>42</v>
      </c>
      <c r="C522" s="138" t="s">
        <v>104</v>
      </c>
      <c r="D522" s="138" t="s">
        <v>135</v>
      </c>
      <c r="E522" s="139" t="n">
        <v>1990</v>
      </c>
      <c r="F522" s="139" t="n">
        <v>2017</v>
      </c>
      <c r="G522" s="139" t="s">
        <v>4</v>
      </c>
      <c r="H522" s="139" t="n">
        <v>10</v>
      </c>
      <c r="I522" s="139" t="n">
        <v>1</v>
      </c>
      <c r="J522" s="17" t="n">
        <v>3562.9</v>
      </c>
      <c r="K522" s="17" t="n">
        <v>3045.6</v>
      </c>
      <c r="L522" s="17" t="n">
        <v>0</v>
      </c>
      <c r="M522" s="140" t="n">
        <v>121</v>
      </c>
      <c r="N522" s="16" t="n">
        <f aca="false" ca="false" dt2D="false" dtr="false" t="normal">P522+Q522+R522+S522+T522</f>
        <v>2263835.58</v>
      </c>
      <c r="O522" s="17" t="n"/>
      <c r="P522" s="18" t="n">
        <v>0</v>
      </c>
      <c r="Q522" s="18" t="n"/>
      <c r="R522" s="27" t="n">
        <v>476849.59</v>
      </c>
      <c r="S522" s="27" t="n">
        <v>1680449.35</v>
      </c>
      <c r="T522" s="188" t="n">
        <v>106536.64</v>
      </c>
      <c r="U522" s="17" t="n">
        <v>723.822792115745</v>
      </c>
      <c r="V522" s="17" t="n">
        <v>723.822792115745</v>
      </c>
      <c r="W522" s="21" t="n">
        <v>2024</v>
      </c>
      <c r="X522" s="12" t="n"/>
      <c r="Y522" s="3" t="n">
        <f aca="false" ca="false" dt2D="false" dtr="false" t="normal">+(K522*15.35+L522*26.02)*12*0.85</f>
        <v>476849.592</v>
      </c>
      <c r="Z522" s="3" t="n">
        <f aca="false" ca="false" dt2D="false" dtr="false" t="normal">+(K522*15.35+L522*26.02)*12*30-'[1]Лист1'!$AQ$152</f>
        <v>10516705.66</v>
      </c>
      <c r="AA522" s="3" t="n">
        <f aca="false" ca="false" dt2D="false" dtr="false" t="normal">+N522-AB522</f>
        <v>30309.91000000015</v>
      </c>
      <c r="AB522" s="27" t="n">
        <f aca="false" ca="true" dt2D="false" dtr="false" t="normal">SUBTOTAL(9, AC522:AQ522)</f>
        <v>2233525.67</v>
      </c>
      <c r="AC522" s="17" t="n"/>
      <c r="AD522" s="18" t="n"/>
      <c r="AE522" s="18" t="n">
        <v>2233525.67</v>
      </c>
      <c r="AF522" s="18" t="n"/>
      <c r="AG522" s="18" t="n">
        <v>0</v>
      </c>
      <c r="AH522" s="18" t="n"/>
      <c r="AI522" s="17" t="n"/>
      <c r="AJ522" s="18" t="n">
        <v>0</v>
      </c>
      <c r="AK522" s="18" t="n">
        <v>0</v>
      </c>
      <c r="AL522" s="18" t="n"/>
      <c r="AM522" s="18" t="n">
        <v>0</v>
      </c>
      <c r="AN522" s="18" t="n">
        <v>0</v>
      </c>
      <c r="AO522" s="18" t="n"/>
      <c r="AP522" s="18" t="n"/>
      <c r="AQ522" s="191" t="n"/>
      <c r="AR522" s="186" t="n">
        <f aca="false" ca="false" dt2D="false" dtr="false" t="normal">COUNTIF(AC522:AN522, "&gt;0")</f>
        <v>1</v>
      </c>
      <c r="AU522" s="3" t="n"/>
    </row>
    <row ht="15.75" outlineLevel="0" r="523">
      <c r="A523" s="5" t="n">
        <f aca="false" ca="false" dt2D="false" dtr="false" t="normal">A522+1</f>
        <v>502</v>
      </c>
      <c r="B523" s="6" t="n">
        <f aca="false" ca="false" dt2D="false" dtr="false" t="normal">B522+1</f>
        <v>43</v>
      </c>
      <c r="C523" s="138" t="s">
        <v>104</v>
      </c>
      <c r="D523" s="138" t="s">
        <v>137</v>
      </c>
      <c r="E523" s="139" t="n">
        <v>1990</v>
      </c>
      <c r="F523" s="139" t="n">
        <v>2017</v>
      </c>
      <c r="G523" s="139" t="s">
        <v>4</v>
      </c>
      <c r="H523" s="139" t="n">
        <v>9</v>
      </c>
      <c r="I523" s="139" t="n">
        <v>1</v>
      </c>
      <c r="J523" s="17" t="n">
        <v>3197.5</v>
      </c>
      <c r="K523" s="17" t="n">
        <v>2621.1</v>
      </c>
      <c r="L523" s="17" t="n">
        <v>132.4</v>
      </c>
      <c r="M523" s="140" t="n">
        <v>94</v>
      </c>
      <c r="N523" s="16" t="n">
        <f aca="false" ca="false" dt2D="false" dtr="false" t="normal">P523+Q523+R523+S523+T523</f>
        <v>921428.35</v>
      </c>
      <c r="O523" s="17" t="n"/>
      <c r="P523" s="18" t="n">
        <v>0</v>
      </c>
      <c r="Q523" s="18" t="n"/>
      <c r="R523" s="27" t="n">
        <v>445525.12</v>
      </c>
      <c r="S523" s="27" t="n">
        <v>475903.23</v>
      </c>
      <c r="T523" s="27" t="n">
        <v>0</v>
      </c>
      <c r="U523" s="17" t="n">
        <v>486.047836516851</v>
      </c>
      <c r="V523" s="17" t="n">
        <v>486.047836516851</v>
      </c>
      <c r="W523" s="21" t="n">
        <v>2024</v>
      </c>
      <c r="Y523" s="3" t="n">
        <f aca="false" ca="false" dt2D="false" dtr="false" t="normal">+(K523*15.35+L523*26.02)*12*0.85</f>
        <v>445525.1166</v>
      </c>
      <c r="Z523" s="3" t="n">
        <f aca="false" ca="false" dt2D="false" dtr="false" t="normal">+(K523*15.35+L523*26.02)*12*30-'[1]Лист1'!$AQ$153</f>
        <v>11263370.079999998</v>
      </c>
      <c r="AA523" s="3" t="n">
        <f aca="false" ca="false" dt2D="false" dtr="false" t="normal">+N523-AB523</f>
        <v>0</v>
      </c>
      <c r="AB523" s="27" t="n">
        <f aca="false" ca="true" dt2D="false" dtr="false" t="normal">SUBTOTAL(9, AC523:AQ523)</f>
        <v>921428.35</v>
      </c>
      <c r="AC523" s="17" t="n"/>
      <c r="AD523" s="18" t="n"/>
      <c r="AE523" s="18" t="n"/>
      <c r="AF523" s="18" t="n"/>
      <c r="AG523" s="18" t="n"/>
      <c r="AH523" s="18" t="n"/>
      <c r="AI523" s="17" t="n"/>
      <c r="AJ523" s="18" t="n">
        <v>0</v>
      </c>
      <c r="AK523" s="18" t="n">
        <v>0</v>
      </c>
      <c r="AL523" s="18" t="n">
        <v>921428.35</v>
      </c>
      <c r="AM523" s="18" t="n">
        <v>0</v>
      </c>
      <c r="AN523" s="18" t="n">
        <v>0</v>
      </c>
      <c r="AO523" s="18" t="n"/>
      <c r="AP523" s="18" t="n"/>
      <c r="AQ523" s="191" t="n"/>
      <c r="AR523" s="186" t="n">
        <f aca="false" ca="false" dt2D="false" dtr="false" t="normal">COUNTIF(AC523:AN523, "&gt;0")</f>
        <v>1</v>
      </c>
      <c r="AU523" s="3" t="n"/>
    </row>
    <row ht="15.75" outlineLevel="0" r="524">
      <c r="A524" s="5" t="n">
        <f aca="false" ca="false" dt2D="false" dtr="false" t="normal">A523+1</f>
        <v>503</v>
      </c>
      <c r="B524" s="6" t="n">
        <f aca="false" ca="false" dt2D="false" dtr="false" t="normal">B523+1</f>
        <v>44</v>
      </c>
      <c r="C524" s="138" t="s">
        <v>104</v>
      </c>
      <c r="D524" s="138" t="s">
        <v>251</v>
      </c>
      <c r="E524" s="139" t="n">
        <v>1990</v>
      </c>
      <c r="F524" s="139" t="n">
        <v>2017</v>
      </c>
      <c r="G524" s="139" t="s">
        <v>4</v>
      </c>
      <c r="H524" s="139" t="n">
        <v>9</v>
      </c>
      <c r="I524" s="139" t="n">
        <v>1</v>
      </c>
      <c r="J524" s="17" t="n">
        <v>3238.8</v>
      </c>
      <c r="K524" s="17" t="n">
        <v>2708.3</v>
      </c>
      <c r="L524" s="17" t="n">
        <v>76.6</v>
      </c>
      <c r="M524" s="140" t="n">
        <v>79</v>
      </c>
      <c r="N524" s="16" t="n">
        <f aca="false" ca="false" dt2D="false" dtr="false" t="normal">P524+Q524+R524+S524+T524</f>
        <v>2078380.68</v>
      </c>
      <c r="O524" s="17" t="n"/>
      <c r="P524" s="18" t="n">
        <v>0</v>
      </c>
      <c r="Q524" s="18" t="n"/>
      <c r="R524" s="27" t="n">
        <v>444368.48</v>
      </c>
      <c r="S524" s="27" t="n">
        <v>1527124.89</v>
      </c>
      <c r="T524" s="188" t="n">
        <v>106887.31</v>
      </c>
      <c r="U524" s="17" t="n">
        <v>845.395630763798</v>
      </c>
      <c r="V524" s="17" t="n">
        <v>845.395630763798</v>
      </c>
      <c r="W524" s="21" t="n">
        <v>2024</v>
      </c>
      <c r="Y524" s="3" t="n">
        <f aca="false" ca="false" dt2D="false" dtr="false" t="normal">+(K524*15.35+L524*26.02)*12*0.85</f>
        <v>444368.4774</v>
      </c>
      <c r="Z524" s="3" t="n">
        <f aca="false" ca="false" dt2D="false" dtr="false" t="normal">+(K524*15.35+L524*26.02)*12*30-'[1]Лист1'!$AQ$154</f>
        <v>9545709.779999997</v>
      </c>
      <c r="AA524" s="3" t="n">
        <f aca="false" ca="false" dt2D="false" dtr="false" t="normal">+N524-AB524</f>
        <v>27010</v>
      </c>
      <c r="AB524" s="27" t="n">
        <f aca="false" ca="true" dt2D="false" dtr="false" t="normal">SUBTOTAL(9, AC524:AQ524)</f>
        <v>2051370.68</v>
      </c>
      <c r="AC524" s="17" t="n"/>
      <c r="AD524" s="18" t="n"/>
      <c r="AE524" s="18" t="n">
        <v>2051370.68</v>
      </c>
      <c r="AF524" s="18" t="n"/>
      <c r="AG524" s="18" t="n">
        <v>0</v>
      </c>
      <c r="AH524" s="18" t="n"/>
      <c r="AI524" s="17" t="n"/>
      <c r="AJ524" s="18" t="n">
        <v>0</v>
      </c>
      <c r="AK524" s="18" t="n">
        <v>0</v>
      </c>
      <c r="AL524" s="18" t="n"/>
      <c r="AM524" s="18" t="n">
        <v>0</v>
      </c>
      <c r="AN524" s="18" t="n">
        <v>0</v>
      </c>
      <c r="AO524" s="18" t="n"/>
      <c r="AP524" s="18" t="n"/>
      <c r="AQ524" s="191" t="n"/>
      <c r="AR524" s="186" t="n">
        <f aca="false" ca="false" dt2D="false" dtr="false" t="normal">COUNTIF(AC524:AN524, "&gt;0")</f>
        <v>1</v>
      </c>
      <c r="AU524" s="3" t="n"/>
    </row>
    <row ht="15.75" outlineLevel="0" r="525">
      <c r="A525" s="5" t="n">
        <f aca="false" ca="false" dt2D="false" dtr="false" t="normal">A524+1</f>
        <v>504</v>
      </c>
      <c r="B525" s="6" t="n">
        <f aca="false" ca="false" dt2D="false" dtr="false" t="normal">B524+1</f>
        <v>45</v>
      </c>
      <c r="C525" s="138" t="s">
        <v>104</v>
      </c>
      <c r="D525" s="138" t="s">
        <v>253</v>
      </c>
      <c r="E525" s="139" t="n">
        <v>1988</v>
      </c>
      <c r="F525" s="139" t="n">
        <v>2016</v>
      </c>
      <c r="G525" s="139" t="s">
        <v>4</v>
      </c>
      <c r="H525" s="139" t="n">
        <v>5</v>
      </c>
      <c r="I525" s="139" t="n">
        <v>6</v>
      </c>
      <c r="J525" s="17" t="n">
        <v>5149.1</v>
      </c>
      <c r="K525" s="17" t="n">
        <v>4596.4</v>
      </c>
      <c r="L525" s="17" t="n">
        <v>0</v>
      </c>
      <c r="M525" s="140" t="n">
        <v>197</v>
      </c>
      <c r="N525" s="16" t="n">
        <f aca="false" ca="false" dt2D="false" dtr="false" t="normal">P525+Q525+R525+S525+T525</f>
        <v>19223883.2</v>
      </c>
      <c r="O525" s="17" t="n"/>
      <c r="P525" s="18" t="n">
        <v>0</v>
      </c>
      <c r="Q525" s="18" t="n"/>
      <c r="R525" s="27" t="n">
        <v>3039462.3</v>
      </c>
      <c r="S525" s="27" t="n">
        <v>16184420.9</v>
      </c>
      <c r="T525" s="27" t="n">
        <v>0</v>
      </c>
      <c r="U525" s="18" t="n">
        <v>5631.09024192847</v>
      </c>
      <c r="V525" s="18" t="n">
        <v>1206.283020064</v>
      </c>
      <c r="W525" s="21" t="n">
        <v>2024</v>
      </c>
      <c r="X525" s="103" t="n">
        <v>346504.56</v>
      </c>
      <c r="Y525" s="3" t="n">
        <f aca="false" ca="false" dt2D="false" dtr="false" t="normal">+(K525*11.55+L525*23.1)*12*0.85</f>
        <v>541501.884</v>
      </c>
      <c r="Z525" s="3" t="n">
        <f aca="false" ca="false" dt2D="false" dtr="false" t="normal">+(K525*11.55+L525*23.1)*12*30</f>
        <v>19111831.200000003</v>
      </c>
      <c r="AA525" s="3" t="n">
        <f aca="false" ca="false" dt2D="false" dtr="false" t="normal">+N525-AB525</f>
        <v>0</v>
      </c>
      <c r="AB525" s="27" t="n">
        <f aca="false" ca="true" dt2D="false" dtr="false" t="normal">SUBTOTAL(9, AC525:AQ525)</f>
        <v>19223883.2</v>
      </c>
      <c r="AC525" s="17" t="n">
        <v>0</v>
      </c>
      <c r="AD525" s="18" t="n">
        <v>0</v>
      </c>
      <c r="AE525" s="18" t="n">
        <v>0</v>
      </c>
      <c r="AF525" s="18" t="n">
        <v>0</v>
      </c>
      <c r="AG525" s="18" t="n">
        <v>0</v>
      </c>
      <c r="AH525" s="18" t="n"/>
      <c r="AI525" s="17" t="n"/>
      <c r="AJ525" s="18" t="n">
        <v>0</v>
      </c>
      <c r="AK525" s="18" t="n">
        <v>0</v>
      </c>
      <c r="AL525" s="18" t="n">
        <v>0</v>
      </c>
      <c r="AM525" s="18" t="n">
        <v>19223883.2</v>
      </c>
      <c r="AN525" s="18" t="n">
        <v>0</v>
      </c>
      <c r="AO525" s="18" t="n"/>
      <c r="AP525" s="18" t="n"/>
      <c r="AQ525" s="185" t="n"/>
      <c r="AR525" s="186" t="n">
        <f aca="false" ca="false" dt2D="false" dtr="false" t="normal">COUNTIF(AC525:AN525, "&gt;0")</f>
        <v>1</v>
      </c>
      <c r="AU525" s="3" t="n"/>
    </row>
    <row ht="15.75" outlineLevel="0" r="526">
      <c r="A526" s="5" t="n">
        <f aca="false" ca="false" dt2D="false" dtr="false" t="normal">A525+1</f>
        <v>505</v>
      </c>
      <c r="B526" s="6" t="n">
        <f aca="false" ca="false" dt2D="false" dtr="false" t="normal">B525+1</f>
        <v>46</v>
      </c>
      <c r="C526" s="138" t="s">
        <v>104</v>
      </c>
      <c r="D526" s="138" t="s">
        <v>255</v>
      </c>
      <c r="E526" s="139" t="n">
        <v>1989</v>
      </c>
      <c r="F526" s="139" t="n">
        <v>2016</v>
      </c>
      <c r="G526" s="139" t="s">
        <v>4</v>
      </c>
      <c r="H526" s="139" t="n">
        <v>5</v>
      </c>
      <c r="I526" s="139" t="n">
        <v>4</v>
      </c>
      <c r="J526" s="17" t="n">
        <v>5827.1</v>
      </c>
      <c r="K526" s="17" t="n">
        <v>4877.5</v>
      </c>
      <c r="L526" s="17" t="n">
        <v>0</v>
      </c>
      <c r="M526" s="140" t="n">
        <v>218</v>
      </c>
      <c r="N526" s="16" t="n">
        <f aca="false" ca="false" dt2D="false" dtr="false" t="normal">P526+Q526+R526+S526+T526</f>
        <v>4078792.1799999997</v>
      </c>
      <c r="O526" s="17" t="n"/>
      <c r="P526" s="18" t="n">
        <v>0</v>
      </c>
      <c r="Q526" s="18" t="n"/>
      <c r="R526" s="27" t="n">
        <v>574618.28</v>
      </c>
      <c r="S526" s="27" t="n">
        <v>3504173.9</v>
      </c>
      <c r="T526" s="27" t="n">
        <v>0</v>
      </c>
      <c r="U526" s="18" t="n">
        <v>2662.17214587269</v>
      </c>
      <c r="V526" s="18" t="n">
        <v>1209.283020064</v>
      </c>
      <c r="W526" s="21" t="n">
        <v>2024</v>
      </c>
      <c r="X526" s="103" t="n">
        <v>0</v>
      </c>
      <c r="Y526" s="3" t="n">
        <f aca="false" ca="false" dt2D="false" dtr="false" t="normal">+(K526*11.55+L526*23.1)*12*0.85</f>
        <v>574618.275</v>
      </c>
      <c r="Z526" s="3" t="n">
        <f aca="false" ca="false" dt2D="false" dtr="false" t="normal">+(K526*11.55+L526*23.1)*12*30-'[1]Лист1'!$AQ$156</f>
        <v>17680870.04</v>
      </c>
      <c r="AA526" s="3" t="n">
        <f aca="false" ca="false" dt2D="false" dtr="false" t="normal">+N526-AB526</f>
        <v>0</v>
      </c>
      <c r="AB526" s="27" t="n">
        <f aca="false" ca="true" dt2D="false" dtr="false" t="normal">SUBTOTAL(9, AC526:AQ526)</f>
        <v>4078792.18</v>
      </c>
      <c r="AC526" s="17" t="n"/>
      <c r="AD526" s="18" t="n"/>
      <c r="AE526" s="18" t="n">
        <v>0</v>
      </c>
      <c r="AF526" s="18" t="n">
        <v>4078792.18</v>
      </c>
      <c r="AG526" s="18" t="n">
        <v>0</v>
      </c>
      <c r="AH526" s="18" t="n"/>
      <c r="AI526" s="17" t="n"/>
      <c r="AJ526" s="18" t="n">
        <v>0</v>
      </c>
      <c r="AK526" s="18" t="n">
        <v>0</v>
      </c>
      <c r="AL526" s="18" t="n">
        <v>0</v>
      </c>
      <c r="AM526" s="18" t="n">
        <v>0</v>
      </c>
      <c r="AN526" s="18" t="n">
        <v>0</v>
      </c>
      <c r="AO526" s="18" t="n"/>
      <c r="AP526" s="18" t="n"/>
      <c r="AQ526" s="185" t="n"/>
      <c r="AR526" s="186" t="n">
        <f aca="false" ca="false" dt2D="false" dtr="false" t="normal">COUNTIF(AC526:AN526, "&gt;0")</f>
        <v>1</v>
      </c>
      <c r="AU526" s="3" t="n"/>
    </row>
    <row ht="15.75" outlineLevel="0" r="527">
      <c r="A527" s="5" t="n">
        <f aca="false" ca="false" dt2D="false" dtr="false" t="normal">A526+1</f>
        <v>506</v>
      </c>
      <c r="B527" s="6" t="n">
        <f aca="false" ca="false" dt2D="false" dtr="false" t="normal">B526+1</f>
        <v>47</v>
      </c>
      <c r="C527" s="138" t="s">
        <v>104</v>
      </c>
      <c r="D527" s="138" t="s">
        <v>258</v>
      </c>
      <c r="E527" s="139" t="n">
        <v>1994</v>
      </c>
      <c r="F527" s="139" t="n">
        <v>1994</v>
      </c>
      <c r="G527" s="139" t="s">
        <v>4</v>
      </c>
      <c r="H527" s="139" t="n">
        <v>10</v>
      </c>
      <c r="I527" s="139" t="n">
        <v>1</v>
      </c>
      <c r="J527" s="17" t="n">
        <v>3166.2</v>
      </c>
      <c r="K527" s="17" t="n">
        <v>2444.1</v>
      </c>
      <c r="L527" s="17" t="n">
        <v>336.1</v>
      </c>
      <c r="M527" s="140" t="n">
        <v>81</v>
      </c>
      <c r="N527" s="16" t="n">
        <f aca="false" ca="false" dt2D="false" dtr="false" t="normal">P527+Q527+R527+S527+T527</f>
        <v>3221072.6900000004</v>
      </c>
      <c r="O527" s="17" t="n"/>
      <c r="P527" s="18" t="n">
        <v>0</v>
      </c>
      <c r="Q527" s="18" t="n"/>
      <c r="R527" s="27" t="n">
        <v>331650.45</v>
      </c>
      <c r="S527" s="27" t="n">
        <v>2889422.24</v>
      </c>
      <c r="T527" s="27" t="n">
        <v>0</v>
      </c>
      <c r="U527" s="18" t="n">
        <v>3460.30631218071</v>
      </c>
      <c r="V527" s="18" t="n">
        <v>1213.283020064</v>
      </c>
      <c r="W527" s="21" t="n">
        <v>2024</v>
      </c>
      <c r="X527" s="1" t="n">
        <f aca="false" ca="false" dt2D="false" dtr="false" t="normal">2294994.9-363720.72-1073634.1</f>
        <v>857640.0799999998</v>
      </c>
      <c r="Y527" s="3" t="n">
        <f aca="false" ca="false" dt2D="false" dtr="false" t="normal">+(K527*15.35+L527*26.02)*12*0.85</f>
        <v>471875.0214</v>
      </c>
      <c r="Z527" s="3" t="n">
        <f aca="false" ca="false" dt2D="false" dtr="false" t="normal">+(K527*15.35+L527*26.02)*12*30</f>
        <v>16654412.520000001</v>
      </c>
      <c r="AA527" s="3" t="n">
        <f aca="false" ca="false" dt2D="false" dtr="false" t="normal">+N527-AB527</f>
        <v>0</v>
      </c>
      <c r="AB527" s="27" t="n">
        <f aca="false" ca="true" dt2D="false" dtr="false" t="normal">SUBTOTAL(9, AC527:AQ527)</f>
        <v>3221072.69</v>
      </c>
      <c r="AC527" s="17" t="n">
        <v>3221072.69</v>
      </c>
      <c r="AD527" s="18" t="n">
        <v>0</v>
      </c>
      <c r="AE527" s="18" t="n">
        <v>0</v>
      </c>
      <c r="AF527" s="18" t="n">
        <v>0</v>
      </c>
      <c r="AG527" s="18" t="n">
        <v>0</v>
      </c>
      <c r="AH527" s="18" t="n"/>
      <c r="AI527" s="17" t="n"/>
      <c r="AJ527" s="18" t="n">
        <v>0</v>
      </c>
      <c r="AK527" s="18" t="n">
        <v>0</v>
      </c>
      <c r="AL527" s="18" t="n">
        <v>0</v>
      </c>
      <c r="AM527" s="18" t="n">
        <v>0</v>
      </c>
      <c r="AN527" s="18" t="n">
        <v>0</v>
      </c>
      <c r="AO527" s="18" t="n"/>
      <c r="AP527" s="18" t="n"/>
      <c r="AQ527" s="185" t="n"/>
      <c r="AR527" s="186" t="n">
        <f aca="false" ca="false" dt2D="false" dtr="false" t="normal">COUNTIF(AC527:AN527, "&gt;0")</f>
        <v>1</v>
      </c>
      <c r="AU527" s="3" t="n"/>
    </row>
    <row ht="15.75" outlineLevel="0" r="528">
      <c r="A528" s="5" t="n">
        <f aca="false" ca="false" dt2D="false" dtr="false" t="normal">A527+1</f>
        <v>507</v>
      </c>
      <c r="B528" s="6" t="n">
        <f aca="false" ca="false" dt2D="false" dtr="false" t="normal">B527+1</f>
        <v>48</v>
      </c>
      <c r="C528" s="138" t="s">
        <v>104</v>
      </c>
      <c r="D528" s="138" t="s">
        <v>260</v>
      </c>
      <c r="E528" s="139" t="n">
        <v>1995</v>
      </c>
      <c r="F528" s="139" t="n">
        <v>2010</v>
      </c>
      <c r="G528" s="139" t="s">
        <v>4</v>
      </c>
      <c r="H528" s="139" t="n">
        <v>9</v>
      </c>
      <c r="I528" s="139" t="n">
        <v>1</v>
      </c>
      <c r="J528" s="17" t="n">
        <v>2996.5</v>
      </c>
      <c r="K528" s="17" t="n">
        <v>2550.1</v>
      </c>
      <c r="L528" s="17" t="n">
        <v>76.6</v>
      </c>
      <c r="M528" s="140" t="n">
        <v>83</v>
      </c>
      <c r="N528" s="16" t="n">
        <f aca="false" ca="false" dt2D="false" dtr="false" t="normal">P528+Q528+R528+S528+T528</f>
        <v>20792624.55</v>
      </c>
      <c r="O528" s="17" t="n"/>
      <c r="P528" s="18" t="n">
        <v>8144903.85</v>
      </c>
      <c r="Q528" s="18" t="n"/>
      <c r="R528" s="27" t="n">
        <v>1121010.9</v>
      </c>
      <c r="S528" s="27" t="n">
        <v>10523716.66</v>
      </c>
      <c r="T528" s="27" t="n">
        <v>1002993.14</v>
      </c>
      <c r="U528" s="18" t="n">
        <v>2660.39647579012</v>
      </c>
      <c r="V528" s="18" t="n">
        <v>1212.283020064</v>
      </c>
      <c r="W528" s="21" t="n">
        <v>2024</v>
      </c>
      <c r="X528" s="12" t="n"/>
      <c r="Y528" s="3" t="n">
        <f aca="false" ca="false" dt2D="false" dtr="false" t="normal">+(K528*15.35+L528*26.02)*12*0.85</f>
        <v>419599.10339999996</v>
      </c>
      <c r="Z528" s="3" t="n">
        <f aca="false" ca="false" dt2D="false" dtr="false" t="normal">+(K528*15.35+L528*26.02)*12*30-'[1]Лист1'!$AQ$160</f>
        <v>10525073.559999999</v>
      </c>
      <c r="AA528" s="3" t="n">
        <f aca="false" ca="false" dt2D="false" dtr="false" t="normal">+N528-AB528</f>
        <v>217543.7800000012</v>
      </c>
      <c r="AB528" s="27" t="n">
        <f aca="false" ca="true" dt2D="false" dtr="false" t="normal">SUBTOTAL(9, AC528:AQ528)</f>
        <v>20575080.77</v>
      </c>
      <c r="AC528" s="17" t="n">
        <v>3965533.13</v>
      </c>
      <c r="AD528" s="18" t="n">
        <v>1547451.81</v>
      </c>
      <c r="AE528" s="18" t="n">
        <v>1555631.83</v>
      </c>
      <c r="AF528" s="18" t="n">
        <v>1086608.34</v>
      </c>
      <c r="AG528" s="18" t="n">
        <v>0</v>
      </c>
      <c r="AH528" s="18" t="n"/>
      <c r="AI528" s="17" t="n"/>
      <c r="AJ528" s="18" t="n">
        <v>0</v>
      </c>
      <c r="AK528" s="18" t="n">
        <v>0</v>
      </c>
      <c r="AL528" s="18" t="n">
        <v>0</v>
      </c>
      <c r="AM528" s="18" t="n">
        <v>12419855.66</v>
      </c>
      <c r="AN528" s="18" t="n">
        <v>0</v>
      </c>
      <c r="AO528" s="18" t="n"/>
      <c r="AP528" s="18" t="n"/>
      <c r="AQ528" s="191" t="n"/>
      <c r="AR528" s="186" t="n">
        <f aca="false" ca="false" dt2D="false" dtr="false" t="normal">COUNTIF(AC528:AN528, "&gt;0")</f>
        <v>5</v>
      </c>
      <c r="AU528" s="3" t="n"/>
    </row>
    <row ht="15.75" outlineLevel="0" r="529">
      <c r="A529" s="5" t="n">
        <f aca="false" ca="false" dt2D="false" dtr="false" t="normal">A528+1</f>
        <v>508</v>
      </c>
      <c r="B529" s="6" t="n">
        <f aca="false" ca="false" dt2D="false" dtr="false" t="normal">B528+1</f>
        <v>49</v>
      </c>
      <c r="C529" s="138" t="s">
        <v>104</v>
      </c>
      <c r="D529" s="138" t="s">
        <v>262</v>
      </c>
      <c r="E529" s="139" t="n">
        <v>1996</v>
      </c>
      <c r="F529" s="139" t="n">
        <v>1996</v>
      </c>
      <c r="G529" s="139" t="s">
        <v>4</v>
      </c>
      <c r="H529" s="139" t="n">
        <v>3</v>
      </c>
      <c r="I529" s="139" t="n">
        <v>3</v>
      </c>
      <c r="J529" s="17" t="n">
        <v>2048.3</v>
      </c>
      <c r="K529" s="17" t="n">
        <v>1683.6</v>
      </c>
      <c r="L529" s="17" t="n">
        <v>86.8</v>
      </c>
      <c r="M529" s="140" t="n">
        <v>51</v>
      </c>
      <c r="N529" s="16" t="n">
        <f aca="false" ca="false" dt2D="false" dtr="false" t="normal">P529+Q529+R529+S529+T529</f>
        <v>5667697.4399999995</v>
      </c>
      <c r="O529" s="17" t="n"/>
      <c r="P529" s="18" t="n">
        <v>390556.83</v>
      </c>
      <c r="Q529" s="18" t="n"/>
      <c r="R529" s="27" t="n">
        <v>1214400.67</v>
      </c>
      <c r="S529" s="27" t="n">
        <v>4062739.94</v>
      </c>
      <c r="U529" s="18" t="n">
        <v>7766.94020109064</v>
      </c>
      <c r="V529" s="18" t="n">
        <v>1219.283020064</v>
      </c>
      <c r="W529" s="21" t="n">
        <v>2024</v>
      </c>
      <c r="X529" s="103" t="n">
        <v>1050911.19</v>
      </c>
      <c r="Y529" s="3" t="n">
        <f aca="false" ca="false" dt2D="false" dtr="false" t="normal">+(K529*10.5+L529*21)*12*0.85</f>
        <v>198906.11999999997</v>
      </c>
      <c r="Z529" s="3" t="n">
        <f aca="false" ca="false" dt2D="false" dtr="false" t="normal">+(K529*10.5+L529*21)*12*30</f>
        <v>7020215.999999999</v>
      </c>
      <c r="AA529" s="3" t="n">
        <f aca="false" ca="false" dt2D="false" dtr="false" t="normal">+N529-AB529</f>
        <v>0</v>
      </c>
      <c r="AB529" s="27" t="n">
        <f aca="false" ca="true" dt2D="false" dtr="false" t="normal">SUBTOTAL(9, AC529:AQ529)</f>
        <v>5667697.4399999995</v>
      </c>
      <c r="AC529" s="17" t="n">
        <v>3392054.08</v>
      </c>
      <c r="AD529" s="18" t="n">
        <v>2275643.36</v>
      </c>
      <c r="AE529" s="18" t="n">
        <v>0</v>
      </c>
      <c r="AF529" s="18" t="n">
        <v>0</v>
      </c>
      <c r="AG529" s="18" t="n">
        <v>0</v>
      </c>
      <c r="AH529" s="18" t="n"/>
      <c r="AI529" s="17" t="n"/>
      <c r="AJ529" s="18" t="n">
        <v>0</v>
      </c>
      <c r="AK529" s="18" t="n"/>
      <c r="AL529" s="18" t="n"/>
      <c r="AM529" s="18" t="n"/>
      <c r="AN529" s="18" t="n">
        <v>0</v>
      </c>
      <c r="AO529" s="18" t="n"/>
      <c r="AP529" s="18" t="n"/>
      <c r="AQ529" s="185" t="n"/>
      <c r="AR529" s="186" t="n">
        <f aca="false" ca="false" dt2D="false" dtr="false" t="normal">COUNTIF(AC529:AN529, "&gt;0")</f>
        <v>2</v>
      </c>
      <c r="AU529" s="3" t="n"/>
    </row>
    <row ht="15.75" outlineLevel="0" r="530">
      <c r="A530" s="5" t="n">
        <f aca="false" ca="false" dt2D="false" dtr="false" t="normal">A529+1</f>
        <v>509</v>
      </c>
      <c r="B530" s="6" t="n">
        <f aca="false" ca="false" dt2D="false" dtr="false" t="normal">B529+1</f>
        <v>50</v>
      </c>
      <c r="C530" s="138" t="s">
        <v>104</v>
      </c>
      <c r="D530" s="138" t="s">
        <v>264</v>
      </c>
      <c r="E530" s="139" t="n">
        <v>1986</v>
      </c>
      <c r="F530" s="139" t="n">
        <v>2016</v>
      </c>
      <c r="G530" s="139" t="s">
        <v>4</v>
      </c>
      <c r="H530" s="139" t="n">
        <v>5</v>
      </c>
      <c r="I530" s="139" t="n">
        <v>4</v>
      </c>
      <c r="J530" s="17" t="n">
        <v>3396.9</v>
      </c>
      <c r="K530" s="17" t="n">
        <v>3059.2</v>
      </c>
      <c r="L530" s="17" t="n">
        <v>0</v>
      </c>
      <c r="M530" s="140" t="n">
        <v>122</v>
      </c>
      <c r="N530" s="16" t="n">
        <f aca="false" ca="false" dt2D="false" dtr="false" t="normal">P530+Q530+R530+S530+T530</f>
        <v>7528402.419999999</v>
      </c>
      <c r="O530" s="17" t="n"/>
      <c r="P530" s="18" t="n">
        <v>0</v>
      </c>
      <c r="Q530" s="18" t="n"/>
      <c r="R530" s="27" t="n">
        <v>360404.35</v>
      </c>
      <c r="S530" s="27" t="n">
        <v>7145776.18</v>
      </c>
      <c r="T530" s="188" t="n">
        <v>22221.89</v>
      </c>
      <c r="U530" s="18" t="n">
        <v>5861.05648931689</v>
      </c>
      <c r="V530" s="18" t="n">
        <v>1220.283020064</v>
      </c>
      <c r="W530" s="21" t="n">
        <v>2024</v>
      </c>
      <c r="X530" s="103" t="n"/>
      <c r="Y530" s="3" t="n">
        <f aca="false" ca="false" dt2D="false" dtr="false" t="normal">+(K530*11.55+L530*23.1)*12*0.85</f>
        <v>360404.352</v>
      </c>
      <c r="Z530" s="3" t="n">
        <f aca="false" ca="false" dt2D="false" dtr="false" t="normal">+(K530*11.55+L530*23.1)*12*30-'[1]Лист1'!$AQ$162</f>
        <v>12147507.469999999</v>
      </c>
      <c r="AA530" s="3" t="n">
        <f aca="false" ca="false" dt2D="false" dtr="false" t="normal">+N530-AB530</f>
        <v>22221.889999998733</v>
      </c>
      <c r="AB530" s="27" t="n">
        <f aca="false" ca="true" dt2D="false" dtr="false" t="normal">SUBTOTAL(9, AC530:AQ530)</f>
        <v>7506180.53</v>
      </c>
      <c r="AC530" s="17" t="n">
        <v>4400042.86</v>
      </c>
      <c r="AD530" s="18" t="n"/>
      <c r="AE530" s="18" t="n">
        <v>3106137.67</v>
      </c>
      <c r="AF530" s="18" t="n">
        <v>0</v>
      </c>
      <c r="AG530" s="18" t="n">
        <v>0</v>
      </c>
      <c r="AH530" s="18" t="n"/>
      <c r="AI530" s="17" t="n"/>
      <c r="AJ530" s="18" t="n">
        <v>0</v>
      </c>
      <c r="AK530" s="18" t="n">
        <v>0</v>
      </c>
      <c r="AL530" s="18" t="n">
        <v>0</v>
      </c>
      <c r="AM530" s="18" t="n">
        <v>0</v>
      </c>
      <c r="AN530" s="18" t="n">
        <v>0</v>
      </c>
      <c r="AO530" s="18" t="n"/>
      <c r="AP530" s="18" t="n"/>
      <c r="AQ530" s="191" t="n"/>
      <c r="AR530" s="186" t="n">
        <f aca="false" ca="false" dt2D="false" dtr="false" t="normal">COUNTIF(AC530:AN530, "&gt;0")</f>
        <v>2</v>
      </c>
      <c r="AU530" s="3" t="n"/>
    </row>
    <row ht="15.75" outlineLevel="0" r="531">
      <c r="A531" s="5" t="n">
        <f aca="false" ca="false" dt2D="false" dtr="false" t="normal">A530+1</f>
        <v>510</v>
      </c>
      <c r="B531" s="6" t="n">
        <f aca="false" ca="false" dt2D="false" dtr="false" t="normal">B530+1</f>
        <v>51</v>
      </c>
      <c r="C531" s="138" t="s">
        <v>104</v>
      </c>
      <c r="D531" s="138" t="s">
        <v>266</v>
      </c>
      <c r="E531" s="139" t="n">
        <v>1995</v>
      </c>
      <c r="F531" s="139" t="n">
        <v>2002</v>
      </c>
      <c r="G531" s="139" t="s">
        <v>4</v>
      </c>
      <c r="H531" s="139" t="n">
        <v>10</v>
      </c>
      <c r="I531" s="139" t="n">
        <v>1</v>
      </c>
      <c r="J531" s="17" t="n">
        <v>3274.9</v>
      </c>
      <c r="K531" s="17" t="n">
        <v>3274.9</v>
      </c>
      <c r="L531" s="17" t="n">
        <v>0</v>
      </c>
      <c r="M531" s="140" t="n">
        <v>107</v>
      </c>
      <c r="N531" s="16" t="n">
        <f aca="false" ca="false" dt2D="false" dtr="false" t="normal">P531+Q531+R531+S531+T531</f>
        <v>1659683.53</v>
      </c>
      <c r="O531" s="17" t="n"/>
      <c r="P531" s="18" t="n">
        <v>0</v>
      </c>
      <c r="Q531" s="18" t="n"/>
      <c r="R531" s="27" t="n">
        <v>338326.5</v>
      </c>
      <c r="S531" s="27" t="n">
        <v>1303705.52</v>
      </c>
      <c r="T531" s="188" t="n">
        <v>17651.51</v>
      </c>
      <c r="U531" s="17" t="n">
        <v>2458.6706249324</v>
      </c>
      <c r="V531" s="17" t="n">
        <v>2458.6706249324</v>
      </c>
      <c r="W531" s="21" t="n">
        <v>2024</v>
      </c>
      <c r="Y531" s="3" t="n">
        <f aca="false" ca="false" dt2D="false" dtr="false" t="normal">+(K531*15.35+L531*26.02)*12*0.85</f>
        <v>512751.09300000005</v>
      </c>
      <c r="Z531" s="3" t="n">
        <f aca="false" ca="false" dt2D="false" dtr="false" t="normal">+(K531*15.35+L531*26.02)*12*30-'[1]Лист1'!$AQ$166</f>
        <v>15804221.660000002</v>
      </c>
      <c r="AA531" s="3" t="n">
        <f aca="false" ca="false" dt2D="false" dtr="false" t="normal">+N531-AB531</f>
        <v>17651.51000000001</v>
      </c>
      <c r="AB531" s="27" t="n">
        <f aca="false" ca="true" dt2D="false" dtr="false" t="normal">SUBTOTAL(9, AC531:AQ531)</f>
        <v>1642032.02</v>
      </c>
      <c r="AC531" s="17" t="n"/>
      <c r="AD531" s="18" t="n">
        <v>0</v>
      </c>
      <c r="AE531" s="18" t="n">
        <v>0</v>
      </c>
      <c r="AF531" s="18" t="n">
        <v>1642032.02</v>
      </c>
      <c r="AG531" s="18" t="n">
        <v>0</v>
      </c>
      <c r="AH531" s="18" t="n"/>
      <c r="AI531" s="17" t="n"/>
      <c r="AJ531" s="18" t="n">
        <v>0</v>
      </c>
      <c r="AK531" s="18" t="n">
        <v>0</v>
      </c>
      <c r="AL531" s="18" t="n"/>
      <c r="AM531" s="18" t="n">
        <v>0</v>
      </c>
      <c r="AN531" s="18" t="n">
        <v>0</v>
      </c>
      <c r="AO531" s="18" t="n"/>
      <c r="AP531" s="18" t="n"/>
      <c r="AQ531" s="191" t="n"/>
      <c r="AR531" s="186" t="n">
        <f aca="false" ca="false" dt2D="false" dtr="false" t="normal">COUNTIF(AC531:AN531, "&gt;0")</f>
        <v>1</v>
      </c>
      <c r="AU531" s="3" t="n"/>
    </row>
    <row ht="15.75" outlineLevel="0" r="532">
      <c r="A532" s="5" t="n">
        <f aca="false" ca="false" dt2D="false" dtr="false" t="normal">A531+1</f>
        <v>511</v>
      </c>
      <c r="B532" s="6" t="n">
        <f aca="false" ca="false" dt2D="false" dtr="false" t="normal">B531+1</f>
        <v>52</v>
      </c>
      <c r="C532" s="138" t="s">
        <v>104</v>
      </c>
      <c r="D532" s="138" t="s">
        <v>168</v>
      </c>
      <c r="E532" s="139" t="n">
        <v>1983</v>
      </c>
      <c r="F532" s="139" t="n">
        <v>2008</v>
      </c>
      <c r="G532" s="139" t="s">
        <v>4</v>
      </c>
      <c r="H532" s="139" t="n">
        <v>5</v>
      </c>
      <c r="I532" s="139" t="n">
        <v>3</v>
      </c>
      <c r="J532" s="17" t="n">
        <v>5132.1</v>
      </c>
      <c r="K532" s="17" t="n">
        <v>4364.6</v>
      </c>
      <c r="L532" s="17" t="n">
        <v>0</v>
      </c>
      <c r="M532" s="140" t="n">
        <v>197</v>
      </c>
      <c r="N532" s="16" t="n">
        <f aca="false" ca="false" dt2D="false" dtr="false" t="normal">P532+Q532+R532+S532+T532</f>
        <v>2727011.51</v>
      </c>
      <c r="O532" s="17" t="n"/>
      <c r="P532" s="18" t="n">
        <v>0</v>
      </c>
      <c r="Q532" s="18" t="n"/>
      <c r="R532" s="27" t="n">
        <v>514193.53</v>
      </c>
      <c r="S532" s="27" t="n">
        <v>1741536.1</v>
      </c>
      <c r="T532" s="188" t="n">
        <v>471281.88</v>
      </c>
      <c r="U532" s="18" t="n">
        <v>766.943596844025</v>
      </c>
      <c r="V532" s="18" t="n">
        <v>1222.283020064</v>
      </c>
      <c r="W532" s="21" t="n">
        <v>2024</v>
      </c>
      <c r="X532" s="12" t="n"/>
      <c r="Y532" s="3" t="n">
        <f aca="false" ca="false" dt2D="false" dtr="false" t="normal">+(K532*11.55+L532*23.1)*12*0.85</f>
        <v>514193.526</v>
      </c>
      <c r="Z532" s="3" t="n">
        <f aca="false" ca="false" dt2D="false" dtr="false" t="normal">+(K532*11.55+L532*23.1)*12*30-'[1]Лист1'!$AQ$167</f>
        <v>8651368.09</v>
      </c>
      <c r="AA532" s="3" t="n">
        <f aca="false" ca="false" dt2D="false" dtr="false" t="normal">+N532-AB532</f>
        <v>33585.169999999925</v>
      </c>
      <c r="AB532" s="27" t="n">
        <f aca="false" ca="true" dt2D="false" dtr="false" t="normal">SUBTOTAL(9, AC532:AQ532)</f>
        <v>2693426.34</v>
      </c>
      <c r="AC532" s="17" t="n"/>
      <c r="AD532" s="18" t="n"/>
      <c r="AE532" s="18" t="n">
        <v>2693426.34</v>
      </c>
      <c r="AF532" s="18" t="n"/>
      <c r="AG532" s="18" t="n"/>
      <c r="AH532" s="18" t="n"/>
      <c r="AI532" s="17" t="n"/>
      <c r="AJ532" s="18" t="n"/>
      <c r="AK532" s="18" t="n"/>
      <c r="AL532" s="18" t="n">
        <v>0</v>
      </c>
      <c r="AM532" s="18" t="n">
        <v>0</v>
      </c>
      <c r="AN532" s="18" t="n">
        <v>0</v>
      </c>
      <c r="AO532" s="18" t="n"/>
      <c r="AP532" s="18" t="n"/>
      <c r="AQ532" s="191" t="n"/>
      <c r="AR532" s="186" t="n">
        <f aca="false" ca="false" dt2D="false" dtr="false" t="normal">COUNTIF(AC532:AN532, "&gt;0")</f>
        <v>1</v>
      </c>
      <c r="AU532" s="3" t="n"/>
    </row>
    <row ht="15.75" outlineLevel="0" r="533">
      <c r="A533" s="5" t="n">
        <f aca="false" ca="false" dt2D="false" dtr="false" t="normal">A532+1</f>
        <v>512</v>
      </c>
      <c r="B533" s="6" t="n">
        <f aca="false" ca="false" dt2D="false" dtr="false" t="normal">B532+1</f>
        <v>53</v>
      </c>
      <c r="C533" s="138" t="s">
        <v>104</v>
      </c>
      <c r="D533" s="138" t="s">
        <v>269</v>
      </c>
      <c r="E533" s="139" t="n">
        <v>1985</v>
      </c>
      <c r="F533" s="139" t="n">
        <v>2008</v>
      </c>
      <c r="G533" s="139" t="s">
        <v>4</v>
      </c>
      <c r="H533" s="139" t="n">
        <v>5</v>
      </c>
      <c r="I533" s="139" t="n">
        <v>5</v>
      </c>
      <c r="J533" s="17" t="n">
        <v>7124.7</v>
      </c>
      <c r="K533" s="17" t="n">
        <v>5794.3</v>
      </c>
      <c r="L533" s="17" t="n">
        <v>252.5</v>
      </c>
      <c r="M533" s="140" t="n">
        <v>248</v>
      </c>
      <c r="N533" s="16" t="n">
        <f aca="false" ca="false" dt2D="false" dtr="false" t="normal">P533+Q533+R533+S533+T533</f>
        <v>3869439.1599999997</v>
      </c>
      <c r="O533" s="17" t="n"/>
      <c r="P533" s="18" t="n">
        <v>0</v>
      </c>
      <c r="Q533" s="18" t="n"/>
      <c r="R533" s="27" t="n">
        <v>742120.53</v>
      </c>
      <c r="S533" s="27" t="n">
        <v>3084733.11</v>
      </c>
      <c r="T533" s="188" t="n">
        <v>42585.52</v>
      </c>
      <c r="U533" s="18" t="n">
        <v>876.119744849546</v>
      </c>
      <c r="V533" s="18" t="n">
        <v>1223.283020064</v>
      </c>
      <c r="W533" s="21" t="n">
        <v>2024</v>
      </c>
      <c r="Y533" s="3" t="n">
        <f aca="false" ca="false" dt2D="false" dtr="false" t="normal">+(K533*11.55+L533*23.1)*12*0.85</f>
        <v>742120.533</v>
      </c>
      <c r="Z533" s="3" t="n">
        <f aca="false" ca="false" dt2D="false" dtr="false" t="normal">+(K533*11.55+L533*23.1)*12*30-'[1]Лист1'!$AQ$168</f>
        <v>15352418.130000003</v>
      </c>
      <c r="AA533" s="3" t="n">
        <f aca="false" ca="false" dt2D="false" dtr="false" t="normal">+N533-AB533</f>
        <v>42585.51999999955</v>
      </c>
      <c r="AB533" s="27" t="n">
        <f aca="false" ca="true" dt2D="false" dtr="false" t="normal">SUBTOTAL(9, AC533:AQ533)</f>
        <v>3826853.64</v>
      </c>
      <c r="AC533" s="17" t="n"/>
      <c r="AD533" s="18" t="n"/>
      <c r="AE533" s="18" t="n">
        <v>3826853.64</v>
      </c>
      <c r="AF533" s="18" t="n"/>
      <c r="AG533" s="18" t="n">
        <v>0</v>
      </c>
      <c r="AH533" s="18" t="n"/>
      <c r="AI533" s="17" t="n"/>
      <c r="AJ533" s="18" t="n">
        <v>0</v>
      </c>
      <c r="AK533" s="18" t="n">
        <v>0</v>
      </c>
      <c r="AL533" s="18" t="n"/>
      <c r="AM533" s="18" t="n">
        <v>0</v>
      </c>
      <c r="AN533" s="18" t="n">
        <v>0</v>
      </c>
      <c r="AO533" s="18" t="n"/>
      <c r="AP533" s="18" t="n"/>
      <c r="AQ533" s="191" t="n"/>
      <c r="AR533" s="186" t="n">
        <f aca="false" ca="false" dt2D="false" dtr="false" t="normal">COUNTIF(AC533:AN533, "&gt;0")</f>
        <v>1</v>
      </c>
      <c r="AU533" s="3" t="n"/>
    </row>
    <row ht="15.75" outlineLevel="0" r="534">
      <c r="A534" s="5" t="n">
        <f aca="false" ca="false" dt2D="false" dtr="false" t="normal">A533+1</f>
        <v>513</v>
      </c>
      <c r="B534" s="6" t="n">
        <f aca="false" ca="false" dt2D="false" dtr="false" t="normal">B533+1</f>
        <v>54</v>
      </c>
      <c r="C534" s="138" t="s">
        <v>104</v>
      </c>
      <c r="D534" s="138" t="s">
        <v>271</v>
      </c>
      <c r="E534" s="139" t="n">
        <v>1986</v>
      </c>
      <c r="F534" s="139" t="n">
        <v>2016</v>
      </c>
      <c r="G534" s="139" t="s">
        <v>4</v>
      </c>
      <c r="H534" s="139" t="n">
        <v>5</v>
      </c>
      <c r="I534" s="139" t="n">
        <v>4</v>
      </c>
      <c r="J534" s="17" t="n">
        <v>5735.9</v>
      </c>
      <c r="K534" s="17" t="n">
        <v>4570.5</v>
      </c>
      <c r="L534" s="17" t="n">
        <v>392.5</v>
      </c>
      <c r="M534" s="140" t="n">
        <v>186</v>
      </c>
      <c r="N534" s="16" t="n">
        <f aca="false" ca="false" dt2D="false" dtr="false" t="normal">P534+Q534+R534+S534+T534</f>
        <v>3338870.34</v>
      </c>
      <c r="O534" s="17" t="n"/>
      <c r="P534" s="18" t="n">
        <v>0</v>
      </c>
      <c r="Q534" s="18" t="n"/>
      <c r="R534" s="27" t="n">
        <v>630931.46</v>
      </c>
      <c r="S534" s="27" t="n">
        <v>2674046.15</v>
      </c>
      <c r="T534" s="188" t="n">
        <v>33892.73</v>
      </c>
      <c r="U534" s="18" t="n">
        <v>819.621289713936</v>
      </c>
      <c r="V534" s="18" t="n">
        <v>1224.283020064</v>
      </c>
      <c r="W534" s="21" t="n">
        <v>2024</v>
      </c>
      <c r="Y534" s="3" t="n">
        <f aca="false" ca="false" dt2D="false" dtr="false" t="normal">+(K534*11.55+L534*23.1)*12*0.85</f>
        <v>630931.4550000001</v>
      </c>
      <c r="Z534" s="3" t="n">
        <f aca="false" ca="false" dt2D="false" dtr="false" t="normal">+(K534*11.55+L534*23.1)*12*30-'[1]Лист1'!$AQ$170</f>
        <v>18906732.12</v>
      </c>
      <c r="AA534" s="3" t="n">
        <f aca="false" ca="false" dt2D="false" dtr="false" t="normal">+N534-AB534</f>
        <v>33892.72999999998</v>
      </c>
      <c r="AB534" s="27" t="n">
        <f aca="false" ca="true" dt2D="false" dtr="false" t="normal">SUBTOTAL(9, AC534:AQ534)</f>
        <v>3304977.61</v>
      </c>
      <c r="AC534" s="17" t="n">
        <v>0</v>
      </c>
      <c r="AD534" s="18" t="n">
        <v>0</v>
      </c>
      <c r="AE534" s="18" t="n">
        <v>3304977.61</v>
      </c>
      <c r="AF534" s="18" t="n">
        <v>0</v>
      </c>
      <c r="AG534" s="18" t="n">
        <v>0</v>
      </c>
      <c r="AH534" s="18" t="n"/>
      <c r="AI534" s="17" t="n"/>
      <c r="AJ534" s="18" t="n">
        <v>0</v>
      </c>
      <c r="AK534" s="18" t="n">
        <v>0</v>
      </c>
      <c r="AL534" s="18" t="n">
        <v>0</v>
      </c>
      <c r="AM534" s="18" t="n">
        <v>0</v>
      </c>
      <c r="AN534" s="18" t="n">
        <v>0</v>
      </c>
      <c r="AO534" s="18" t="n"/>
      <c r="AP534" s="18" t="n"/>
      <c r="AQ534" s="191" t="n"/>
      <c r="AR534" s="186" t="n">
        <f aca="false" ca="false" dt2D="false" dtr="false" t="normal">COUNTIF(AC534:AN534, "&gt;0")</f>
        <v>1</v>
      </c>
      <c r="AU534" s="3" t="n"/>
    </row>
    <row ht="15.75" outlineLevel="0" r="535">
      <c r="A535" s="5" t="n">
        <f aca="false" ca="false" dt2D="false" dtr="false" t="normal">A534+1</f>
        <v>514</v>
      </c>
      <c r="B535" s="6" t="n">
        <f aca="false" ca="false" dt2D="false" dtr="false" t="normal">B534+1</f>
        <v>55</v>
      </c>
      <c r="C535" s="138" t="s">
        <v>104</v>
      </c>
      <c r="D535" s="138" t="s">
        <v>273</v>
      </c>
      <c r="E535" s="139" t="n">
        <v>1982</v>
      </c>
      <c r="F535" s="139" t="n">
        <v>2008</v>
      </c>
      <c r="G535" s="139" t="s">
        <v>4</v>
      </c>
      <c r="H535" s="139" t="n">
        <v>5</v>
      </c>
      <c r="I535" s="139" t="n">
        <v>7</v>
      </c>
      <c r="J535" s="17" t="n">
        <v>6399.1</v>
      </c>
      <c r="K535" s="17" t="n">
        <v>4849.9</v>
      </c>
      <c r="L535" s="17" t="n">
        <v>814.5</v>
      </c>
      <c r="M535" s="140" t="n">
        <v>218</v>
      </c>
      <c r="N535" s="16" t="n">
        <f aca="false" ca="false" dt2D="false" dtr="false" t="normal">P535+Q535+R535+S535+T535</f>
        <v>1680888.16</v>
      </c>
      <c r="O535" s="17" t="n"/>
      <c r="P535" s="18" t="n">
        <v>0</v>
      </c>
      <c r="Q535" s="18" t="n"/>
      <c r="R535" s="27" t="n">
        <v>763279.21</v>
      </c>
      <c r="S535" s="27" t="n">
        <v>917608.95</v>
      </c>
      <c r="T535" s="27" t="n">
        <v>0</v>
      </c>
      <c r="U535" s="17" t="n">
        <v>749.589102819033</v>
      </c>
      <c r="V535" s="17" t="n">
        <v>749.589102819033</v>
      </c>
      <c r="W535" s="21" t="n">
        <v>2024</v>
      </c>
      <c r="X535" s="12" t="n"/>
      <c r="Y535" s="3" t="n">
        <f aca="false" ca="false" dt2D="false" dtr="false" t="normal">+(K535*11.55+L535*23.1)*12*0.85</f>
        <v>763279.209</v>
      </c>
      <c r="Z535" s="3" t="n">
        <f aca="false" ca="false" dt2D="false" dtr="false" t="normal">+(K535*11.55+L535*23.1)*12*30-'[1]Лист1'!$AQ$171</f>
        <v>25447403.080000002</v>
      </c>
      <c r="AA535" s="3" t="n">
        <f aca="false" ca="false" dt2D="false" dtr="false" t="normal">+N535-AB535</f>
        <v>0</v>
      </c>
      <c r="AB535" s="27" t="n">
        <f aca="false" ca="true" dt2D="false" dtr="false" t="normal">SUBTOTAL(9, AC535:AQ535)</f>
        <v>1680888.16</v>
      </c>
      <c r="AC535" s="17" t="n"/>
      <c r="AD535" s="18" t="n">
        <v>0</v>
      </c>
      <c r="AE535" s="18" t="n">
        <v>1680888.16</v>
      </c>
      <c r="AF535" s="18" t="n">
        <v>0</v>
      </c>
      <c r="AG535" s="18" t="n">
        <v>0</v>
      </c>
      <c r="AH535" s="18" t="n"/>
      <c r="AI535" s="17" t="n"/>
      <c r="AJ535" s="18" t="n">
        <v>0</v>
      </c>
      <c r="AK535" s="18" t="n">
        <v>0</v>
      </c>
      <c r="AL535" s="18" t="n">
        <v>0</v>
      </c>
      <c r="AM535" s="18" t="n">
        <v>0</v>
      </c>
      <c r="AN535" s="18" t="n">
        <v>0</v>
      </c>
      <c r="AO535" s="18" t="n"/>
      <c r="AP535" s="18" t="n"/>
      <c r="AQ535" s="191" t="n"/>
      <c r="AR535" s="186" t="n">
        <f aca="false" ca="false" dt2D="false" dtr="false" t="normal">COUNTIF(AC535:AN535, "&gt;0")</f>
        <v>1</v>
      </c>
      <c r="AU535" s="3" t="n"/>
    </row>
    <row ht="15.75" outlineLevel="0" r="536">
      <c r="A536" s="5" t="n">
        <f aca="false" ca="false" dt2D="false" dtr="false" t="normal">A535+1</f>
        <v>515</v>
      </c>
      <c r="B536" s="6" t="n">
        <f aca="false" ca="false" dt2D="false" dtr="false" t="normal">B535+1</f>
        <v>56</v>
      </c>
      <c r="C536" s="138" t="s">
        <v>104</v>
      </c>
      <c r="D536" s="138" t="s">
        <v>275</v>
      </c>
      <c r="E536" s="139" t="n">
        <v>1983</v>
      </c>
      <c r="F536" s="139" t="n">
        <v>2015</v>
      </c>
      <c r="G536" s="139" t="s">
        <v>4</v>
      </c>
      <c r="H536" s="139" t="n">
        <v>5</v>
      </c>
      <c r="I536" s="139" t="n">
        <v>4</v>
      </c>
      <c r="J536" s="17" t="n">
        <v>4471.9</v>
      </c>
      <c r="K536" s="17" t="n">
        <v>3791</v>
      </c>
      <c r="L536" s="17" t="n">
        <v>256.8</v>
      </c>
      <c r="M536" s="140" t="n">
        <v>156</v>
      </c>
      <c r="N536" s="16" t="n">
        <f aca="false" ca="false" dt2D="false" dtr="false" t="normal">P536+Q536+R536+S536+T536</f>
        <v>8874919.98</v>
      </c>
      <c r="O536" s="17" t="n"/>
      <c r="P536" s="18" t="n">
        <v>0</v>
      </c>
      <c r="Q536" s="18" t="n"/>
      <c r="R536" s="27" t="n">
        <v>2187403.69</v>
      </c>
      <c r="S536" s="27" t="n">
        <v>6687516.29</v>
      </c>
      <c r="T536" s="27" t="n">
        <v>0</v>
      </c>
      <c r="U536" s="17" t="n">
        <v>3367.46695870925</v>
      </c>
      <c r="V536" s="17" t="n">
        <v>3367.46695870925</v>
      </c>
      <c r="W536" s="21" t="n">
        <v>2024</v>
      </c>
      <c r="Y536" s="3" t="n">
        <f aca="false" ca="false" dt2D="false" dtr="false" t="normal">+(K536*11.55+L536*23.1)*12*0.85</f>
        <v>507124.92600000004</v>
      </c>
      <c r="Z536" s="3" t="n">
        <f aca="false" ca="false" dt2D="false" dtr="false" t="normal">+(K536*11.55+L536*23.1)*12*30-'[1]Лист1'!$AQ$173</f>
        <v>14006927.43</v>
      </c>
      <c r="AA536" s="3" t="n">
        <f aca="false" ca="false" dt2D="false" dtr="false" t="normal">+N536-AB536</f>
        <v>0</v>
      </c>
      <c r="AB536" s="27" t="n">
        <f aca="false" ca="true" dt2D="false" dtr="false" t="normal">SUBTOTAL(9, AC536:AQ536)</f>
        <v>8874919.98</v>
      </c>
      <c r="AC536" s="17" t="n">
        <v>6279592.82</v>
      </c>
      <c r="AD536" s="18" t="n">
        <v>0</v>
      </c>
      <c r="AE536" s="18" t="n">
        <v>0</v>
      </c>
      <c r="AF536" s="18" t="n">
        <v>2535175.78</v>
      </c>
      <c r="AG536" s="18" t="n">
        <v>0</v>
      </c>
      <c r="AH536" s="18" t="n"/>
      <c r="AI536" s="17" t="n"/>
      <c r="AJ536" s="18" t="n">
        <v>0</v>
      </c>
      <c r="AK536" s="18" t="n">
        <v>0</v>
      </c>
      <c r="AL536" s="18" t="n">
        <v>0</v>
      </c>
      <c r="AM536" s="18" t="n">
        <v>0</v>
      </c>
      <c r="AN536" s="18" t="n">
        <v>0</v>
      </c>
      <c r="AO536" s="18" t="n"/>
      <c r="AP536" s="18" t="n"/>
      <c r="AQ536" s="191" t="n">
        <v>60151.38</v>
      </c>
      <c r="AR536" s="186" t="n">
        <f aca="false" ca="false" dt2D="false" dtr="false" t="normal">COUNTIF(AC536:AN536, "&gt;0")</f>
        <v>2</v>
      </c>
      <c r="AU536" s="3" t="n"/>
    </row>
    <row ht="15.75" outlineLevel="0" r="537">
      <c r="A537" s="5" t="n">
        <f aca="false" ca="false" dt2D="false" dtr="false" t="normal">A536+1</f>
        <v>516</v>
      </c>
      <c r="B537" s="6" t="n">
        <f aca="false" ca="false" dt2D="false" dtr="false" t="normal">B536+1</f>
        <v>57</v>
      </c>
      <c r="C537" s="138" t="s">
        <v>104</v>
      </c>
      <c r="D537" s="138" t="s">
        <v>278</v>
      </c>
      <c r="E537" s="139" t="n">
        <v>1983</v>
      </c>
      <c r="F537" s="139" t="n">
        <v>2015</v>
      </c>
      <c r="G537" s="139" t="s">
        <v>4</v>
      </c>
      <c r="H537" s="139" t="n">
        <v>5</v>
      </c>
      <c r="I537" s="139" t="n">
        <v>3</v>
      </c>
      <c r="J537" s="17" t="n">
        <v>5101.8</v>
      </c>
      <c r="K537" s="17" t="n">
        <v>4226.1</v>
      </c>
      <c r="L537" s="17" t="n">
        <v>155.6</v>
      </c>
      <c r="M537" s="140" t="n">
        <v>188</v>
      </c>
      <c r="N537" s="16" t="n">
        <f aca="false" ca="false" dt2D="false" dtr="false" t="normal">P537+Q537+R537+S537+T537</f>
        <v>12140653.29</v>
      </c>
      <c r="O537" s="17" t="n"/>
      <c r="P537" s="18" t="n">
        <v>731797.73</v>
      </c>
      <c r="Q537" s="18" t="n"/>
      <c r="R537" s="27" t="n">
        <v>3438188.92</v>
      </c>
      <c r="S537" s="27" t="n">
        <v>7970666.64</v>
      </c>
      <c r="T537" s="27" t="n">
        <v>0</v>
      </c>
      <c r="U537" s="17" t="n">
        <v>3308.88552990623</v>
      </c>
      <c r="V537" s="17" t="n">
        <v>3308.88552990623</v>
      </c>
      <c r="W537" s="21" t="n">
        <v>2024</v>
      </c>
      <c r="X537" s="1" t="n">
        <v>2003635.99</v>
      </c>
      <c r="Y537" s="3" t="n">
        <f aca="false" ca="false" dt2D="false" dtr="false" t="normal">+(K537*11.55+L537*23.1)*12*0.85</f>
        <v>534539.3130000001</v>
      </c>
      <c r="Z537" s="3" t="n">
        <f aca="false" ca="false" dt2D="false" dtr="false" t="normal">+(K537*11.55+L537*23.1)*12*30</f>
        <v>18866093.400000006</v>
      </c>
      <c r="AA537" s="3" t="n">
        <f aca="false" ca="false" dt2D="false" dtr="false" t="normal">+N537-AB537</f>
        <v>0</v>
      </c>
      <c r="AB537" s="27" t="n">
        <f aca="false" ca="true" dt2D="false" dtr="false" t="normal">SUBTOTAL(9, AC537:AQ537)</f>
        <v>12140653.290000001</v>
      </c>
      <c r="AC537" s="17" t="n">
        <v>7987299.3</v>
      </c>
      <c r="AD537" s="18" t="n">
        <v>0</v>
      </c>
      <c r="AE537" s="18" t="n">
        <v>0</v>
      </c>
      <c r="AF537" s="18" t="n">
        <v>4076265.36</v>
      </c>
      <c r="AG537" s="18" t="n">
        <v>0</v>
      </c>
      <c r="AH537" s="18" t="n"/>
      <c r="AI537" s="17" t="n"/>
      <c r="AJ537" s="18" t="n">
        <v>0</v>
      </c>
      <c r="AK537" s="18" t="n">
        <v>0</v>
      </c>
      <c r="AL537" s="18" t="n">
        <v>0</v>
      </c>
      <c r="AM537" s="18" t="n">
        <v>0</v>
      </c>
      <c r="AN537" s="18" t="n">
        <v>0</v>
      </c>
      <c r="AO537" s="18" t="n"/>
      <c r="AP537" s="18" t="n"/>
      <c r="AQ537" s="191" t="n">
        <v>77088.63</v>
      </c>
      <c r="AR537" s="186" t="n">
        <f aca="false" ca="false" dt2D="false" dtr="false" t="normal">COUNTIF(AC537:AN537, "&gt;0")</f>
        <v>2</v>
      </c>
      <c r="AU537" s="3" t="n"/>
    </row>
    <row ht="15.75" outlineLevel="0" r="538">
      <c r="A538" s="5" t="n">
        <f aca="false" ca="false" dt2D="false" dtr="false" t="normal">A537+1</f>
        <v>517</v>
      </c>
      <c r="B538" s="6" t="n">
        <f aca="false" ca="false" dt2D="false" dtr="false" t="normal">B537+1</f>
        <v>58</v>
      </c>
      <c r="C538" s="138" t="s">
        <v>104</v>
      </c>
      <c r="D538" s="138" t="s">
        <v>280</v>
      </c>
      <c r="E538" s="139" t="n">
        <v>1996</v>
      </c>
      <c r="F538" s="139" t="n">
        <v>1996</v>
      </c>
      <c r="G538" s="139" t="s">
        <v>4</v>
      </c>
      <c r="H538" s="139" t="n">
        <v>3</v>
      </c>
      <c r="I538" s="139" t="n">
        <v>2</v>
      </c>
      <c r="J538" s="17" t="n">
        <v>1212.9</v>
      </c>
      <c r="K538" s="17" t="n">
        <v>969.5</v>
      </c>
      <c r="L538" s="17" t="n">
        <v>83.1</v>
      </c>
      <c r="M538" s="140" t="n">
        <v>29</v>
      </c>
      <c r="N538" s="16" t="n">
        <f aca="false" ca="false" dt2D="false" dtr="false" t="normal">P538+Q538+R538+S538+T538</f>
        <v>4085136.5199999996</v>
      </c>
      <c r="O538" s="17" t="n"/>
      <c r="P538" s="18" t="n">
        <v>1063992.56</v>
      </c>
      <c r="Q538" s="18" t="n"/>
      <c r="R538" s="27" t="n">
        <v>121633.47</v>
      </c>
      <c r="S538" s="27" t="n">
        <v>1672272.69</v>
      </c>
      <c r="T538" s="27" t="n">
        <v>1227237.8</v>
      </c>
      <c r="U538" s="18" t="n">
        <v>4522.78465894971</v>
      </c>
      <c r="V538" s="18" t="n">
        <v>1230.283020064</v>
      </c>
      <c r="W538" s="21" t="n">
        <v>2024</v>
      </c>
      <c r="X538" s="103" t="n">
        <v>0</v>
      </c>
      <c r="Y538" s="3" t="n">
        <f aca="false" ca="false" dt2D="false" dtr="false" t="normal">+(K538*11.55+L538*23.1)*12*0.85</f>
        <v>133796.817</v>
      </c>
      <c r="Z538" s="3" t="n">
        <f aca="false" ca="false" dt2D="false" dtr="false" t="normal">+(K538*11.55+L538*23.1)*12*30-'[1]Лист1'!$AQ$175</f>
        <v>3983028.1000000006</v>
      </c>
      <c r="AA538" s="3" t="n">
        <f aca="false" ca="false" dt2D="false" dtr="false" t="normal">+N538-AB538</f>
        <v>0</v>
      </c>
      <c r="AB538" s="27" t="n">
        <f aca="false" ca="true" dt2D="false" dtr="false" t="normal">SUBTOTAL(9, AC538:AQ538)</f>
        <v>4085136.52</v>
      </c>
      <c r="AC538" s="17" t="n"/>
      <c r="AD538" s="18" t="n"/>
      <c r="AE538" s="18" t="n"/>
      <c r="AF538" s="18" t="n"/>
      <c r="AG538" s="18" t="n">
        <v>0</v>
      </c>
      <c r="AH538" s="18" t="n"/>
      <c r="AI538" s="17" t="n"/>
      <c r="AJ538" s="18" t="n">
        <v>0</v>
      </c>
      <c r="AK538" s="18" t="n">
        <v>0</v>
      </c>
      <c r="AL538" s="18" t="n">
        <v>4085136.52</v>
      </c>
      <c r="AM538" s="18" t="n">
        <v>0</v>
      </c>
      <c r="AN538" s="18" t="n">
        <v>0</v>
      </c>
      <c r="AO538" s="18" t="n"/>
      <c r="AP538" s="18" t="n"/>
      <c r="AQ538" s="185" t="n"/>
      <c r="AR538" s="186" t="n">
        <f aca="false" ca="false" dt2D="false" dtr="false" t="normal">COUNTIF(AC538:AN538, "&gt;0")</f>
        <v>1</v>
      </c>
      <c r="AU538" s="3" t="n"/>
    </row>
    <row ht="15.75" outlineLevel="0" r="539">
      <c r="A539" s="5" t="n">
        <f aca="false" ca="false" dt2D="false" dtr="false" t="normal">A538+1</f>
        <v>518</v>
      </c>
      <c r="B539" s="6" t="n">
        <f aca="false" ca="false" dt2D="false" dtr="false" t="normal">B538+1</f>
        <v>59</v>
      </c>
      <c r="C539" s="138" t="s">
        <v>104</v>
      </c>
      <c r="D539" s="138" t="s">
        <v>282</v>
      </c>
      <c r="E539" s="139" t="n">
        <v>1992</v>
      </c>
      <c r="F539" s="139" t="n">
        <v>1992</v>
      </c>
      <c r="G539" s="139" t="s">
        <v>4</v>
      </c>
      <c r="H539" s="139" t="n">
        <v>2</v>
      </c>
      <c r="I539" s="139" t="n">
        <v>8</v>
      </c>
      <c r="J539" s="17" t="n">
        <v>962.7</v>
      </c>
      <c r="K539" s="17" t="n">
        <v>961.6</v>
      </c>
      <c r="L539" s="17" t="n">
        <v>0</v>
      </c>
      <c r="M539" s="140" t="n">
        <v>42</v>
      </c>
      <c r="N539" s="16" t="n">
        <f aca="false" ca="false" dt2D="false" dtr="false" t="normal">P539+Q539+R539+S539+T539</f>
        <v>12521748.26</v>
      </c>
      <c r="O539" s="17" t="n"/>
      <c r="P539" s="18" t="n">
        <v>295712.380000001</v>
      </c>
      <c r="Q539" s="18" t="n"/>
      <c r="R539" s="27" t="n">
        <v>113473.87</v>
      </c>
      <c r="S539" s="27" t="n">
        <v>2209449.52</v>
      </c>
      <c r="T539" s="27" t="n">
        <v>9903112.49</v>
      </c>
      <c r="U539" s="18" t="n">
        <v>22867.4703734881</v>
      </c>
      <c r="V539" s="18" t="n">
        <v>1227.283020064</v>
      </c>
      <c r="W539" s="21" t="n">
        <v>2024</v>
      </c>
      <c r="X539" s="103" t="n">
        <v>189434.55</v>
      </c>
      <c r="Y539" s="3" t="n">
        <f aca="false" ca="false" dt2D="false" dtr="false" t="normal">+(K539*11.55+L539*23.1)*12*0.85</f>
        <v>113286.096</v>
      </c>
      <c r="Z539" s="3" t="n">
        <f aca="false" ca="false" dt2D="false" dtr="false" t="normal">+(K539*11.55+L539*23.1)*12*30</f>
        <v>3998332.8000000003</v>
      </c>
      <c r="AA539" s="3" t="n">
        <f aca="false" ca="false" dt2D="false" dtr="false" t="normal">+N539-AB539</f>
        <v>0</v>
      </c>
      <c r="AB539" s="27" t="n">
        <f aca="false" ca="true" dt2D="false" dtr="false" t="normal">SUBTOTAL(9, AC539:AQ539)</f>
        <v>12521748.26</v>
      </c>
      <c r="AC539" s="17" t="n">
        <v>0</v>
      </c>
      <c r="AD539" s="18" t="n">
        <v>0</v>
      </c>
      <c r="AE539" s="18" t="n">
        <v>0</v>
      </c>
      <c r="AF539" s="18" t="n">
        <v>0</v>
      </c>
      <c r="AG539" s="18" t="n">
        <v>0</v>
      </c>
      <c r="AH539" s="18" t="n"/>
      <c r="AI539" s="17" t="n"/>
      <c r="AJ539" s="18" t="n">
        <v>0</v>
      </c>
      <c r="AK539" s="18" t="n"/>
      <c r="AL539" s="18" t="n">
        <v>0</v>
      </c>
      <c r="AM539" s="18" t="n">
        <v>12521748.26</v>
      </c>
      <c r="AN539" s="18" t="n">
        <v>0</v>
      </c>
      <c r="AO539" s="18" t="n"/>
      <c r="AP539" s="18" t="n"/>
      <c r="AQ539" s="185" t="n"/>
      <c r="AR539" s="186" t="n">
        <f aca="false" ca="false" dt2D="false" dtr="false" t="normal">COUNTIF(AC539:AN539, "&gt;0")</f>
        <v>1</v>
      </c>
      <c r="AU539" s="3" t="n"/>
    </row>
    <row ht="15.75" outlineLevel="0" r="540">
      <c r="A540" s="5" t="n">
        <f aca="false" ca="false" dt2D="false" dtr="false" t="normal">A539+1</f>
        <v>519</v>
      </c>
      <c r="B540" s="6" t="n">
        <f aca="false" ca="false" dt2D="false" dtr="false" t="normal">B539+1</f>
        <v>60</v>
      </c>
      <c r="C540" s="138" t="s">
        <v>104</v>
      </c>
      <c r="D540" s="138" t="s">
        <v>284</v>
      </c>
      <c r="E540" s="139" t="n">
        <v>1984</v>
      </c>
      <c r="F540" s="139" t="n">
        <v>2016</v>
      </c>
      <c r="G540" s="139" t="s">
        <v>4</v>
      </c>
      <c r="H540" s="139" t="n">
        <v>5</v>
      </c>
      <c r="I540" s="139" t="n">
        <v>4</v>
      </c>
      <c r="J540" s="17" t="n">
        <v>5755.6</v>
      </c>
      <c r="K540" s="17" t="n">
        <v>4829.1</v>
      </c>
      <c r="L540" s="17" t="n">
        <v>0</v>
      </c>
      <c r="M540" s="140" t="n">
        <v>186</v>
      </c>
      <c r="N540" s="16" t="n">
        <f aca="false" ca="false" dt2D="false" dtr="false" t="normal">P540+Q540+R540+S540+T540</f>
        <v>16426976.62</v>
      </c>
      <c r="O540" s="17" t="n"/>
      <c r="P540" s="18" t="n">
        <v>0</v>
      </c>
      <c r="Q540" s="18" t="n"/>
      <c r="R540" s="27" t="n">
        <v>3282032.89</v>
      </c>
      <c r="S540" s="27" t="n">
        <v>12527024.29</v>
      </c>
      <c r="T540" s="188" t="n">
        <v>617919.44</v>
      </c>
      <c r="U540" s="18" t="n">
        <v>9118.67238700445</v>
      </c>
      <c r="V540" s="18" t="n">
        <v>1228.283020064</v>
      </c>
      <c r="W540" s="21" t="n">
        <v>2024</v>
      </c>
      <c r="X540" s="103" t="n">
        <v>2946445.43</v>
      </c>
      <c r="Y540" s="3" t="n">
        <f aca="false" ca="false" dt2D="false" dtr="false" t="normal">+(K540*11.55+L540*23.1)*12*0.85</f>
        <v>568916.2710000001</v>
      </c>
      <c r="Z540" s="3" t="n">
        <f aca="false" ca="false" dt2D="false" dtr="false" t="normal">+(K540*11.55+L540*23.1)*12*30</f>
        <v>20079397.800000004</v>
      </c>
      <c r="AA540" s="3" t="n">
        <f aca="false" ca="false" dt2D="false" dtr="false" t="normal">+N540-AB540</f>
        <v>136458.59999999963</v>
      </c>
      <c r="AB540" s="27" t="n">
        <f aca="false" ca="true" dt2D="false" dtr="false" t="normal">SUBTOTAL(9, AC540:AQ540)</f>
        <v>16290518.02</v>
      </c>
      <c r="AC540" s="17" t="n">
        <v>5042938.91</v>
      </c>
      <c r="AD540" s="18" t="n">
        <v>0</v>
      </c>
      <c r="AE540" s="18" t="n">
        <v>0</v>
      </c>
      <c r="AF540" s="18" t="n">
        <v>3850841.8</v>
      </c>
      <c r="AG540" s="18" t="n">
        <v>0</v>
      </c>
      <c r="AH540" s="18" t="n"/>
      <c r="AI540" s="17" t="n"/>
      <c r="AJ540" s="18" t="n"/>
      <c r="AK540" s="18" t="n">
        <v>7396737.31</v>
      </c>
      <c r="AL540" s="18" t="n">
        <v>0</v>
      </c>
      <c r="AM540" s="18" t="n">
        <v>0</v>
      </c>
      <c r="AN540" s="18" t="n">
        <v>0</v>
      </c>
      <c r="AO540" s="18" t="n"/>
      <c r="AP540" s="18" t="n"/>
      <c r="AQ540" s="191" t="n"/>
      <c r="AR540" s="186" t="n">
        <f aca="false" ca="false" dt2D="false" dtr="false" t="normal">COUNTIF(AC540:AN540, "&gt;0")</f>
        <v>3</v>
      </c>
      <c r="AU540" s="3" t="n"/>
    </row>
    <row ht="15.75" outlineLevel="0" r="541">
      <c r="A541" s="5" t="n">
        <f aca="false" ca="false" dt2D="false" dtr="false" t="normal">A540+1</f>
        <v>520</v>
      </c>
      <c r="B541" s="6" t="n">
        <f aca="false" ca="false" dt2D="false" dtr="false" t="normal">B540+1</f>
        <v>61</v>
      </c>
      <c r="C541" s="138" t="s">
        <v>104</v>
      </c>
      <c r="D541" s="138" t="s">
        <v>172</v>
      </c>
      <c r="E541" s="139" t="n">
        <v>1987</v>
      </c>
      <c r="F541" s="139" t="n">
        <v>2017</v>
      </c>
      <c r="G541" s="139" t="s">
        <v>4</v>
      </c>
      <c r="H541" s="139" t="n">
        <v>9</v>
      </c>
      <c r="I541" s="139" t="n">
        <v>1</v>
      </c>
      <c r="J541" s="17" t="n">
        <v>2767.8</v>
      </c>
      <c r="K541" s="17" t="n">
        <v>2150.8</v>
      </c>
      <c r="L541" s="17" t="n">
        <v>66.8</v>
      </c>
      <c r="M541" s="140" t="n">
        <v>94</v>
      </c>
      <c r="N541" s="16" t="n">
        <f aca="false" ca="false" dt2D="false" dtr="false" t="normal">P541+Q541+R541+S541+T541</f>
        <v>12013292</v>
      </c>
      <c r="O541" s="17" t="n"/>
      <c r="P541" s="18" t="n">
        <v>2088054.04</v>
      </c>
      <c r="Q541" s="18" t="n"/>
      <c r="R541" s="27" t="n">
        <v>324503.17</v>
      </c>
      <c r="S541" s="27" t="n">
        <v>8399405.59</v>
      </c>
      <c r="T541" s="27" t="n">
        <v>1201329.2</v>
      </c>
      <c r="U541" s="18" t="n">
        <v>7680.78578338974</v>
      </c>
      <c r="V541" s="18" t="n">
        <v>1233.283020064</v>
      </c>
      <c r="W541" s="21" t="n">
        <v>2024</v>
      </c>
      <c r="X541" s="12" t="n">
        <f aca="false" ca="false" dt2D="false" dtr="false" t="normal">1756247.2-R395</f>
        <v>236255.92556157988</v>
      </c>
      <c r="Y541" s="3" t="n">
        <f aca="false" ca="false" dt2D="false" dtr="false" t="normal">+(K541*13.95+L541*23.65)*12*0.85</f>
        <v>322151.496</v>
      </c>
      <c r="Z541" s="3" t="n">
        <f aca="false" ca="false" dt2D="false" dtr="false" t="normal">+(K541*13.95+L541*23.65)*12*30</f>
        <v>11370052.8</v>
      </c>
      <c r="AA541" s="3" t="n">
        <f aca="false" ca="false" dt2D="false" dtr="false" t="normal">+N541-AB541</f>
        <v>0</v>
      </c>
      <c r="AB541" s="27" t="n">
        <f aca="false" ca="true" dt2D="false" dtr="false" t="normal">SUBTOTAL(9, AC541:AQ541)</f>
        <v>12013292</v>
      </c>
      <c r="AC541" s="17" t="n"/>
      <c r="AD541" s="18" t="n"/>
      <c r="AE541" s="18" t="n"/>
      <c r="AF541" s="18" t="n"/>
      <c r="AG541" s="18" t="n"/>
      <c r="AH541" s="18" t="n"/>
      <c r="AI541" s="17" t="n"/>
      <c r="AJ541" s="18" t="n">
        <v>0</v>
      </c>
      <c r="AK541" s="18" t="n">
        <v>0</v>
      </c>
      <c r="AL541" s="18" t="n">
        <v>0</v>
      </c>
      <c r="AM541" s="18" t="n">
        <v>12013292</v>
      </c>
      <c r="AN541" s="18" t="n">
        <v>0</v>
      </c>
      <c r="AO541" s="18" t="n"/>
      <c r="AP541" s="18" t="n"/>
      <c r="AQ541" s="185" t="n"/>
      <c r="AR541" s="186" t="n">
        <f aca="false" ca="false" dt2D="false" dtr="false" t="normal">COUNTIF(AC541:AN541, "&gt;0")</f>
        <v>1</v>
      </c>
      <c r="AU541" s="3" t="n"/>
    </row>
    <row ht="15.75" outlineLevel="0" r="542">
      <c r="A542" s="5" t="n">
        <f aca="false" ca="false" dt2D="false" dtr="false" t="normal">A541+1</f>
        <v>521</v>
      </c>
      <c r="B542" s="6" t="n">
        <f aca="false" ca="false" dt2D="false" dtr="false" t="normal">B541+1</f>
        <v>62</v>
      </c>
      <c r="C542" s="138" t="s">
        <v>104</v>
      </c>
      <c r="D542" s="138" t="s">
        <v>287</v>
      </c>
      <c r="E542" s="139" t="n">
        <v>1987</v>
      </c>
      <c r="F542" s="139" t="n">
        <v>2016</v>
      </c>
      <c r="G542" s="139" t="s">
        <v>4</v>
      </c>
      <c r="H542" s="139" t="n">
        <v>5</v>
      </c>
      <c r="I542" s="139" t="n">
        <v>5</v>
      </c>
      <c r="J542" s="17" t="n">
        <v>7155.6</v>
      </c>
      <c r="K542" s="17" t="n">
        <v>5789.5</v>
      </c>
      <c r="L542" s="17" t="n">
        <v>194.7</v>
      </c>
      <c r="M542" s="140" t="n">
        <v>243</v>
      </c>
      <c r="N542" s="16" t="n">
        <f aca="false" ca="false" dt2D="false" dtr="false" t="normal">P542+Q542+R542+S542+T542</f>
        <v>4017783.84</v>
      </c>
      <c r="O542" s="17" t="n"/>
      <c r="P542" s="18" t="n">
        <v>341465.75</v>
      </c>
      <c r="Q542" s="18" t="n"/>
      <c r="R542" s="27" t="n">
        <v>227643.83</v>
      </c>
      <c r="S542" s="27" t="n">
        <v>1252041.07</v>
      </c>
      <c r="T542" s="27" t="n">
        <v>2196633.19</v>
      </c>
      <c r="U542" s="18" t="n">
        <v>3248.37212020894</v>
      </c>
      <c r="V542" s="18" t="n">
        <v>1235.283020064</v>
      </c>
      <c r="W542" s="21" t="n">
        <v>2024</v>
      </c>
      <c r="X542" s="103" t="n"/>
      <c r="Y542" s="3" t="n">
        <f aca="false" ca="false" dt2D="false" dtr="false" t="normal">+(K542*11.55+L542*23.1)*12*0.85</f>
        <v>727936.2090000001</v>
      </c>
      <c r="Z542" s="3" t="n">
        <f aca="false" ca="false" dt2D="false" dtr="false" t="normal">+(K542*11.55+L542*23.1)*12*30-'[1]Лист1'!$AQ$182</f>
        <v>19196497.630000003</v>
      </c>
      <c r="AA542" s="3" t="n">
        <f aca="false" ca="false" dt2D="false" dtr="false" t="normal">+N542-AB542</f>
        <v>0</v>
      </c>
      <c r="AB542" s="27" t="n">
        <f aca="false" ca="true" dt2D="false" dtr="false" t="normal">SUBTOTAL(9, AC542:AQ542)</f>
        <v>4017783.84</v>
      </c>
      <c r="AC542" s="17" t="n"/>
      <c r="AD542" s="18" t="n">
        <v>0</v>
      </c>
      <c r="AE542" s="18" t="n">
        <v>0</v>
      </c>
      <c r="AF542" s="18" t="n">
        <v>4017783.84</v>
      </c>
      <c r="AG542" s="18" t="n">
        <v>0</v>
      </c>
      <c r="AH542" s="18" t="n"/>
      <c r="AI542" s="17" t="n"/>
      <c r="AJ542" s="18" t="n">
        <v>0</v>
      </c>
      <c r="AK542" s="18" t="n"/>
      <c r="AL542" s="18" t="n"/>
      <c r="AM542" s="18" t="n">
        <v>0</v>
      </c>
      <c r="AN542" s="18" t="n">
        <v>0</v>
      </c>
      <c r="AO542" s="18" t="n"/>
      <c r="AP542" s="18" t="n"/>
      <c r="AQ542" s="185" t="n"/>
      <c r="AR542" s="186" t="n">
        <f aca="false" ca="false" dt2D="false" dtr="false" t="normal">COUNTIF(AC542:AN542, "&gt;0")</f>
        <v>1</v>
      </c>
      <c r="AU542" s="3" t="n"/>
    </row>
    <row ht="15.75" outlineLevel="0" r="543">
      <c r="A543" s="5" t="n">
        <f aca="false" ca="false" dt2D="false" dtr="false" t="normal">A542+1</f>
        <v>522</v>
      </c>
      <c r="B543" s="6" t="n">
        <f aca="false" ca="false" dt2D="false" dtr="false" t="normal">B542+1</f>
        <v>63</v>
      </c>
      <c r="C543" s="138" t="s">
        <v>104</v>
      </c>
      <c r="D543" s="138" t="s">
        <v>289</v>
      </c>
      <c r="E543" s="139" t="n">
        <v>1993</v>
      </c>
      <c r="F543" s="139" t="n">
        <v>1993</v>
      </c>
      <c r="G543" s="139" t="s">
        <v>4</v>
      </c>
      <c r="H543" s="139" t="n">
        <v>5</v>
      </c>
      <c r="I543" s="139" t="n">
        <v>3</v>
      </c>
      <c r="J543" s="17" t="n">
        <v>2627.7</v>
      </c>
      <c r="K543" s="17" t="n">
        <v>2328</v>
      </c>
      <c r="L543" s="17" t="n">
        <v>0</v>
      </c>
      <c r="M543" s="140" t="n">
        <v>101</v>
      </c>
      <c r="N543" s="16" t="n">
        <f aca="false" ca="false" dt2D="false" dtr="false" t="normal">P543+Q543+R543+S543+T543</f>
        <v>812803.3</v>
      </c>
      <c r="O543" s="17" t="n"/>
      <c r="P543" s="18" t="n">
        <v>0</v>
      </c>
      <c r="Q543" s="18" t="n"/>
      <c r="R543" s="27" t="n">
        <v>274261.68</v>
      </c>
      <c r="S543" s="27" t="n">
        <v>538541.62</v>
      </c>
      <c r="T543" s="27" t="n">
        <v>0</v>
      </c>
      <c r="U543" s="18" t="n">
        <v>2251.35944975759</v>
      </c>
      <c r="V543" s="18" t="n">
        <v>2251.35944975759</v>
      </c>
      <c r="W543" s="21" t="n">
        <v>2024</v>
      </c>
      <c r="X543" s="103" t="n"/>
      <c r="Y543" s="3" t="n">
        <f aca="false" ca="false" dt2D="false" dtr="false" t="normal">+(K543*11.55+L543*23.1)*12*0.85</f>
        <v>274261.68000000005</v>
      </c>
      <c r="Z543" s="3" t="n">
        <f aca="false" ca="false" dt2D="false" dtr="false" t="normal">+(K543*11.55+L543*23.1)*12*30-'[1]Лист1'!$AQ$183</f>
        <v>5580460.660000002</v>
      </c>
      <c r="AA543" s="3" t="n">
        <f aca="false" ca="false" dt2D="false" dtr="false" t="normal">+N543-AB543</f>
        <v>0</v>
      </c>
      <c r="AB543" s="27" t="n">
        <f aca="false" ca="true" dt2D="false" dtr="false" t="normal">SUBTOTAL(9, AC543:AQ543)</f>
        <v>812803.3</v>
      </c>
      <c r="AC543" s="17" t="n">
        <v>0</v>
      </c>
      <c r="AD543" s="18" t="n">
        <v>0</v>
      </c>
      <c r="AE543" s="18" t="n">
        <v>812803.3</v>
      </c>
      <c r="AF543" s="18" t="n">
        <v>0</v>
      </c>
      <c r="AG543" s="18" t="n">
        <v>0</v>
      </c>
      <c r="AH543" s="18" t="n"/>
      <c r="AI543" s="17" t="n"/>
      <c r="AJ543" s="18" t="n">
        <v>0</v>
      </c>
      <c r="AK543" s="18" t="n">
        <v>0</v>
      </c>
      <c r="AL543" s="18" t="n"/>
      <c r="AM543" s="18" t="n">
        <v>0</v>
      </c>
      <c r="AN543" s="18" t="n">
        <v>0</v>
      </c>
      <c r="AO543" s="18" t="n"/>
      <c r="AP543" s="18" t="n"/>
      <c r="AQ543" s="185" t="n"/>
      <c r="AR543" s="186" t="n">
        <f aca="false" ca="false" dt2D="false" dtr="false" t="normal">COUNTIF(AC543:AN543, "&gt;0")</f>
        <v>1</v>
      </c>
      <c r="AU543" s="3" t="n"/>
    </row>
    <row ht="15.75" outlineLevel="0" r="544">
      <c r="A544" s="5" t="n">
        <f aca="false" ca="false" dt2D="false" dtr="false" t="normal">A543+1</f>
        <v>523</v>
      </c>
      <c r="B544" s="6" t="n">
        <f aca="false" ca="false" dt2D="false" dtr="false" t="normal">B543+1</f>
        <v>64</v>
      </c>
      <c r="C544" s="196" t="s">
        <v>104</v>
      </c>
      <c r="D544" s="196" t="s">
        <v>291</v>
      </c>
      <c r="E544" s="197" t="n">
        <v>1987</v>
      </c>
      <c r="F544" s="197" t="n">
        <v>2013</v>
      </c>
      <c r="G544" s="197" t="s">
        <v>4</v>
      </c>
      <c r="H544" s="197" t="n">
        <v>5</v>
      </c>
      <c r="I544" s="197" t="n">
        <v>6</v>
      </c>
      <c r="J544" s="198" t="n">
        <v>5156.5</v>
      </c>
      <c r="K544" s="198" t="n">
        <v>4643.15</v>
      </c>
      <c r="L544" s="198" t="n">
        <v>0</v>
      </c>
      <c r="M544" s="199" t="n">
        <v>198</v>
      </c>
      <c r="N544" s="16" t="n">
        <f aca="false" ca="false" dt2D="false" dtr="false" t="normal">P544+Q544+R544+S544+T544</f>
        <v>1408758.6199999999</v>
      </c>
      <c r="O544" s="198" t="n"/>
      <c r="P544" s="18" t="n">
        <v>0</v>
      </c>
      <c r="Q544" s="200" t="n"/>
      <c r="R544" s="27" t="n">
        <v>547009.5</v>
      </c>
      <c r="S544" s="27" t="n">
        <v>830144.34</v>
      </c>
      <c r="T544" s="188" t="n">
        <v>31604.78</v>
      </c>
      <c r="U544" s="198" t="n">
        <v>3983.96744218353</v>
      </c>
      <c r="V544" s="198" t="n">
        <v>3983.96744218353</v>
      </c>
      <c r="W544" s="21" t="n">
        <v>2024</v>
      </c>
      <c r="Y544" s="3" t="n">
        <f aca="false" ca="false" dt2D="false" dtr="false" t="normal">+(K544*11.55+L544*23.1)*12*0.85</f>
        <v>547009.5015</v>
      </c>
      <c r="Z544" s="3" t="n">
        <f aca="false" ca="false" dt2D="false" dtr="false" t="normal">+(K544*11.55+L544*23.1)*12*30-'[1]Лист1'!$AQ$184</f>
        <v>11859255.899999999</v>
      </c>
      <c r="AA544" s="3" t="n">
        <f aca="false" ca="false" dt2D="false" dtr="false" t="normal">+N544-AB544</f>
        <v>31604.779999999795</v>
      </c>
      <c r="AB544" s="27" t="n">
        <f aca="false" ca="true" dt2D="false" dtr="false" t="normal">SUBTOTAL(9, AC544:AQ544)</f>
        <v>1377153.84</v>
      </c>
      <c r="AC544" s="17" t="n"/>
      <c r="AD544" s="18" t="n">
        <v>0</v>
      </c>
      <c r="AE544" s="18" t="n">
        <v>1377153.84</v>
      </c>
      <c r="AF544" s="18" t="n"/>
      <c r="AG544" s="18" t="n">
        <v>0</v>
      </c>
      <c r="AH544" s="18" t="n"/>
      <c r="AI544" s="17" t="n"/>
      <c r="AJ544" s="18" t="n">
        <v>0</v>
      </c>
      <c r="AK544" s="18" t="n">
        <v>0</v>
      </c>
      <c r="AL544" s="18" t="n">
        <v>0</v>
      </c>
      <c r="AM544" s="18" t="n">
        <v>0</v>
      </c>
      <c r="AN544" s="18" t="n">
        <v>0</v>
      </c>
      <c r="AO544" s="18" t="n"/>
      <c r="AP544" s="18" t="n"/>
      <c r="AQ544" s="191" t="n"/>
      <c r="AR544" s="186" t="n">
        <f aca="false" ca="false" dt2D="false" dtr="false" t="normal">COUNTIF(AC544:AN544, "&gt;0")</f>
        <v>1</v>
      </c>
      <c r="AU544" s="3" t="n"/>
    </row>
    <row ht="15.75" outlineLevel="0" r="545">
      <c r="A545" s="5" t="n">
        <f aca="false" ca="false" dt2D="false" dtr="false" t="normal">A544+1</f>
        <v>524</v>
      </c>
      <c r="B545" s="6" t="n">
        <f aca="false" ca="false" dt2D="false" dtr="false" t="normal">B544+1</f>
        <v>65</v>
      </c>
      <c r="C545" s="138" t="s">
        <v>104</v>
      </c>
      <c r="D545" s="138" t="s">
        <v>293</v>
      </c>
      <c r="E545" s="139" t="n">
        <v>1995</v>
      </c>
      <c r="F545" s="139" t="n">
        <v>1995</v>
      </c>
      <c r="G545" s="139" t="s">
        <v>4</v>
      </c>
      <c r="H545" s="139" t="n">
        <v>5</v>
      </c>
      <c r="I545" s="139" t="n">
        <v>6</v>
      </c>
      <c r="J545" s="17" t="n">
        <v>5276.5</v>
      </c>
      <c r="K545" s="17" t="n">
        <v>4687.4</v>
      </c>
      <c r="L545" s="17" t="n">
        <v>0</v>
      </c>
      <c r="M545" s="140" t="n">
        <v>200</v>
      </c>
      <c r="N545" s="16" t="n">
        <f aca="false" ca="false" dt2D="false" dtr="false" t="normal">P545+Q545+R545+S545+T545</f>
        <v>3780647.12</v>
      </c>
      <c r="O545" s="17" t="n"/>
      <c r="P545" s="18" t="n">
        <v>0</v>
      </c>
      <c r="Q545" s="18" t="n"/>
      <c r="R545" s="27" t="n">
        <v>3090072.4</v>
      </c>
      <c r="S545" s="27" t="n">
        <v>690574.72</v>
      </c>
      <c r="T545" s="27" t="n">
        <v>0</v>
      </c>
      <c r="U545" s="18" t="n">
        <v>1004.74319164001</v>
      </c>
      <c r="V545" s="18" t="n">
        <v>1236.283020064</v>
      </c>
      <c r="W545" s="21" t="n">
        <v>2024</v>
      </c>
      <c r="X545" s="103" t="n"/>
      <c r="Y545" s="3" t="n">
        <f aca="false" ca="false" dt2D="false" dtr="false" t="normal">+(K545*11.55+L545*23.1)*12*0.85</f>
        <v>552222.594</v>
      </c>
      <c r="Z545" s="3" t="n">
        <f aca="false" ca="false" dt2D="false" dtr="false" t="normal">+(K545*11.55+L545*23.1)*12*30-'[1]Лист1'!$AQ$185</f>
        <v>16228083.11</v>
      </c>
      <c r="AA545" s="3" t="n">
        <f aca="false" ca="false" dt2D="false" dtr="false" t="normal">+N545-AB545</f>
        <v>0</v>
      </c>
      <c r="AB545" s="27" t="n">
        <f aca="false" ca="true" dt2D="false" dtr="false" t="normal">SUBTOTAL(9, AC545:AQ545)</f>
        <v>3780647.12</v>
      </c>
      <c r="AC545" s="17" t="n">
        <v>0</v>
      </c>
      <c r="AD545" s="18" t="n">
        <v>0</v>
      </c>
      <c r="AE545" s="18" t="n">
        <v>3780647.12</v>
      </c>
      <c r="AF545" s="18" t="n">
        <v>0</v>
      </c>
      <c r="AG545" s="18" t="n">
        <v>0</v>
      </c>
      <c r="AH545" s="18" t="n"/>
      <c r="AI545" s="17" t="n"/>
      <c r="AJ545" s="18" t="n">
        <v>0</v>
      </c>
      <c r="AK545" s="18" t="n">
        <v>0</v>
      </c>
      <c r="AL545" s="18" t="n">
        <v>0</v>
      </c>
      <c r="AM545" s="18" t="n"/>
      <c r="AN545" s="18" t="n">
        <v>0</v>
      </c>
      <c r="AO545" s="18" t="n"/>
      <c r="AP545" s="18" t="n"/>
      <c r="AQ545" s="185" t="n"/>
      <c r="AR545" s="186" t="n">
        <f aca="false" ca="false" dt2D="false" dtr="false" t="normal">COUNTIF(AC545:AN545, "&gt;0")</f>
        <v>1</v>
      </c>
      <c r="AU545" s="3" t="n"/>
    </row>
    <row ht="15.75" outlineLevel="0" r="546">
      <c r="A546" s="5" t="n">
        <f aca="false" ca="false" dt2D="false" dtr="false" t="normal">A545+1</f>
        <v>525</v>
      </c>
      <c r="B546" s="6" t="n">
        <f aca="false" ca="false" dt2D="false" dtr="false" t="normal">B545+1</f>
        <v>66</v>
      </c>
      <c r="C546" s="138" t="s">
        <v>104</v>
      </c>
      <c r="D546" s="138" t="s">
        <v>296</v>
      </c>
      <c r="E546" s="139" t="n">
        <v>1987</v>
      </c>
      <c r="F546" s="139" t="n">
        <v>2008</v>
      </c>
      <c r="G546" s="139" t="s">
        <v>4</v>
      </c>
      <c r="H546" s="139" t="n">
        <v>5</v>
      </c>
      <c r="I546" s="139" t="n">
        <v>6</v>
      </c>
      <c r="J546" s="17" t="n">
        <v>5142.4</v>
      </c>
      <c r="K546" s="17" t="n">
        <v>4585</v>
      </c>
      <c r="L546" s="17" t="n">
        <v>0</v>
      </c>
      <c r="M546" s="140" t="n">
        <v>184</v>
      </c>
      <c r="N546" s="16" t="n">
        <f aca="false" ca="false" dt2D="false" dtr="false" t="normal">P546+Q546+R546+S546+T546</f>
        <v>3018847.08</v>
      </c>
      <c r="O546" s="17" t="n"/>
      <c r="P546" s="18" t="n">
        <v>0</v>
      </c>
      <c r="Q546" s="18" t="n"/>
      <c r="R546" s="27" t="n">
        <v>540158.85</v>
      </c>
      <c r="S546" s="27" t="n">
        <v>2437850.59</v>
      </c>
      <c r="T546" s="188" t="n">
        <v>40837.64</v>
      </c>
      <c r="U546" s="17" t="n">
        <v>842.864558947285</v>
      </c>
      <c r="V546" s="17" t="n">
        <v>842.864558947285</v>
      </c>
      <c r="W546" s="21" t="n">
        <v>2024</v>
      </c>
      <c r="X546" s="12" t="n"/>
      <c r="Y546" s="3" t="n">
        <f aca="false" ca="false" dt2D="false" dtr="false" t="normal">+(K546*11.55+L546*23.1)*12*0.85</f>
        <v>540158.85</v>
      </c>
      <c r="Z546" s="3" t="n">
        <f aca="false" ca="false" dt2D="false" dtr="false" t="normal">+(K546*11.55+L546*23.1)*12*30-'[1]Лист1'!$AQ$186</f>
        <v>12135322.04</v>
      </c>
      <c r="AA546" s="3" t="n">
        <f aca="false" ca="false" dt2D="false" dtr="false" t="normal">+N546-AB546</f>
        <v>40837.64000000013</v>
      </c>
      <c r="AB546" s="27" t="n">
        <f aca="false" ca="true" dt2D="false" dtr="false" t="normal">SUBTOTAL(9, AC546:AQ546)</f>
        <v>2978009.44</v>
      </c>
      <c r="AC546" s="17" t="n"/>
      <c r="AD546" s="18" t="n">
        <v>0</v>
      </c>
      <c r="AE546" s="18" t="n">
        <v>2978009.44</v>
      </c>
      <c r="AF546" s="18" t="n"/>
      <c r="AG546" s="18" t="n">
        <v>0</v>
      </c>
      <c r="AH546" s="18" t="n"/>
      <c r="AI546" s="17" t="n"/>
      <c r="AJ546" s="18" t="n">
        <v>0</v>
      </c>
      <c r="AK546" s="18" t="n">
        <v>0</v>
      </c>
      <c r="AL546" s="18" t="n">
        <v>0</v>
      </c>
      <c r="AM546" s="18" t="n">
        <v>0</v>
      </c>
      <c r="AN546" s="18" t="n">
        <v>0</v>
      </c>
      <c r="AO546" s="18" t="n"/>
      <c r="AP546" s="18" t="n"/>
      <c r="AQ546" s="191" t="n"/>
      <c r="AR546" s="186" t="n">
        <f aca="false" ca="false" dt2D="false" dtr="false" t="normal">COUNTIF(AC546:AN546, "&gt;0")</f>
        <v>1</v>
      </c>
      <c r="AU546" s="3" t="n"/>
    </row>
    <row ht="15.75" outlineLevel="0" r="547">
      <c r="A547" s="5" t="n">
        <f aca="false" ca="false" dt2D="false" dtr="false" t="normal">A546+1</f>
        <v>526</v>
      </c>
      <c r="B547" s="6" t="n">
        <f aca="false" ca="false" dt2D="false" dtr="false" t="normal">B546+1</f>
        <v>67</v>
      </c>
      <c r="C547" s="138" t="s">
        <v>104</v>
      </c>
      <c r="D547" s="138" t="s">
        <v>298</v>
      </c>
      <c r="E547" s="139" t="n">
        <v>1988</v>
      </c>
      <c r="F547" s="139" t="n">
        <v>2008</v>
      </c>
      <c r="G547" s="139" t="s">
        <v>4</v>
      </c>
      <c r="H547" s="139" t="n">
        <v>5</v>
      </c>
      <c r="I547" s="139" t="n">
        <v>6</v>
      </c>
      <c r="J547" s="17" t="n">
        <v>5139.5</v>
      </c>
      <c r="K547" s="17" t="n">
        <v>4552.6</v>
      </c>
      <c r="L547" s="17" t="n">
        <v>68.4</v>
      </c>
      <c r="M547" s="140" t="n">
        <v>203</v>
      </c>
      <c r="N547" s="16" t="n">
        <f aca="false" ca="false" dt2D="false" dtr="false" t="normal">P547+Q547+R547+S547+T547</f>
        <v>3018847.08</v>
      </c>
      <c r="O547" s="17" t="n"/>
      <c r="P547" s="18" t="n">
        <v>0</v>
      </c>
      <c r="Q547" s="18" t="n"/>
      <c r="R547" s="27" t="n">
        <v>552458.21</v>
      </c>
      <c r="S547" s="27" t="n">
        <v>2425551.23</v>
      </c>
      <c r="T547" s="188" t="n">
        <v>40837.64</v>
      </c>
      <c r="U547" s="17" t="n">
        <v>837.433817463257</v>
      </c>
      <c r="V547" s="17" t="n">
        <v>837.433817463257</v>
      </c>
      <c r="W547" s="21" t="n">
        <v>2024</v>
      </c>
      <c r="X547" s="12" t="n"/>
      <c r="Y547" s="3" t="n">
        <f aca="false" ca="false" dt2D="false" dtr="false" t="normal">+(K547*11.55+L547*23.1)*12*0.85</f>
        <v>552458.214</v>
      </c>
      <c r="Z547" s="3" t="n">
        <f aca="false" ca="false" dt2D="false" dtr="false" t="normal">+(K547*11.55+L547*23.1)*12*30-'[1]Лист1'!$AQ$187</f>
        <v>11961671.350000003</v>
      </c>
      <c r="AA547" s="3" t="n">
        <f aca="false" ca="false" dt2D="false" dtr="false" t="normal">+N547-AB547</f>
        <v>40837.64000000013</v>
      </c>
      <c r="AB547" s="27" t="n">
        <f aca="false" ca="true" dt2D="false" dtr="false" t="normal">SUBTOTAL(9, AC547:AQ547)</f>
        <v>2978009.44</v>
      </c>
      <c r="AC547" s="17" t="n"/>
      <c r="AD547" s="18" t="n">
        <v>0</v>
      </c>
      <c r="AE547" s="18" t="n">
        <v>2978009.44</v>
      </c>
      <c r="AF547" s="18" t="n"/>
      <c r="AG547" s="18" t="n">
        <v>0</v>
      </c>
      <c r="AH547" s="18" t="n"/>
      <c r="AI547" s="17" t="n"/>
      <c r="AJ547" s="18" t="n">
        <v>0</v>
      </c>
      <c r="AK547" s="18" t="n">
        <v>0</v>
      </c>
      <c r="AL547" s="18" t="n">
        <v>0</v>
      </c>
      <c r="AM547" s="18" t="n">
        <v>0</v>
      </c>
      <c r="AN547" s="18" t="n">
        <v>0</v>
      </c>
      <c r="AO547" s="18" t="n"/>
      <c r="AP547" s="18" t="n"/>
      <c r="AQ547" s="191" t="n"/>
      <c r="AR547" s="186" t="n">
        <f aca="false" ca="false" dt2D="false" dtr="false" t="normal">COUNTIF(AC547:AN547, "&gt;0")</f>
        <v>1</v>
      </c>
      <c r="AU547" s="3" t="n"/>
    </row>
    <row ht="15.75" outlineLevel="0" r="548">
      <c r="A548" s="5" t="n">
        <f aca="false" ca="false" dt2D="false" dtr="false" t="normal">A547+1</f>
        <v>527</v>
      </c>
      <c r="B548" s="6" t="n">
        <f aca="false" ca="false" dt2D="false" dtr="false" t="normal">B547+1</f>
        <v>68</v>
      </c>
      <c r="C548" s="138" t="s">
        <v>104</v>
      </c>
      <c r="D548" s="138" t="s">
        <v>300</v>
      </c>
      <c r="E548" s="139" t="n">
        <v>1989</v>
      </c>
      <c r="F548" s="139" t="n">
        <v>2016</v>
      </c>
      <c r="G548" s="139" t="s">
        <v>4</v>
      </c>
      <c r="H548" s="139" t="n">
        <v>5</v>
      </c>
      <c r="I548" s="139" t="n">
        <v>8</v>
      </c>
      <c r="J548" s="17" t="n">
        <v>7135.2</v>
      </c>
      <c r="K548" s="17" t="n">
        <v>6073.2</v>
      </c>
      <c r="L548" s="17" t="n">
        <v>1062</v>
      </c>
      <c r="M548" s="140" t="n">
        <v>253</v>
      </c>
      <c r="N548" s="16" t="n">
        <f aca="false" ca="false" dt2D="false" dtr="false" t="normal">P548+Q548+R548+S548+T548</f>
        <v>13694022.7</v>
      </c>
      <c r="O548" s="17" t="n"/>
      <c r="P548" s="18" t="n">
        <v>0</v>
      </c>
      <c r="Q548" s="18" t="n"/>
      <c r="R548" s="27" t="n">
        <v>3571203.12</v>
      </c>
      <c r="S548" s="27" t="n">
        <v>10122819.58</v>
      </c>
      <c r="T548" s="27" t="n">
        <v>0</v>
      </c>
      <c r="U548" s="18" t="n">
        <v>6625.05224329843</v>
      </c>
      <c r="V548" s="18" t="n">
        <v>1238.283020064</v>
      </c>
      <c r="W548" s="21" t="n">
        <v>2024</v>
      </c>
      <c r="X548" s="103" t="n">
        <v>3554317.72</v>
      </c>
      <c r="Y548" s="3" t="n">
        <f aca="false" ca="false" dt2D="false" dtr="false" t="normal">+(K548*10.5+L548*21)*12*0.85</f>
        <v>877920.12</v>
      </c>
      <c r="Z548" s="3" t="n">
        <f aca="false" ca="false" dt2D="false" dtr="false" t="normal">+(K548*10.5+L548*21)*12*30</f>
        <v>30985416.000000004</v>
      </c>
      <c r="AA548" s="3" t="n">
        <f aca="false" ca="false" dt2D="false" dtr="false" t="normal">+N548-AB548</f>
        <v>0</v>
      </c>
      <c r="AB548" s="27" t="n">
        <f aca="false" ca="true" dt2D="false" dtr="false" t="normal">SUBTOTAL(9, AC548:AQ548)</f>
        <v>13694022.7</v>
      </c>
      <c r="AC548" s="17" t="n">
        <v>0</v>
      </c>
      <c r="AD548" s="18" t="n">
        <v>0</v>
      </c>
      <c r="AE548" s="18" t="n">
        <v>0</v>
      </c>
      <c r="AF548" s="18" t="n">
        <v>0</v>
      </c>
      <c r="AG548" s="18" t="n">
        <v>0</v>
      </c>
      <c r="AH548" s="18" t="n"/>
      <c r="AI548" s="17" t="n"/>
      <c r="AJ548" s="18" t="n">
        <v>0</v>
      </c>
      <c r="AK548" s="18" t="n">
        <v>0</v>
      </c>
      <c r="AL548" s="18" t="n">
        <v>0</v>
      </c>
      <c r="AM548" s="18" t="n">
        <v>13694022.7</v>
      </c>
      <c r="AN548" s="18" t="n">
        <v>0</v>
      </c>
      <c r="AO548" s="18" t="n"/>
      <c r="AP548" s="18" t="n"/>
      <c r="AQ548" s="185" t="n"/>
      <c r="AR548" s="186" t="n">
        <f aca="false" ca="false" dt2D="false" dtr="false" t="normal">COUNTIF(AC548:AN548, "&gt;0")</f>
        <v>1</v>
      </c>
      <c r="AU548" s="3" t="n"/>
    </row>
    <row ht="15.75" outlineLevel="0" r="549">
      <c r="A549" s="5" t="n">
        <f aca="false" ca="false" dt2D="false" dtr="false" t="normal">A548+1</f>
        <v>528</v>
      </c>
      <c r="B549" s="6" t="n">
        <f aca="false" ca="false" dt2D="false" dtr="false" t="normal">B548+1</f>
        <v>69</v>
      </c>
      <c r="C549" s="138" t="s">
        <v>104</v>
      </c>
      <c r="D549" s="138" t="s">
        <v>302</v>
      </c>
      <c r="E549" s="139" t="n">
        <v>1991</v>
      </c>
      <c r="F549" s="139" t="n">
        <v>2010</v>
      </c>
      <c r="G549" s="139" t="s">
        <v>4</v>
      </c>
      <c r="H549" s="139" t="n">
        <v>5</v>
      </c>
      <c r="I549" s="139" t="n">
        <v>5</v>
      </c>
      <c r="J549" s="17" t="n">
        <v>4721.9</v>
      </c>
      <c r="K549" s="17" t="n">
        <v>4156.5</v>
      </c>
      <c r="L549" s="17" t="n">
        <v>0</v>
      </c>
      <c r="M549" s="140" t="n">
        <v>161</v>
      </c>
      <c r="N549" s="16" t="n">
        <f aca="false" ca="false" dt2D="false" dtr="false" t="normal">P549+Q549+R549+S549+T549</f>
        <v>10601532.81</v>
      </c>
      <c r="O549" s="17" t="n"/>
      <c r="P549" s="18" t="n">
        <v>586390.28</v>
      </c>
      <c r="Q549" s="18" t="n"/>
      <c r="R549" s="27" t="n">
        <v>2859037.48</v>
      </c>
      <c r="S549" s="27" t="n">
        <v>6720421.41</v>
      </c>
      <c r="T549" s="27" t="n">
        <v>435683.64</v>
      </c>
      <c r="U549" s="18" t="n">
        <v>5502.09542875316</v>
      </c>
      <c r="V549" s="18" t="n">
        <v>1240.283020064</v>
      </c>
      <c r="W549" s="21" t="n">
        <v>2024</v>
      </c>
      <c r="X549" s="103" t="n">
        <v>2521072.84</v>
      </c>
      <c r="Y549" s="3" t="n">
        <f aca="false" ca="false" dt2D="false" dtr="false" t="normal">+(K549*11.55+L549*23.1)*12*0.85</f>
        <v>489677.265</v>
      </c>
      <c r="Z549" s="3" t="n">
        <f aca="false" ca="false" dt2D="false" dtr="false" t="normal">+(K549*11.55+L549*23.1)*12*30</f>
        <v>17282727</v>
      </c>
      <c r="AA549" s="3" t="n">
        <f aca="false" ca="false" dt2D="false" dtr="false" t="normal">+N549-AB549</f>
        <v>0</v>
      </c>
      <c r="AB549" s="27" t="n">
        <f aca="false" ca="true" dt2D="false" dtr="false" t="normal">SUBTOTAL(9, AC549:AQ549)</f>
        <v>10601532.81</v>
      </c>
      <c r="AC549" s="17" t="n">
        <v>2477729.12</v>
      </c>
      <c r="AD549" s="18" t="n">
        <v>0</v>
      </c>
      <c r="AE549" s="18" t="n">
        <v>3810136.93</v>
      </c>
      <c r="AF549" s="18" t="n">
        <v>4313666.76</v>
      </c>
      <c r="AG549" s="18" t="n">
        <v>0</v>
      </c>
      <c r="AH549" s="18" t="n"/>
      <c r="AI549" s="17" t="n"/>
      <c r="AJ549" s="18" t="n">
        <v>0</v>
      </c>
      <c r="AK549" s="18" t="n">
        <v>0</v>
      </c>
      <c r="AL549" s="18" t="n">
        <v>0</v>
      </c>
      <c r="AM549" s="18" t="n">
        <v>0</v>
      </c>
      <c r="AN549" s="18" t="n">
        <v>0</v>
      </c>
      <c r="AO549" s="18" t="n"/>
      <c r="AP549" s="18" t="n"/>
      <c r="AQ549" s="185" t="n"/>
      <c r="AR549" s="186" t="n">
        <f aca="false" ca="false" dt2D="false" dtr="false" t="normal">COUNTIF(AC549:AN549, "&gt;0")</f>
        <v>3</v>
      </c>
      <c r="AU549" s="3" t="n"/>
    </row>
    <row ht="15.75" outlineLevel="0" r="550">
      <c r="A550" s="5" t="n">
        <f aca="false" ca="false" dt2D="false" dtr="false" t="normal">A549+1</f>
        <v>529</v>
      </c>
      <c r="B550" s="6" t="n">
        <f aca="false" ca="false" dt2D="false" dtr="false" t="normal">B549+1</f>
        <v>70</v>
      </c>
      <c r="C550" s="138" t="s">
        <v>104</v>
      </c>
      <c r="D550" s="138" t="s">
        <v>304</v>
      </c>
      <c r="E550" s="139" t="s">
        <v>164</v>
      </c>
      <c r="F550" s="139" t="n"/>
      <c r="G550" s="139" t="s">
        <v>4</v>
      </c>
      <c r="H550" s="139" t="s">
        <v>165</v>
      </c>
      <c r="I550" s="139" t="s">
        <v>159</v>
      </c>
      <c r="J550" s="17" t="n">
        <v>6626.4</v>
      </c>
      <c r="K550" s="17" t="n">
        <v>4862.4</v>
      </c>
      <c r="L550" s="17" t="n">
        <v>725.8</v>
      </c>
      <c r="M550" s="140" t="n">
        <v>218</v>
      </c>
      <c r="N550" s="16" t="n">
        <f aca="false" ca="false" dt2D="false" dtr="false" t="normal">P550+Q550+R550+S550+T550</f>
        <v>10645100.22</v>
      </c>
      <c r="O550" s="17" t="n"/>
      <c r="P550" s="18" t="n">
        <v>0</v>
      </c>
      <c r="Q550" s="18" t="n"/>
      <c r="R550" s="27" t="n">
        <v>3567807.31</v>
      </c>
      <c r="S550" s="27" t="n">
        <v>7077292.91</v>
      </c>
      <c r="T550" s="27" t="n">
        <v>0</v>
      </c>
      <c r="U550" s="18" t="n">
        <v>2652.41791966419</v>
      </c>
      <c r="V550" s="18" t="n">
        <v>1243.283020064</v>
      </c>
      <c r="W550" s="21" t="n">
        <v>2024</v>
      </c>
      <c r="X550" s="1" t="n">
        <v>3111517.42</v>
      </c>
      <c r="Y550" s="3" t="n">
        <f aca="false" ca="false" dt2D="false" dtr="false" t="normal">+(K550*11.55+L550*23.1)*12*0.85</f>
        <v>743852.3399999999</v>
      </c>
      <c r="Z550" s="3" t="n">
        <f aca="false" ca="false" dt2D="false" dtr="false" t="normal">+(K550*11.55+L550*23.1)*12*30</f>
        <v>26253611.999999996</v>
      </c>
      <c r="AA550" s="3" t="n">
        <f aca="false" ca="false" dt2D="false" dtr="false" t="normal">+N550-AB550</f>
        <v>0</v>
      </c>
      <c r="AB550" s="27" t="n">
        <f aca="false" ca="true" dt2D="false" dtr="false" t="normal">SUBTOTAL(9, AC550:AQ550)</f>
        <v>10645100.22</v>
      </c>
      <c r="AC550" s="17" t="n"/>
      <c r="AD550" s="18" t="n"/>
      <c r="AE550" s="18" t="n"/>
      <c r="AF550" s="18" t="n"/>
      <c r="AG550" s="18" t="n"/>
      <c r="AH550" s="18" t="n"/>
      <c r="AI550" s="17" t="n"/>
      <c r="AJ550" s="18" t="n"/>
      <c r="AK550" s="18" t="n"/>
      <c r="AL550" s="18" t="n">
        <v>10645100.22</v>
      </c>
      <c r="AM550" s="18" t="n"/>
      <c r="AN550" s="18" t="n"/>
      <c r="AO550" s="189" t="n"/>
      <c r="AP550" s="189" t="n"/>
      <c r="AQ550" s="185" t="n"/>
      <c r="AR550" s="186" t="n">
        <f aca="false" ca="false" dt2D="false" dtr="false" t="normal">COUNTIF(AC550:AN550, "&gt;0")</f>
        <v>1</v>
      </c>
      <c r="AU550" s="3" t="n"/>
    </row>
    <row ht="15.75" outlineLevel="0" r="551">
      <c r="A551" s="5" t="n">
        <f aca="false" ca="false" dt2D="false" dtr="false" t="normal">A550+1</f>
        <v>530</v>
      </c>
      <c r="B551" s="6" t="n">
        <f aca="false" ca="false" dt2D="false" dtr="false" t="normal">B550+1</f>
        <v>71</v>
      </c>
      <c r="C551" s="138" t="s">
        <v>104</v>
      </c>
      <c r="D551" s="138" t="s">
        <v>306</v>
      </c>
      <c r="E551" s="139" t="s">
        <v>164</v>
      </c>
      <c r="F551" s="139" t="n"/>
      <c r="G551" s="139" t="s">
        <v>4</v>
      </c>
      <c r="H551" s="139" t="s">
        <v>165</v>
      </c>
      <c r="I551" s="139" t="s">
        <v>159</v>
      </c>
      <c r="J551" s="17" t="n">
        <v>6832.2</v>
      </c>
      <c r="K551" s="17" t="n">
        <v>5772.1</v>
      </c>
      <c r="L551" s="17" t="n">
        <v>17</v>
      </c>
      <c r="M551" s="140" t="n">
        <v>245</v>
      </c>
      <c r="N551" s="16" t="n">
        <f aca="false" ca="false" dt2D="false" dtr="false" t="normal">P551+Q551+R551+S551+T551</f>
        <v>11056543.12</v>
      </c>
      <c r="O551" s="17" t="n"/>
      <c r="P551" s="18" t="n">
        <v>0</v>
      </c>
      <c r="Q551" s="18" t="n"/>
      <c r="R551" s="27" t="n">
        <v>3316701.11</v>
      </c>
      <c r="S551" s="27" t="n">
        <v>7739842.01</v>
      </c>
      <c r="T551" s="27" t="n">
        <v>0</v>
      </c>
      <c r="U551" s="18" t="n">
        <v>2314.71699402387</v>
      </c>
      <c r="V551" s="18" t="n">
        <v>1244.283020064</v>
      </c>
      <c r="W551" s="21" t="n">
        <v>2024</v>
      </c>
      <c r="X551" s="1" t="n">
        <v>3601132.66</v>
      </c>
      <c r="Y551" s="3" t="n">
        <f aca="false" ca="false" dt2D="false" dtr="false" t="normal">+(K551*11.55+L551*23.1)*12*0.85</f>
        <v>684016.641</v>
      </c>
      <c r="Z551" s="3" t="n">
        <f aca="false" ca="false" dt2D="false" dtr="false" t="normal">+(K551*11.55+L551*23.1)*12*30</f>
        <v>24141763.799999997</v>
      </c>
      <c r="AA551" s="3" t="n">
        <f aca="false" ca="false" dt2D="false" dtr="false" t="normal">+N551-AB551</f>
        <v>0</v>
      </c>
      <c r="AB551" s="27" t="n">
        <f aca="false" ca="true" dt2D="false" dtr="false" t="normal">SUBTOTAL(9, AC551:AQ551)</f>
        <v>11056543.12</v>
      </c>
      <c r="AC551" s="17" t="n"/>
      <c r="AD551" s="18" t="n"/>
      <c r="AE551" s="18" t="n"/>
      <c r="AF551" s="18" t="n"/>
      <c r="AG551" s="18" t="n"/>
      <c r="AH551" s="18" t="n"/>
      <c r="AI551" s="17" t="n"/>
      <c r="AJ551" s="18" t="n"/>
      <c r="AK551" s="18" t="n"/>
      <c r="AL551" s="18" t="n">
        <v>11056543.12</v>
      </c>
      <c r="AM551" s="18" t="n"/>
      <c r="AN551" s="18" t="n"/>
      <c r="AO551" s="189" t="n"/>
      <c r="AP551" s="189" t="n"/>
      <c r="AQ551" s="185" t="n"/>
      <c r="AR551" s="186" t="n">
        <f aca="false" ca="false" dt2D="false" dtr="false" t="normal">COUNTIF(AC551:AN551, "&gt;0")</f>
        <v>1</v>
      </c>
      <c r="AU551" s="3" t="n"/>
    </row>
    <row ht="15.75" outlineLevel="0" r="552">
      <c r="A552" s="5" t="n">
        <f aca="false" ca="false" dt2D="false" dtr="false" t="normal">A551+1</f>
        <v>531</v>
      </c>
      <c r="B552" s="6" t="n">
        <f aca="false" ca="false" dt2D="false" dtr="false" t="normal">B551+1</f>
        <v>72</v>
      </c>
      <c r="C552" s="138" t="s">
        <v>104</v>
      </c>
      <c r="D552" s="138" t="s">
        <v>308</v>
      </c>
      <c r="E552" s="139" t="n">
        <v>1991</v>
      </c>
      <c r="F552" s="139" t="n">
        <v>2009</v>
      </c>
      <c r="G552" s="139" t="s">
        <v>4</v>
      </c>
      <c r="H552" s="139" t="n">
        <v>5</v>
      </c>
      <c r="I552" s="139" t="n">
        <v>2</v>
      </c>
      <c r="J552" s="17" t="n">
        <v>3315.2</v>
      </c>
      <c r="K552" s="17" t="n">
        <v>2614.7</v>
      </c>
      <c r="L552" s="17" t="n">
        <v>667.8</v>
      </c>
      <c r="M552" s="140" t="n">
        <v>88</v>
      </c>
      <c r="N552" s="16" t="n">
        <f aca="false" ca="false" dt2D="false" dtr="false" t="normal">P552+Q552+R552+S552+T552</f>
        <v>927231.1100000001</v>
      </c>
      <c r="O552" s="17" t="n"/>
      <c r="P552" s="18" t="n">
        <v>0</v>
      </c>
      <c r="Q552" s="18" t="n"/>
      <c r="R552" s="27" t="n">
        <v>465384.84</v>
      </c>
      <c r="S552" s="27" t="n">
        <v>461846.27</v>
      </c>
      <c r="T552" s="27" t="n">
        <v>0</v>
      </c>
      <c r="U552" s="18" t="n">
        <v>1032.78654360319</v>
      </c>
      <c r="V552" s="18" t="n">
        <v>1032.78654360319</v>
      </c>
      <c r="W552" s="21" t="n">
        <v>2024</v>
      </c>
      <c r="Y552" s="3" t="n">
        <f aca="false" ca="false" dt2D="false" dtr="false" t="normal">+(K552*11.55+L552*23.1)*12*0.85</f>
        <v>465384.84299999994</v>
      </c>
      <c r="Z552" s="3" t="n">
        <f aca="false" ca="false" dt2D="false" dtr="false" t="normal">+(K552*11.55+L552*23.1)*12*30-'[1]Лист1'!$AQ$194</f>
        <v>11710495.309999999</v>
      </c>
      <c r="AA552" s="3" t="n">
        <f aca="false" ca="false" dt2D="false" dtr="false" t="normal">+N552-AB552</f>
        <v>0</v>
      </c>
      <c r="AB552" s="27" t="n">
        <f aca="false" ca="true" dt2D="false" dtr="false" t="normal">SUBTOTAL(9, AC552:AQ552)</f>
        <v>927231.11</v>
      </c>
      <c r="AC552" s="17" t="n">
        <v>0</v>
      </c>
      <c r="AD552" s="18" t="n">
        <v>0</v>
      </c>
      <c r="AE552" s="18" t="n">
        <v>927231.11</v>
      </c>
      <c r="AF552" s="18" t="n"/>
      <c r="AG552" s="18" t="n">
        <v>0</v>
      </c>
      <c r="AH552" s="18" t="n"/>
      <c r="AI552" s="17" t="n"/>
      <c r="AJ552" s="18" t="n">
        <v>0</v>
      </c>
      <c r="AK552" s="18" t="n">
        <v>0</v>
      </c>
      <c r="AL552" s="18" t="n">
        <v>0</v>
      </c>
      <c r="AM552" s="18" t="n">
        <v>0</v>
      </c>
      <c r="AN552" s="18" t="n">
        <v>0</v>
      </c>
      <c r="AO552" s="189" t="n"/>
      <c r="AP552" s="189" t="n"/>
      <c r="AQ552" s="185" t="n"/>
      <c r="AR552" s="186" t="n">
        <f aca="false" ca="false" dt2D="false" dtr="false" t="normal">COUNTIF(AC552:AN552, "&gt;0")</f>
        <v>1</v>
      </c>
      <c r="AU552" s="3" t="n"/>
    </row>
    <row ht="15.75" outlineLevel="0" r="553">
      <c r="A553" s="5" t="n">
        <f aca="false" ca="false" dt2D="false" dtr="false" t="normal">A552+1</f>
        <v>532</v>
      </c>
      <c r="B553" s="6" t="n">
        <f aca="false" ca="false" dt2D="false" dtr="false" t="normal">B552+1</f>
        <v>73</v>
      </c>
      <c r="C553" s="138" t="s">
        <v>104</v>
      </c>
      <c r="D553" s="138" t="s">
        <v>313</v>
      </c>
      <c r="E553" s="139" t="n">
        <v>1989</v>
      </c>
      <c r="F553" s="139" t="n">
        <v>2009</v>
      </c>
      <c r="G553" s="139" t="s">
        <v>4</v>
      </c>
      <c r="H553" s="139" t="n">
        <v>9</v>
      </c>
      <c r="I553" s="139" t="n">
        <v>1</v>
      </c>
      <c r="J553" s="17" t="n">
        <v>3239.5</v>
      </c>
      <c r="K553" s="17" t="n">
        <v>2720.9</v>
      </c>
      <c r="L553" s="17" t="n">
        <v>63.8</v>
      </c>
      <c r="M553" s="140" t="n">
        <v>112</v>
      </c>
      <c r="N553" s="16" t="n">
        <f aca="false" ca="false" dt2D="false" dtr="false" t="normal">P553+Q553+R553+S553+T553</f>
        <v>4439012.21</v>
      </c>
      <c r="O553" s="17" t="n"/>
      <c r="P553" s="18" t="n">
        <v>0</v>
      </c>
      <c r="Q553" s="18" t="n"/>
      <c r="R553" s="27" t="n">
        <v>1648052.97</v>
      </c>
      <c r="S553" s="27" t="n">
        <v>2790959.24</v>
      </c>
      <c r="T553" s="27" t="n">
        <v>0</v>
      </c>
      <c r="U553" s="18" t="n">
        <v>4666.62163552669</v>
      </c>
      <c r="V553" s="18" t="n">
        <v>1246.283020064</v>
      </c>
      <c r="W553" s="21" t="n">
        <v>2024</v>
      </c>
      <c r="X553" s="103" t="n">
        <f aca="false" ca="false" dt2D="false" dtr="false" t="normal">+'[1]Лист1'!$BC$196</f>
        <v>2073222.36</v>
      </c>
      <c r="Y553" s="3" t="n">
        <f aca="false" ca="false" dt2D="false" dtr="false" t="normal">+(K553*15.35+L553*26.02)*12*0.85</f>
        <v>442944.0882</v>
      </c>
      <c r="Z553" s="3" t="n">
        <f aca="false" ca="false" dt2D="false" dtr="false" t="normal">+(K553*15.35+L553*26.02)*12*30</f>
        <v>15633320.760000002</v>
      </c>
      <c r="AA553" s="3" t="n">
        <f aca="false" ca="false" dt2D="false" dtr="false" t="normal">+N553-AB553</f>
        <v>0</v>
      </c>
      <c r="AB553" s="27" t="n">
        <f aca="false" ca="true" dt2D="false" dtr="false" t="normal">SUBTOTAL(9, AC553:AQ553)</f>
        <v>4439012.21</v>
      </c>
      <c r="AC553" s="17" t="n">
        <v>2982960.1</v>
      </c>
      <c r="AD553" s="18" t="n">
        <v>0</v>
      </c>
      <c r="AE553" s="18" t="n">
        <v>1456052.11</v>
      </c>
      <c r="AF553" s="18" t="n"/>
      <c r="AG553" s="18" t="n">
        <v>0</v>
      </c>
      <c r="AH553" s="18" t="n"/>
      <c r="AI553" s="17" t="n"/>
      <c r="AJ553" s="18" t="n">
        <v>0</v>
      </c>
      <c r="AK553" s="18" t="n">
        <v>0</v>
      </c>
      <c r="AL553" s="18" t="n">
        <v>0</v>
      </c>
      <c r="AM553" s="18" t="n">
        <v>0</v>
      </c>
      <c r="AN553" s="18" t="n">
        <v>0</v>
      </c>
      <c r="AO553" s="189" t="n"/>
      <c r="AP553" s="189" t="n"/>
      <c r="AQ553" s="185" t="n"/>
      <c r="AR553" s="186" t="n">
        <f aca="false" ca="false" dt2D="false" dtr="false" t="normal">COUNTIF(AC553:AN553, "&gt;0")</f>
        <v>2</v>
      </c>
      <c r="AU553" s="3" t="n"/>
    </row>
    <row customFormat="true" ht="15.75" outlineLevel="0" r="554" s="184">
      <c r="A554" s="5" t="n">
        <f aca="false" ca="false" dt2D="false" dtr="false" t="normal">A553+1</f>
        <v>533</v>
      </c>
      <c r="B554" s="6" t="n">
        <f aca="false" ca="false" dt2D="false" dtr="false" t="normal">B553+1</f>
        <v>74</v>
      </c>
      <c r="C554" s="138" t="s">
        <v>104</v>
      </c>
      <c r="D554" s="138" t="s">
        <v>315</v>
      </c>
      <c r="E554" s="139" t="s">
        <v>190</v>
      </c>
      <c r="F554" s="139" t="n"/>
      <c r="G554" s="139" t="s">
        <v>4</v>
      </c>
      <c r="H554" s="139" t="s">
        <v>150</v>
      </c>
      <c r="I554" s="139" t="s">
        <v>219</v>
      </c>
      <c r="J554" s="17" t="n">
        <v>3182.4</v>
      </c>
      <c r="K554" s="17" t="n">
        <v>2718.2</v>
      </c>
      <c r="L554" s="17" t="n">
        <v>0</v>
      </c>
      <c r="M554" s="140" t="n">
        <v>99</v>
      </c>
      <c r="N554" s="16" t="n">
        <f aca="false" ca="false" dt2D="false" dtr="false" t="normal">P554+Q554+R554+S554+T554</f>
        <v>3887973.93</v>
      </c>
      <c r="O554" s="17" t="n">
        <v>0</v>
      </c>
      <c r="P554" s="18" t="n">
        <v>0</v>
      </c>
      <c r="Q554" s="18" t="n"/>
      <c r="R554" s="27" t="n">
        <v>1480216.73</v>
      </c>
      <c r="S554" s="27" t="n">
        <v>2407757.2</v>
      </c>
      <c r="T554" s="27" t="n">
        <v>0</v>
      </c>
      <c r="U554" s="17" t="n">
        <v>4870.98769327849</v>
      </c>
      <c r="V554" s="17" t="n">
        <v>4870.98769327849</v>
      </c>
      <c r="W554" s="21" t="n">
        <v>2024</v>
      </c>
      <c r="Y554" s="3" t="n">
        <f aca="false" ca="false" dt2D="false" dtr="false" t="normal">+(K554*15.35+L554*26.02)*12*0.85</f>
        <v>425588.57399999996</v>
      </c>
      <c r="Z554" s="3" t="n">
        <f aca="false" ca="false" dt2D="false" dtr="false" t="normal">+(K554*15.35+L554*26.02)*12*30-'[1]Лист1'!$AQ$197</f>
        <v>13315455.51</v>
      </c>
      <c r="AA554" s="3" t="n">
        <f aca="false" ca="false" dt2D="false" dtr="false" t="normal">+N554-AB554</f>
        <v>0</v>
      </c>
      <c r="AB554" s="27" t="n">
        <f aca="false" ca="true" dt2D="false" dtr="false" t="normal">SUBTOTAL(9, AC554:AQ554)</f>
        <v>3887973.93</v>
      </c>
      <c r="AC554" s="17" t="n">
        <v>3887973.93</v>
      </c>
      <c r="AD554" s="18" t="n">
        <v>0</v>
      </c>
      <c r="AE554" s="18" t="n"/>
      <c r="AF554" s="18" t="n"/>
      <c r="AG554" s="18" t="n"/>
      <c r="AH554" s="18" t="n"/>
      <c r="AI554" s="17" t="n"/>
      <c r="AJ554" s="18" t="n"/>
      <c r="AK554" s="18" t="n"/>
      <c r="AL554" s="18" t="n"/>
      <c r="AM554" s="18" t="n"/>
      <c r="AN554" s="18" t="n"/>
      <c r="AO554" s="189" t="n"/>
      <c r="AP554" s="189" t="n"/>
      <c r="AQ554" s="185" t="n"/>
      <c r="AR554" s="186" t="n">
        <f aca="false" ca="false" dt2D="false" dtr="false" t="normal">COUNTIF(AC554:AN554, "&gt;0")</f>
        <v>1</v>
      </c>
      <c r="AT554" s="187" t="n"/>
      <c r="AU554" s="3" t="n"/>
    </row>
    <row ht="15.75" outlineLevel="0" r="555">
      <c r="A555" s="5" t="n">
        <f aca="false" ca="false" dt2D="false" dtr="false" t="normal">A554+1</f>
        <v>534</v>
      </c>
      <c r="B555" s="6" t="n">
        <f aca="false" ca="false" dt2D="false" dtr="false" t="normal">B554+1</f>
        <v>75</v>
      </c>
      <c r="C555" s="138" t="s">
        <v>88</v>
      </c>
      <c r="D555" s="138" t="s">
        <v>318</v>
      </c>
      <c r="E555" s="139" t="n">
        <v>1997</v>
      </c>
      <c r="F555" s="139" t="n">
        <v>2013</v>
      </c>
      <c r="G555" s="139" t="s">
        <v>4</v>
      </c>
      <c r="H555" s="139" t="n">
        <v>3</v>
      </c>
      <c r="I555" s="139" t="n">
        <v>2</v>
      </c>
      <c r="J555" s="17" t="n">
        <v>1304.7</v>
      </c>
      <c r="K555" s="17" t="n">
        <v>938.6</v>
      </c>
      <c r="L555" s="17" t="n">
        <v>0</v>
      </c>
      <c r="M555" s="140" t="n">
        <v>33</v>
      </c>
      <c r="N555" s="16" t="n">
        <f aca="false" ca="false" dt2D="false" dtr="false" t="normal">P555+Q555+R555+S555+T555</f>
        <v>8889619.1</v>
      </c>
      <c r="O555" s="17" t="n"/>
      <c r="P555" s="18" t="n">
        <v>6181715.33</v>
      </c>
      <c r="Q555" s="18" t="n"/>
      <c r="R555" s="27" t="n">
        <v>110576.47</v>
      </c>
      <c r="S555" s="27" t="n">
        <v>2488553.97</v>
      </c>
      <c r="T555" s="27" t="n">
        <v>108773.33</v>
      </c>
      <c r="U555" s="17" t="n">
        <v>10103.9033887705</v>
      </c>
      <c r="V555" s="17" t="n">
        <v>10103.9033887705</v>
      </c>
      <c r="W555" s="21" t="n">
        <v>2024</v>
      </c>
      <c r="Y555" s="3" t="n">
        <f aca="false" ca="false" dt2D="false" dtr="false" t="normal">+(K555*11.55+L555*23.1)*12*0.85</f>
        <v>110576.46600000001</v>
      </c>
      <c r="Z555" s="3" t="n">
        <f aca="false" ca="false" dt2D="false" dtr="false" t="normal">+(K555*11.55+L555*23.1)*12*30-'[1]Лист1'!$AQ$210</f>
        <v>2488553.9700000007</v>
      </c>
      <c r="AA555" s="3" t="n">
        <f aca="false" ca="false" dt2D="false" dtr="false" t="normal">+N555-AB555</f>
        <v>108773.33000000007</v>
      </c>
      <c r="AB555" s="27" t="n">
        <f aca="false" ca="true" dt2D="false" dtr="false" t="normal">SUBTOTAL(9, AC555:AQ555)</f>
        <v>8780845.77</v>
      </c>
      <c r="AC555" s="17" t="n">
        <v>0</v>
      </c>
      <c r="AD555" s="18" t="n">
        <v>0</v>
      </c>
      <c r="AE555" s="18" t="n">
        <v>0</v>
      </c>
      <c r="AF555" s="18" t="n">
        <v>0</v>
      </c>
      <c r="AG555" s="18" t="n">
        <v>0</v>
      </c>
      <c r="AH555" s="18" t="n"/>
      <c r="AI555" s="17" t="n"/>
      <c r="AJ555" s="18" t="n">
        <v>0</v>
      </c>
      <c r="AK555" s="18" t="n">
        <v>0</v>
      </c>
      <c r="AL555" s="18" t="n">
        <v>0</v>
      </c>
      <c r="AM555" s="18" t="n">
        <v>8780845.77</v>
      </c>
      <c r="AN555" s="18" t="n">
        <v>0</v>
      </c>
      <c r="AO555" s="18" t="n"/>
      <c r="AP555" s="18" t="n"/>
      <c r="AQ555" s="191" t="n"/>
      <c r="AR555" s="186" t="n">
        <f aca="false" ca="false" dt2D="false" dtr="false" t="normal">COUNTIF(AC555:AN555, "&gt;0")</f>
        <v>1</v>
      </c>
      <c r="AU555" s="3" t="n"/>
    </row>
    <row ht="15.75" outlineLevel="0" r="556">
      <c r="A556" s="5" t="n">
        <f aca="false" ca="false" dt2D="false" dtr="false" t="normal">A555+1</f>
        <v>535</v>
      </c>
      <c r="B556" s="6" t="n">
        <f aca="false" ca="false" dt2D="false" dtr="false" t="normal">B555+1</f>
        <v>76</v>
      </c>
      <c r="C556" s="138" t="s">
        <v>88</v>
      </c>
      <c r="D556" s="138" t="s">
        <v>89</v>
      </c>
      <c r="E556" s="139" t="n">
        <v>1995</v>
      </c>
      <c r="F556" s="139" t="n">
        <v>2013</v>
      </c>
      <c r="G556" s="139" t="s">
        <v>4</v>
      </c>
      <c r="H556" s="139" t="n">
        <v>3</v>
      </c>
      <c r="I556" s="139" t="n">
        <v>4</v>
      </c>
      <c r="J556" s="17" t="n">
        <v>2740.5</v>
      </c>
      <c r="K556" s="17" t="n">
        <v>1849.2</v>
      </c>
      <c r="L556" s="17" t="n">
        <v>0</v>
      </c>
      <c r="M556" s="140" t="n">
        <v>67</v>
      </c>
      <c r="N556" s="16" t="n">
        <f aca="false" ca="false" dt2D="false" dtr="false" t="normal">P556+Q556+R556+S556+T556</f>
        <v>13910436.030000001</v>
      </c>
      <c r="O556" s="17" t="n"/>
      <c r="P556" s="18" t="n">
        <v>3994811.59</v>
      </c>
      <c r="Q556" s="18" t="n"/>
      <c r="R556" s="27" t="n">
        <v>217854.25</v>
      </c>
      <c r="S556" s="27" t="n">
        <v>1912728.81</v>
      </c>
      <c r="T556" s="27" t="n">
        <v>7785041.38</v>
      </c>
      <c r="U556" s="17" t="n">
        <v>10063.0684504651</v>
      </c>
      <c r="V556" s="17" t="n">
        <v>10063.0684504651</v>
      </c>
      <c r="W556" s="21" t="n">
        <v>2024</v>
      </c>
      <c r="Y556" s="3" t="n">
        <f aca="false" ca="false" dt2D="false" dtr="false" t="normal">+(K556*11.55+L556*23.1)*12*0.85</f>
        <v>217854.252</v>
      </c>
      <c r="Z556" s="3" t="n">
        <f aca="false" ca="false" dt2D="false" dtr="false" t="normal">+(K556*11.55+L556*23.1)*12*30-'[1]Лист1'!$AQ$211</f>
        <v>-741494.0699999994</v>
      </c>
      <c r="AA556" s="3" t="n">
        <f aca="false" ca="false" dt2D="false" dtr="false" t="normal">+N556-AB556</f>
        <v>170848.9900000021</v>
      </c>
      <c r="AB556" s="27" t="n">
        <f aca="false" ca="true" dt2D="false" dtr="false" t="normal">SUBTOTAL(9, AC556:AQ556)</f>
        <v>13739587.04</v>
      </c>
      <c r="AC556" s="17" t="n">
        <v>0</v>
      </c>
      <c r="AD556" s="18" t="n">
        <v>0</v>
      </c>
      <c r="AE556" s="18" t="n">
        <v>0</v>
      </c>
      <c r="AF556" s="18" t="n">
        <v>0</v>
      </c>
      <c r="AG556" s="18" t="n">
        <v>0</v>
      </c>
      <c r="AH556" s="18" t="n"/>
      <c r="AI556" s="17" t="n"/>
      <c r="AJ556" s="18" t="n">
        <v>0</v>
      </c>
      <c r="AK556" s="18" t="n">
        <v>0</v>
      </c>
      <c r="AL556" s="18" t="n">
        <v>0</v>
      </c>
      <c r="AM556" s="18" t="n">
        <v>13739587.04</v>
      </c>
      <c r="AN556" s="18" t="n">
        <v>0</v>
      </c>
      <c r="AO556" s="18" t="n"/>
      <c r="AP556" s="18" t="n"/>
      <c r="AQ556" s="191" t="n"/>
      <c r="AR556" s="186" t="n">
        <f aca="false" ca="false" dt2D="false" dtr="false" t="normal">COUNTIF(AC556:AN556, "&gt;0")</f>
        <v>1</v>
      </c>
      <c r="AU556" s="3" t="n"/>
    </row>
    <row customFormat="true" ht="15.75" outlineLevel="0" r="557" s="184">
      <c r="A557" s="5" t="n">
        <f aca="false" ca="false" dt2D="false" dtr="false" t="normal">A556+1</f>
        <v>536</v>
      </c>
      <c r="B557" s="6" t="n">
        <f aca="false" ca="false" dt2D="false" dtr="false" t="normal">B556+1</f>
        <v>77</v>
      </c>
      <c r="C557" s="138" t="s">
        <v>309</v>
      </c>
      <c r="D557" s="138" t="s">
        <v>321</v>
      </c>
      <c r="E557" s="139" t="s">
        <v>322</v>
      </c>
      <c r="F557" s="139" t="n"/>
      <c r="G557" s="139" t="s">
        <v>4</v>
      </c>
      <c r="H557" s="139" t="s">
        <v>150</v>
      </c>
      <c r="I557" s="139" t="s">
        <v>323</v>
      </c>
      <c r="J557" s="17" t="n">
        <v>20643.6</v>
      </c>
      <c r="K557" s="17" t="n">
        <v>17405.5</v>
      </c>
      <c r="L557" s="17" t="n">
        <v>146.2</v>
      </c>
      <c r="M557" s="140" t="n">
        <v>675</v>
      </c>
      <c r="N557" s="16" t="n">
        <f aca="false" ca="false" dt2D="false" dtr="false" t="normal">P557+Q557+R557+S557+T557</f>
        <v>21000128.95</v>
      </c>
      <c r="O557" s="17" t="n">
        <v>0</v>
      </c>
      <c r="P557" s="18" t="n">
        <v>0</v>
      </c>
      <c r="Q557" s="18" t="n"/>
      <c r="R557" s="27" t="n">
        <v>15584462.31</v>
      </c>
      <c r="S557" s="27" t="n">
        <v>5415666.64</v>
      </c>
      <c r="T557" s="27" t="n">
        <v>0</v>
      </c>
      <c r="U557" s="18" t="n">
        <v>1717.69555600241</v>
      </c>
      <c r="V557" s="18" t="n">
        <v>1256.283020064</v>
      </c>
      <c r="W557" s="21" t="n">
        <v>2024</v>
      </c>
      <c r="X557" s="184" t="n">
        <v>13373529.36</v>
      </c>
      <c r="Y557" s="3" t="n">
        <f aca="false" ca="false" dt2D="false" dtr="false" t="normal">+(K557*13.95+L557*23.65)*12*0.85</f>
        <v>2511896.4209999996</v>
      </c>
      <c r="Z557" s="3" t="n">
        <f aca="false" ca="false" dt2D="false" dtr="false" t="normal">+(K557*13.95+L557*23.65)*12*30</f>
        <v>88655167.8</v>
      </c>
      <c r="AA557" s="3" t="n">
        <f aca="false" ca="false" dt2D="false" dtr="false" t="normal">+N557-AB557</f>
        <v>0</v>
      </c>
      <c r="AB557" s="27" t="n">
        <f aca="false" ca="true" dt2D="false" dtr="false" t="normal">SUBTOTAL(9, AC557:AQ557)</f>
        <v>21000128.95</v>
      </c>
      <c r="AC557" s="17" t="n"/>
      <c r="AD557" s="18" t="n"/>
      <c r="AE557" s="18" t="n"/>
      <c r="AF557" s="18" t="n"/>
      <c r="AG557" s="18" t="n"/>
      <c r="AH557" s="18" t="n"/>
      <c r="AI557" s="17" t="n"/>
      <c r="AJ557" s="18" t="n">
        <v>19804234.95</v>
      </c>
      <c r="AK557" s="18" t="n"/>
      <c r="AL557" s="18" t="n"/>
      <c r="AM557" s="18" t="n"/>
      <c r="AN557" s="18" t="n"/>
      <c r="AO557" s="18" t="n">
        <v>896920.5</v>
      </c>
      <c r="AP557" s="18" t="n">
        <v>298973.5</v>
      </c>
      <c r="AQ557" s="185" t="n"/>
      <c r="AR557" s="186" t="n">
        <f aca="false" ca="false" dt2D="false" dtr="false" t="normal">COUNTIF(AC557:AN557, "&gt;0")</f>
        <v>1</v>
      </c>
      <c r="AT557" s="187" t="n"/>
      <c r="AU557" s="3" t="n"/>
    </row>
    <row ht="15.75" outlineLevel="0" r="558">
      <c r="A558" s="5" t="n">
        <f aca="false" ca="false" dt2D="false" dtr="false" t="normal">A557+1</f>
        <v>537</v>
      </c>
      <c r="B558" s="6" t="n">
        <f aca="false" ca="false" dt2D="false" dtr="false" t="normal">B557+1</f>
        <v>78</v>
      </c>
      <c r="C558" s="6" t="s">
        <v>177</v>
      </c>
      <c r="D558" s="6" t="s">
        <v>204</v>
      </c>
      <c r="E558" s="164" t="n">
        <v>1963</v>
      </c>
      <c r="F558" s="164" t="n">
        <v>2013</v>
      </c>
      <c r="G558" s="164" t="s">
        <v>4</v>
      </c>
      <c r="H558" s="164" t="n">
        <v>4</v>
      </c>
      <c r="I558" s="164" t="n">
        <v>4</v>
      </c>
      <c r="J558" s="18" t="n">
        <v>5268.75</v>
      </c>
      <c r="K558" s="18" t="n">
        <v>3170.15</v>
      </c>
      <c r="L558" s="18" t="n">
        <v>2098.6</v>
      </c>
      <c r="M558" s="165" t="n">
        <v>97</v>
      </c>
      <c r="N558" s="16" t="n">
        <f aca="false" ca="false" dt2D="false" dtr="false" t="normal">P558+Q558+R558+S558+T558</f>
        <v>2013425.71</v>
      </c>
      <c r="O558" s="18" t="n"/>
      <c r="P558" s="18" t="n">
        <v>0</v>
      </c>
      <c r="Q558" s="18" t="n"/>
      <c r="R558" s="27" t="n">
        <v>0</v>
      </c>
      <c r="S558" s="27" t="n">
        <v>2013425.71</v>
      </c>
      <c r="T558" s="27" t="n">
        <v>0</v>
      </c>
      <c r="U558" s="18" t="n">
        <v>1029.16693988251</v>
      </c>
      <c r="V558" s="18" t="n">
        <v>1029.16693988251</v>
      </c>
      <c r="W558" s="21" t="n">
        <v>2024</v>
      </c>
      <c r="X558" s="12" t="n"/>
      <c r="Y558" s="3" t="n">
        <f aca="false" ca="false" dt2D="false" dtr="false" t="normal">+(K558*11.55+L558*23.1)*12*0.85</f>
        <v>867947.5035000001</v>
      </c>
      <c r="Z558" s="3" t="n">
        <f aca="false" ca="false" dt2D="false" dtr="false" t="normal">+(K558*11.55+L558*23.1)*12*30-'[1]Лист1'!$AQ$260</f>
        <v>18273444.560000002</v>
      </c>
      <c r="AA558" s="3" t="n">
        <f aca="false" ca="false" dt2D="false" dtr="false" t="normal">+N558-AB558</f>
        <v>0</v>
      </c>
      <c r="AB558" s="27" t="n">
        <f aca="false" ca="true" dt2D="false" dtr="false" t="normal">SUBTOTAL(9, AC558:AQ558)</f>
        <v>2013425.71</v>
      </c>
      <c r="AC558" s="18" t="n"/>
      <c r="AD558" s="18" t="n">
        <v>2013425.71</v>
      </c>
      <c r="AE558" s="18" t="n"/>
      <c r="AF558" s="18" t="n"/>
      <c r="AG558" s="18" t="n"/>
      <c r="AH558" s="18" t="n"/>
      <c r="AI558" s="18" t="n"/>
      <c r="AJ558" s="18" t="n">
        <v>0</v>
      </c>
      <c r="AK558" s="18" t="n"/>
      <c r="AL558" s="18" t="n"/>
      <c r="AM558" s="18" t="n"/>
      <c r="AN558" s="18" t="n"/>
      <c r="AO558" s="18" t="n"/>
      <c r="AP558" s="18" t="n"/>
      <c r="AQ558" s="191" t="n"/>
      <c r="AR558" s="186" t="n">
        <f aca="false" ca="false" dt2D="false" dtr="false" t="normal">COUNTIF(AC558:AN558, "&gt;0")</f>
        <v>1</v>
      </c>
      <c r="AU558" s="3" t="n"/>
    </row>
    <row ht="15.75" outlineLevel="0" r="559">
      <c r="A559" s="5" t="n">
        <f aca="false" ca="false" dt2D="false" dtr="false" t="normal">A558+1</f>
        <v>538</v>
      </c>
      <c r="B559" s="6" t="n">
        <f aca="false" ca="false" dt2D="false" dtr="false" t="normal">B558+1</f>
        <v>79</v>
      </c>
      <c r="C559" s="138" t="s">
        <v>177</v>
      </c>
      <c r="D559" s="138" t="s">
        <v>326</v>
      </c>
      <c r="E559" s="139" t="n">
        <v>1964</v>
      </c>
      <c r="F559" s="139" t="n">
        <v>2013</v>
      </c>
      <c r="G559" s="139" t="s">
        <v>4</v>
      </c>
      <c r="H559" s="139" t="n">
        <v>5</v>
      </c>
      <c r="I559" s="139" t="n">
        <v>7</v>
      </c>
      <c r="J559" s="17" t="n">
        <v>6384.4</v>
      </c>
      <c r="K559" s="17" t="n">
        <v>5253.8</v>
      </c>
      <c r="L559" s="17" t="n">
        <v>1130.6</v>
      </c>
      <c r="M559" s="140" t="n">
        <v>210</v>
      </c>
      <c r="N559" s="16" t="n">
        <f aca="false" ca="false" dt2D="false" dtr="false" t="normal">P559+Q559+R559+S559+T559</f>
        <v>3508450.1100000003</v>
      </c>
      <c r="O559" s="17" t="n"/>
      <c r="P559" s="18" t="n">
        <v>0</v>
      </c>
      <c r="Q559" s="18" t="n"/>
      <c r="R559" s="27" t="n">
        <v>917348.76</v>
      </c>
      <c r="S559" s="27" t="n">
        <v>2591101.35</v>
      </c>
      <c r="T559" s="27" t="n">
        <v>0</v>
      </c>
      <c r="U559" s="18" t="n">
        <v>4853.31840936987</v>
      </c>
      <c r="V559" s="18" t="n">
        <v>1258.283020064</v>
      </c>
      <c r="W559" s="21" t="n">
        <v>2024</v>
      </c>
      <c r="X559" s="103" t="n">
        <v>4163182.7</v>
      </c>
      <c r="Y559" s="3" t="n">
        <f aca="false" ca="false" dt2D="false" dtr="false" t="normal">+(K559*10.5+L559*21)*12*0.85</f>
        <v>804856.5</v>
      </c>
      <c r="Z559" s="3" t="n">
        <f aca="false" ca="false" dt2D="false" dtr="false" t="normal">+(K559*11.55+L559*23.1)*12*30</f>
        <v>31247370</v>
      </c>
      <c r="AA559" s="3" t="n">
        <f aca="false" ca="false" dt2D="false" dtr="false" t="normal">+N559-AB559</f>
        <v>0</v>
      </c>
      <c r="AB559" s="27" t="n">
        <f aca="false" ca="true" dt2D="false" dtr="false" t="normal">SUBTOTAL(9, AC559:AQ559)</f>
        <v>3508450.11</v>
      </c>
      <c r="AC559" s="17" t="n"/>
      <c r="AD559" s="18" t="n">
        <v>2056177.15</v>
      </c>
      <c r="AE559" s="18" t="n"/>
      <c r="AF559" s="18" t="n">
        <v>1425204.86</v>
      </c>
      <c r="AG559" s="18" t="n"/>
      <c r="AH559" s="18" t="n"/>
      <c r="AI559" s="17" t="n"/>
      <c r="AJ559" s="18" t="n">
        <v>0</v>
      </c>
      <c r="AK559" s="18" t="n"/>
      <c r="AL559" s="18" t="n">
        <v>0</v>
      </c>
      <c r="AM559" s="18" t="n">
        <v>0</v>
      </c>
      <c r="AN559" s="18" t="n">
        <v>0</v>
      </c>
      <c r="AO559" s="189" t="n"/>
      <c r="AP559" s="189" t="n"/>
      <c r="AQ559" s="191" t="n">
        <v>27068.1</v>
      </c>
      <c r="AR559" s="186" t="n">
        <f aca="false" ca="false" dt2D="false" dtr="false" t="normal">COUNTIF(AC559:AN559, "&gt;0")</f>
        <v>2</v>
      </c>
      <c r="AU559" s="3" t="n"/>
    </row>
    <row ht="15.75" outlineLevel="0" r="560">
      <c r="A560" s="5" t="n">
        <f aca="false" ca="false" dt2D="false" dtr="false" t="normal">A559+1</f>
        <v>539</v>
      </c>
      <c r="B560" s="6" t="n">
        <f aca="false" ca="false" dt2D="false" dtr="false" t="normal">B559+1</f>
        <v>80</v>
      </c>
      <c r="C560" s="6" t="s">
        <v>177</v>
      </c>
      <c r="D560" s="6" t="s">
        <v>213</v>
      </c>
      <c r="E560" s="139" t="n">
        <v>1968</v>
      </c>
      <c r="F560" s="139" t="n">
        <v>2013</v>
      </c>
      <c r="G560" s="139" t="s">
        <v>4</v>
      </c>
      <c r="H560" s="139" t="n">
        <v>5</v>
      </c>
      <c r="I560" s="139" t="n">
        <v>4</v>
      </c>
      <c r="J560" s="17" t="n">
        <v>3228.9</v>
      </c>
      <c r="K560" s="17" t="n">
        <v>2518.9</v>
      </c>
      <c r="L560" s="17" t="n">
        <v>710</v>
      </c>
      <c r="M560" s="140" t="n">
        <v>136</v>
      </c>
      <c r="N560" s="16" t="n">
        <f aca="false" ca="false" dt2D="false" dtr="false" t="normal">P560+Q560+R560+S560+T560</f>
        <v>4555776.11</v>
      </c>
      <c r="O560" s="18" t="n"/>
      <c r="P560" s="18" t="n">
        <v>2177713.1</v>
      </c>
      <c r="Q560" s="18" t="n"/>
      <c r="R560" s="27" t="n">
        <v>466115.87</v>
      </c>
      <c r="S560" s="27" t="n">
        <v>1526528.96</v>
      </c>
      <c r="T560" s="27" t="n">
        <v>385418.18</v>
      </c>
      <c r="U560" s="18" t="n">
        <v>9513.91060894277</v>
      </c>
      <c r="V560" s="18" t="n">
        <v>1259.283020064</v>
      </c>
      <c r="W560" s="21" t="n">
        <v>2024</v>
      </c>
      <c r="X560" s="12" t="n">
        <f aca="false" ca="false" dt2D="false" dtr="false" t="normal">2448991.46-R316</f>
        <v>2205991.81</v>
      </c>
      <c r="Y560" s="3" t="n">
        <f aca="false" ca="false" dt2D="false" dtr="false" t="normal">+(K560*10.5+L560*21)*12*0.85</f>
        <v>421856.18999999994</v>
      </c>
      <c r="Z560" s="3" t="n">
        <f aca="false" ca="false" dt2D="false" dtr="false" t="normal">+(K560*11.55+L560*23.1)*12*30</f>
        <v>16377946.200000001</v>
      </c>
      <c r="AA560" s="3" t="n">
        <f aca="false" ca="false" dt2D="false" dtr="false" t="normal">+N560-AB560</f>
        <v>0</v>
      </c>
      <c r="AB560" s="27" t="n">
        <f aca="false" ca="true" dt2D="false" dtr="false" t="normal">SUBTOTAL(9, AC560:AQ560)</f>
        <v>4555776.11</v>
      </c>
      <c r="AC560" s="17" t="n"/>
      <c r="AD560" s="18" t="n">
        <v>1927090.91</v>
      </c>
      <c r="AE560" s="18" t="n">
        <v>1334881.67</v>
      </c>
      <c r="AF560" s="18" t="n">
        <v>1293803.53</v>
      </c>
      <c r="AG560" s="18" t="n"/>
      <c r="AH560" s="18" t="n"/>
      <c r="AI560" s="17" t="n"/>
      <c r="AJ560" s="18" t="n">
        <v>0</v>
      </c>
      <c r="AK560" s="18" t="n"/>
      <c r="AL560" s="18" t="n">
        <v>0</v>
      </c>
      <c r="AM560" s="18" t="n">
        <v>0</v>
      </c>
      <c r="AN560" s="18" t="n">
        <v>0</v>
      </c>
      <c r="AO560" s="18" t="n"/>
      <c r="AP560" s="18" t="n"/>
      <c r="AQ560" s="185" t="n"/>
      <c r="AR560" s="186" t="n">
        <f aca="false" ca="false" dt2D="false" dtr="false" t="normal">COUNTIF(AC560:AN560, "&gt;0")</f>
        <v>3</v>
      </c>
      <c r="AU560" s="3" t="n"/>
    </row>
    <row ht="15.75" outlineLevel="0" r="561">
      <c r="A561" s="5" t="n">
        <f aca="false" ca="false" dt2D="false" dtr="false" t="normal">A560+1</f>
        <v>540</v>
      </c>
      <c r="B561" s="6" t="n">
        <f aca="false" ca="false" dt2D="false" dtr="false" t="normal">B560+1</f>
        <v>81</v>
      </c>
      <c r="C561" s="6" t="s">
        <v>177</v>
      </c>
      <c r="D561" s="6" t="s">
        <v>220</v>
      </c>
      <c r="E561" s="164" t="n">
        <v>1989</v>
      </c>
      <c r="F561" s="164" t="n">
        <v>2017</v>
      </c>
      <c r="G561" s="164" t="s">
        <v>4</v>
      </c>
      <c r="H561" s="164" t="n">
        <v>9</v>
      </c>
      <c r="I561" s="164" t="n">
        <v>3</v>
      </c>
      <c r="J561" s="18" t="n">
        <v>7106.9</v>
      </c>
      <c r="K561" s="18" t="n">
        <v>6247.4</v>
      </c>
      <c r="L561" s="18" t="n">
        <v>0</v>
      </c>
      <c r="M561" s="165" t="n">
        <v>266</v>
      </c>
      <c r="N561" s="16" t="n">
        <f aca="false" ca="false" dt2D="false" dtr="false" t="normal">P561+Q561+R561+S561+T561</f>
        <v>14570624.93</v>
      </c>
      <c r="O561" s="18" t="n"/>
      <c r="P561" s="18" t="n">
        <v>2704031.56</v>
      </c>
      <c r="Q561" s="18" t="n"/>
      <c r="R561" s="27" t="n">
        <v>435416.38</v>
      </c>
      <c r="S561" s="27" t="n">
        <v>9576930.2</v>
      </c>
      <c r="T561" s="27" t="n">
        <v>1854246.79</v>
      </c>
      <c r="U561" s="18" t="n">
        <v>7522.68767618924</v>
      </c>
      <c r="V561" s="18" t="n">
        <v>7522.68767618924</v>
      </c>
      <c r="W561" s="21" t="n">
        <v>2024</v>
      </c>
      <c r="Y561" s="3" t="n">
        <f aca="false" ca="false" dt2D="false" dtr="false" t="normal">+(K561*15.35+L561*26.02)*12*0.85</f>
        <v>978155.4180000001</v>
      </c>
      <c r="Z561" s="3" t="n">
        <f aca="false" ca="false" dt2D="false" dtr="false" t="normal">+(K561*15.35+L561*26.02)*12*30-'[1]Лист1'!$AQ$264</f>
        <v>15467258.150000006</v>
      </c>
      <c r="AA561" s="3" t="n">
        <f aca="false" ca="false" dt2D="false" dtr="false" t="normal">+N561-AB561</f>
        <v>0</v>
      </c>
      <c r="AB561" s="27" t="n">
        <f aca="false" ca="true" dt2D="false" dtr="false" t="normal">SUBTOTAL(9, AC561:AQ561)</f>
        <v>14570624.930000002</v>
      </c>
      <c r="AC561" s="17" t="n"/>
      <c r="AD561" s="18" t="n"/>
      <c r="AE561" s="18" t="n">
        <v>1322147.47</v>
      </c>
      <c r="AF561" s="18" t="n"/>
      <c r="AG561" s="18" t="n">
        <v>0</v>
      </c>
      <c r="AH561" s="18" t="n"/>
      <c r="AI561" s="17" t="n"/>
      <c r="AJ561" s="18" t="n">
        <v>0</v>
      </c>
      <c r="AK561" s="18" t="n">
        <v>13248477.46</v>
      </c>
      <c r="AL561" s="18" t="n">
        <v>0</v>
      </c>
      <c r="AM561" s="18" t="n"/>
      <c r="AN561" s="18" t="n">
        <v>0</v>
      </c>
      <c r="AO561" s="18" t="n"/>
      <c r="AP561" s="18" t="n"/>
      <c r="AQ561" s="185" t="n"/>
      <c r="AR561" s="186" t="n">
        <f aca="false" ca="false" dt2D="false" dtr="false" t="normal">COUNTIF(AC561:AN561, "&gt;0")</f>
        <v>2</v>
      </c>
      <c r="AU561" s="3" t="n"/>
    </row>
    <row ht="15.75" outlineLevel="0" r="562">
      <c r="A562" s="5" t="n">
        <f aca="false" ca="false" dt2D="false" dtr="false" t="normal">A561+1</f>
        <v>541</v>
      </c>
      <c r="B562" s="6" t="n">
        <f aca="false" ca="false" dt2D="false" dtr="false" t="normal">B561+1</f>
        <v>82</v>
      </c>
      <c r="C562" s="6" t="s">
        <v>177</v>
      </c>
      <c r="D562" s="6" t="s">
        <v>222</v>
      </c>
      <c r="E562" s="164" t="n">
        <v>1989</v>
      </c>
      <c r="F562" s="164" t="n">
        <v>2017</v>
      </c>
      <c r="G562" s="164" t="s">
        <v>4</v>
      </c>
      <c r="H562" s="164" t="n">
        <v>9</v>
      </c>
      <c r="I562" s="164" t="n">
        <v>3</v>
      </c>
      <c r="J562" s="18" t="n">
        <v>8049.4</v>
      </c>
      <c r="K562" s="18" t="n">
        <v>6639.6</v>
      </c>
      <c r="L562" s="18" t="n">
        <v>0</v>
      </c>
      <c r="M562" s="165" t="n">
        <v>284</v>
      </c>
      <c r="N562" s="16" t="n">
        <f aca="false" ca="false" dt2D="false" dtr="false" t="normal">P562+Q562+R562+S562+T562</f>
        <v>2937200.2</v>
      </c>
      <c r="O562" s="18" t="n"/>
      <c r="P562" s="18" t="n">
        <v>0</v>
      </c>
      <c r="Q562" s="18" t="n"/>
      <c r="R562" s="27" t="n">
        <v>1039562.17</v>
      </c>
      <c r="S562" s="27" t="n">
        <v>775901.81</v>
      </c>
      <c r="T562" s="27" t="n">
        <v>1121736.22</v>
      </c>
      <c r="U562" s="18" t="n">
        <v>1291.17205516794</v>
      </c>
      <c r="V562" s="18" t="n">
        <v>1291.17205516794</v>
      </c>
      <c r="W562" s="21" t="n">
        <v>2024</v>
      </c>
      <c r="X562" s="12" t="n"/>
      <c r="Y562" s="3" t="n">
        <f aca="false" ca="false" dt2D="false" dtr="false" t="normal">+(K562*15.35+L562*26.02)*12*0.85</f>
        <v>1039562.172</v>
      </c>
      <c r="Z562" s="3" t="n">
        <f aca="false" ca="false" dt2D="false" dtr="false" t="normal">+(K562*15.35+L562*26.02)*12*30-'[1]Лист1'!$AQ$265</f>
        <v>17137133.91</v>
      </c>
      <c r="AA562" s="3" t="n">
        <f aca="false" ca="false" dt2D="false" dtr="false" t="normal">+N562-AB562</f>
        <v>0</v>
      </c>
      <c r="AB562" s="27" t="n">
        <f aca="false" ca="true" dt2D="false" dtr="false" t="normal">SUBTOTAL(9, AC562:AQ562)</f>
        <v>2937200.2</v>
      </c>
      <c r="AC562" s="17" t="n"/>
      <c r="AD562" s="18" t="n">
        <v>0</v>
      </c>
      <c r="AE562" s="18" t="n">
        <v>2937200.2</v>
      </c>
      <c r="AF562" s="18" t="n"/>
      <c r="AG562" s="18" t="n">
        <v>0</v>
      </c>
      <c r="AH562" s="18" t="n"/>
      <c r="AI562" s="17" t="n"/>
      <c r="AJ562" s="18" t="n">
        <v>0</v>
      </c>
      <c r="AK562" s="18" t="n"/>
      <c r="AL562" s="18" t="n">
        <v>0</v>
      </c>
      <c r="AM562" s="18" t="n"/>
      <c r="AN562" s="18" t="n">
        <v>0</v>
      </c>
      <c r="AO562" s="18" t="n"/>
      <c r="AP562" s="18" t="n"/>
      <c r="AQ562" s="185" t="n"/>
      <c r="AR562" s="186" t="n">
        <f aca="false" ca="false" dt2D="false" dtr="false" t="normal">COUNTIF(AC562:AN562, "&gt;0")</f>
        <v>1</v>
      </c>
      <c r="AU562" s="3" t="n"/>
    </row>
    <row ht="15.75" outlineLevel="0" r="563">
      <c r="A563" s="5" t="n">
        <f aca="false" ca="false" dt2D="false" dtr="false" t="normal">A562+1</f>
        <v>542</v>
      </c>
      <c r="B563" s="6" t="n">
        <f aca="false" ca="false" dt2D="false" dtr="false" t="normal">B562+1</f>
        <v>83</v>
      </c>
      <c r="C563" s="6" t="s">
        <v>177</v>
      </c>
      <c r="D563" s="6" t="s">
        <v>224</v>
      </c>
      <c r="E563" s="164" t="n">
        <v>1994</v>
      </c>
      <c r="F563" s="164" t="n">
        <v>2013</v>
      </c>
      <c r="G563" s="164" t="s">
        <v>4</v>
      </c>
      <c r="H563" s="164" t="n">
        <v>9</v>
      </c>
      <c r="I563" s="164" t="n">
        <v>3</v>
      </c>
      <c r="J563" s="18" t="n">
        <v>7891.7</v>
      </c>
      <c r="K563" s="18" t="n">
        <v>6600.8</v>
      </c>
      <c r="L563" s="18" t="n">
        <v>0</v>
      </c>
      <c r="M563" s="165" t="n">
        <v>291</v>
      </c>
      <c r="N563" s="16" t="n">
        <f aca="false" ca="false" dt2D="false" dtr="false" t="normal">P563+Q563+R563+S563+T563</f>
        <v>2182131.94</v>
      </c>
      <c r="O563" s="18" t="n"/>
      <c r="P563" s="18" t="n">
        <v>0</v>
      </c>
      <c r="Q563" s="18" t="n"/>
      <c r="R563" s="27" t="n">
        <v>1033487.26</v>
      </c>
      <c r="S563" s="27" t="n">
        <v>1148644.68</v>
      </c>
      <c r="T563" s="27" t="n">
        <v>0</v>
      </c>
      <c r="U563" s="18" t="n">
        <v>1911.37085745352</v>
      </c>
      <c r="V563" s="18" t="n">
        <v>1911.37085745352</v>
      </c>
      <c r="W563" s="21" t="n">
        <v>2024</v>
      </c>
      <c r="X563" s="12" t="n"/>
      <c r="Y563" s="3" t="n">
        <f aca="false" ca="false" dt2D="false" dtr="false" t="normal">+(K563*15.35+L563*26.02)*12*0.85</f>
        <v>1033487.2559999998</v>
      </c>
      <c r="Z563" s="3" t="n">
        <f aca="false" ca="false" dt2D="false" dtr="false" t="normal">+(K563*15.35+L563*26.02)*12*30-'[1]Лист1'!$AQ$266</f>
        <v>22282119.61</v>
      </c>
      <c r="AA563" s="3" t="n">
        <f aca="false" ca="false" dt2D="false" dtr="false" t="normal">+N563-AB563</f>
        <v>0</v>
      </c>
      <c r="AB563" s="27" t="n">
        <f aca="false" ca="true" dt2D="false" dtr="false" t="normal">SUBTOTAL(9, AC563:AQ563)</f>
        <v>2182131.94</v>
      </c>
      <c r="AC563" s="17" t="n"/>
      <c r="AD563" s="18" t="n">
        <v>0</v>
      </c>
      <c r="AE563" s="18" t="n">
        <v>2182131.94</v>
      </c>
      <c r="AF563" s="18" t="n"/>
      <c r="AG563" s="18" t="n"/>
      <c r="AH563" s="18" t="n"/>
      <c r="AI563" s="17" t="n"/>
      <c r="AJ563" s="18" t="n">
        <v>0</v>
      </c>
      <c r="AK563" s="18" t="n"/>
      <c r="AL563" s="18" t="n">
        <v>0</v>
      </c>
      <c r="AM563" s="18" t="n"/>
      <c r="AN563" s="18" t="n">
        <v>0</v>
      </c>
      <c r="AO563" s="189" t="n"/>
      <c r="AP563" s="189" t="n"/>
      <c r="AQ563" s="185" t="n"/>
      <c r="AR563" s="186" t="n">
        <f aca="false" ca="false" dt2D="false" dtr="false" t="normal">COUNTIF(AC563:AN563, "&gt;0")</f>
        <v>1</v>
      </c>
      <c r="AU563" s="3" t="n"/>
    </row>
    <row ht="15.75" outlineLevel="0" r="564">
      <c r="A564" s="5" t="n">
        <f aca="false" ca="false" dt2D="false" dtr="false" t="normal">A563+1</f>
        <v>543</v>
      </c>
      <c r="B564" s="6" t="n">
        <f aca="false" ca="false" dt2D="false" dtr="false" t="normal">B563+1</f>
        <v>84</v>
      </c>
      <c r="C564" s="6" t="s">
        <v>177</v>
      </c>
      <c r="D564" s="6" t="s">
        <v>334</v>
      </c>
      <c r="E564" s="164" t="n">
        <v>1985</v>
      </c>
      <c r="F564" s="164" t="n">
        <v>2013</v>
      </c>
      <c r="G564" s="164" t="s">
        <v>4</v>
      </c>
      <c r="H564" s="164" t="n">
        <v>3</v>
      </c>
      <c r="I564" s="164" t="n">
        <v>3</v>
      </c>
      <c r="J564" s="18" t="n">
        <v>1439.1</v>
      </c>
      <c r="K564" s="18" t="n">
        <v>1284.3</v>
      </c>
      <c r="L564" s="18" t="n">
        <v>0</v>
      </c>
      <c r="M564" s="165" t="n">
        <v>55</v>
      </c>
      <c r="N564" s="16" t="n">
        <f aca="false" ca="false" dt2D="false" dtr="false" t="normal">P564+Q564+R564+S564+T564</f>
        <v>4704538.53</v>
      </c>
      <c r="O564" s="18" t="n"/>
      <c r="P564" s="18" t="n">
        <v>329335.78</v>
      </c>
      <c r="Q564" s="18" t="n"/>
      <c r="R564" s="27" t="n">
        <v>162201.77</v>
      </c>
      <c r="S564" s="27" t="n">
        <v>4213000.98</v>
      </c>
      <c r="T564" s="27" t="n">
        <v>0</v>
      </c>
      <c r="U564" s="18" t="n">
        <v>32142.3815804425</v>
      </c>
      <c r="V564" s="18" t="n">
        <v>1262.283020064</v>
      </c>
      <c r="W564" s="21" t="n">
        <v>2024</v>
      </c>
      <c r="X564" s="103" t="n">
        <v>633764.25</v>
      </c>
      <c r="Y564" s="3" t="n">
        <f aca="false" ca="false" dt2D="false" dtr="false" t="normal">+(K564*10.5+L564*21)*12*0.85</f>
        <v>137548.53</v>
      </c>
      <c r="Z564" s="3" t="n">
        <f aca="false" ca="false" dt2D="false" dtr="false" t="normal">+(K564*11.55+L564*23.1)*12*30</f>
        <v>5340119.4</v>
      </c>
      <c r="AA564" s="3" t="n">
        <f aca="false" ca="false" dt2D="false" dtr="false" t="normal">+N564-AB564</f>
        <v>0</v>
      </c>
      <c r="AB564" s="27" t="n">
        <f aca="false" ca="true" dt2D="false" dtr="false" t="normal">SUBTOTAL(9, AC564:AQ564)</f>
        <v>4704538.53</v>
      </c>
      <c r="AC564" s="17" t="n">
        <v>0</v>
      </c>
      <c r="AD564" s="18" t="n">
        <v>0</v>
      </c>
      <c r="AE564" s="18" t="n">
        <v>0</v>
      </c>
      <c r="AF564" s="18" t="n">
        <v>1300691.74</v>
      </c>
      <c r="AG564" s="18" t="n">
        <v>0</v>
      </c>
      <c r="AH564" s="18" t="n"/>
      <c r="AI564" s="17" t="n">
        <v>0</v>
      </c>
      <c r="AJ564" s="18" t="n"/>
      <c r="AK564" s="18" t="n"/>
      <c r="AL564" s="18" t="n">
        <v>0</v>
      </c>
      <c r="AM564" s="18" t="n"/>
      <c r="AN564" s="18" t="n">
        <v>3403846.79</v>
      </c>
      <c r="AO564" s="189" t="n"/>
      <c r="AP564" s="189" t="n"/>
      <c r="AQ564" s="185" t="n"/>
      <c r="AR564" s="186" t="n">
        <f aca="false" ca="false" dt2D="false" dtr="false" t="normal">COUNTIF(AC564:AN564, "&gt;0")</f>
        <v>2</v>
      </c>
      <c r="AU564" s="3" t="n"/>
    </row>
    <row ht="15.75" outlineLevel="0" r="565">
      <c r="A565" s="5" t="n">
        <f aca="false" ca="false" dt2D="false" dtr="false" t="normal">A564+1</f>
        <v>544</v>
      </c>
      <c r="B565" s="6" t="s">
        <v>76</v>
      </c>
      <c r="C565" s="138" t="s">
        <v>177</v>
      </c>
      <c r="D565" s="138" t="s">
        <v>336</v>
      </c>
      <c r="E565" s="139" t="n">
        <v>1973</v>
      </c>
      <c r="F565" s="139" t="n">
        <v>2017</v>
      </c>
      <c r="G565" s="139" t="s">
        <v>4</v>
      </c>
      <c r="H565" s="139" t="n">
        <v>5</v>
      </c>
      <c r="I565" s="139" t="n">
        <v>2</v>
      </c>
      <c r="J565" s="17" t="n">
        <v>2354.6</v>
      </c>
      <c r="K565" s="17" t="n">
        <v>2141.8</v>
      </c>
      <c r="L565" s="17" t="n">
        <v>0</v>
      </c>
      <c r="M565" s="140" t="n">
        <v>99</v>
      </c>
      <c r="N565" s="16" t="n">
        <f aca="false" ca="false" dt2D="false" dtr="false" t="normal">P565+Q565+R565+S565+T565</f>
        <v>1251767.9300000002</v>
      </c>
      <c r="O565" s="17" t="n"/>
      <c r="P565" s="18" t="n">
        <v>0</v>
      </c>
      <c r="Q565" s="18" t="n"/>
      <c r="R565" s="27" t="n">
        <v>265572.58</v>
      </c>
      <c r="S565" s="27" t="n">
        <v>804644.23</v>
      </c>
      <c r="T565" s="27" t="n">
        <v>181551.12</v>
      </c>
      <c r="U565" s="18" t="n">
        <v>2419.65256272879</v>
      </c>
      <c r="V565" s="18" t="n">
        <v>1263.283020064</v>
      </c>
      <c r="W565" s="21" t="n">
        <v>2024</v>
      </c>
      <c r="X565" s="103" t="n">
        <v>1148972.82</v>
      </c>
      <c r="Y565" s="3" t="n">
        <f aca="false" ca="false" dt2D="false" dtr="false" t="normal">+(K565*10.5+L565*21)*12*0.85</f>
        <v>229386.78000000003</v>
      </c>
      <c r="Z565" s="3" t="n">
        <f aca="false" ca="false" dt2D="false" dtr="false" t="normal">+(K565*11.55+L565*23.1)*12*30</f>
        <v>8905604.4</v>
      </c>
      <c r="AA565" s="3" t="n">
        <f aca="false" ca="false" dt2D="false" dtr="false" t="normal">+N565-AB565</f>
        <v>0</v>
      </c>
      <c r="AB565" s="203" t="n">
        <f aca="false" ca="true" dt2D="false" dtr="false" t="normal">SUBTOTAL(9, AC565:AQ565)</f>
        <v>1251767.93</v>
      </c>
      <c r="AC565" s="17" t="n">
        <v>0</v>
      </c>
      <c r="AD565" s="18" t="n">
        <v>0</v>
      </c>
      <c r="AE565" s="18" t="n">
        <v>0</v>
      </c>
      <c r="AF565" s="18" t="n">
        <v>0</v>
      </c>
      <c r="AG565" s="18" t="n">
        <v>0</v>
      </c>
      <c r="AH565" s="18" t="n"/>
      <c r="AI565" s="17" t="n"/>
      <c r="AJ565" s="18" t="n">
        <v>0</v>
      </c>
      <c r="AK565" s="18" t="n">
        <v>0</v>
      </c>
      <c r="AL565" s="18" t="n">
        <v>0</v>
      </c>
      <c r="AM565" s="18" t="n">
        <v>1251767.93</v>
      </c>
      <c r="AN565" s="18" t="n">
        <v>0</v>
      </c>
      <c r="AO565" s="18" t="n"/>
      <c r="AP565" s="18" t="n"/>
      <c r="AQ565" s="191" t="n"/>
      <c r="AR565" s="186" t="n">
        <f aca="false" ca="false" dt2D="false" dtr="false" t="normal">COUNTIF(AC565:AN565, "&gt;0")</f>
        <v>1</v>
      </c>
      <c r="AU565" s="3" t="n"/>
    </row>
    <row ht="15.75" outlineLevel="0" r="566">
      <c r="A566" s="5" t="n">
        <f aca="false" ca="false" dt2D="false" dtr="false" t="normal">A565+1</f>
        <v>545</v>
      </c>
      <c r="B566" s="6" t="n">
        <f aca="false" ca="false" dt2D="false" dtr="false" t="normal">B564+1</f>
        <v>85</v>
      </c>
      <c r="C566" s="138" t="s">
        <v>177</v>
      </c>
      <c r="D566" s="138" t="s">
        <v>229</v>
      </c>
      <c r="E566" s="139" t="n">
        <v>1976</v>
      </c>
      <c r="F566" s="139" t="n">
        <v>2013</v>
      </c>
      <c r="G566" s="139" t="s">
        <v>4</v>
      </c>
      <c r="H566" s="139" t="n">
        <v>4</v>
      </c>
      <c r="I566" s="139" t="n">
        <v>4</v>
      </c>
      <c r="J566" s="17" t="n">
        <v>2991.3</v>
      </c>
      <c r="K566" s="17" t="n">
        <v>2484.4</v>
      </c>
      <c r="L566" s="17" t="n">
        <v>250.6</v>
      </c>
      <c r="M566" s="140" t="n">
        <v>123</v>
      </c>
      <c r="N566" s="16" t="n">
        <f aca="false" ca="false" dt2D="false" dtr="false" t="normal">P566+Q566+R566+S566+T566</f>
        <v>23611626.23</v>
      </c>
      <c r="O566" s="17" t="n"/>
      <c r="P566" s="18" t="n">
        <v>6961839.05</v>
      </c>
      <c r="Q566" s="18" t="n"/>
      <c r="R566" s="27" t="n">
        <v>1727976.59</v>
      </c>
      <c r="S566" s="27" t="n">
        <v>12148650.52</v>
      </c>
      <c r="T566" s="27" t="n">
        <v>2773160.07</v>
      </c>
      <c r="U566" s="18" t="n">
        <v>11900.8983088749</v>
      </c>
      <c r="V566" s="18" t="n">
        <v>1271.283020064</v>
      </c>
      <c r="W566" s="21" t="n">
        <v>2024</v>
      </c>
      <c r="X566" s="1" t="n">
        <f aca="false" ca="false" dt2D="false" dtr="false" t="normal">1676530.68-230063.63</f>
        <v>1446467.0499999998</v>
      </c>
      <c r="Y566" s="3" t="n">
        <f aca="false" ca="false" dt2D="false" dtr="false" t="normal">+(K566*10.5+L566*21)*12*0.85</f>
        <v>319757.75999999995</v>
      </c>
      <c r="Z566" s="3" t="n">
        <f aca="false" ca="false" dt2D="false" dtr="false" t="normal">+(K566*11.55+L566*23.1)*12*30</f>
        <v>12414124.800000003</v>
      </c>
      <c r="AA566" s="3" t="n">
        <f aca="false" ca="false" dt2D="false" dtr="false" t="normal">+N566-AB566</f>
        <v>0</v>
      </c>
      <c r="AB566" s="27" t="n">
        <f aca="false" ca="true" dt2D="false" dtr="false" t="normal">SUBTOTAL(9, AC566:AQ566)</f>
        <v>23611626.23</v>
      </c>
      <c r="AC566" s="17" t="n"/>
      <c r="AD566" s="18" t="n">
        <v>0</v>
      </c>
      <c r="AE566" s="18" t="n">
        <v>0</v>
      </c>
      <c r="AF566" s="18" t="n">
        <v>0</v>
      </c>
      <c r="AG566" s="18" t="n"/>
      <c r="AH566" s="18" t="n"/>
      <c r="AI566" s="17" t="n"/>
      <c r="AJ566" s="18" t="n">
        <v>0</v>
      </c>
      <c r="AK566" s="18" t="n">
        <v>15371677.14</v>
      </c>
      <c r="AL566" s="18" t="n">
        <v>0</v>
      </c>
      <c r="AM566" s="18" t="n">
        <v>0</v>
      </c>
      <c r="AN566" s="18" t="n">
        <v>8239949.09</v>
      </c>
      <c r="AO566" s="18" t="n"/>
      <c r="AP566" s="18" t="n"/>
      <c r="AQ566" s="191" t="n"/>
      <c r="AR566" s="186" t="n">
        <f aca="false" ca="false" dt2D="false" dtr="false" t="normal">COUNTIF(AC566:AN566, "&gt;0")</f>
        <v>2</v>
      </c>
      <c r="AU566" s="3" t="n"/>
    </row>
    <row customFormat="true" ht="15.75" outlineLevel="0" r="567" s="184">
      <c r="A567" s="5" t="n">
        <f aca="false" ca="false" dt2D="false" dtr="false" t="normal">A566+1</f>
        <v>546</v>
      </c>
      <c r="B567" s="6" t="n">
        <f aca="false" ca="false" dt2D="false" dtr="false" t="normal">B566+1</f>
        <v>86</v>
      </c>
      <c r="C567" s="138" t="s">
        <v>177</v>
      </c>
      <c r="D567" s="138" t="s">
        <v>339</v>
      </c>
      <c r="E567" s="139" t="s">
        <v>340</v>
      </c>
      <c r="F567" s="139" t="n"/>
      <c r="G567" s="139" t="s">
        <v>4</v>
      </c>
      <c r="H567" s="139" t="s">
        <v>165</v>
      </c>
      <c r="I567" s="139" t="s">
        <v>159</v>
      </c>
      <c r="J567" s="17" t="n">
        <v>4021.68</v>
      </c>
      <c r="K567" s="17" t="n">
        <v>3212.2</v>
      </c>
      <c r="L567" s="17" t="n">
        <v>201.5</v>
      </c>
      <c r="M567" s="140" t="n">
        <v>152</v>
      </c>
      <c r="N567" s="16" t="n">
        <f aca="false" ca="false" dt2D="false" dtr="false" t="normal">P567+Q567+R567+S567+T567</f>
        <v>2358235.9699999997</v>
      </c>
      <c r="O567" s="17" t="n">
        <v>0</v>
      </c>
      <c r="P567" s="18" t="n">
        <v>0</v>
      </c>
      <c r="Q567" s="18" t="n"/>
      <c r="R567" s="27" t="n">
        <v>354561.98</v>
      </c>
      <c r="S567" s="27" t="n">
        <v>2003673.99</v>
      </c>
      <c r="T567" s="27" t="n">
        <v>0</v>
      </c>
      <c r="U567" s="18" t="n">
        <v>2065.77010036384</v>
      </c>
      <c r="V567" s="18" t="n">
        <v>1274.283020064</v>
      </c>
      <c r="W567" s="21" t="n">
        <v>2024</v>
      </c>
      <c r="X567" s="103" t="n"/>
      <c r="Y567" s="3" t="n">
        <f aca="false" ca="false" dt2D="false" dtr="false" t="normal">+(K567*11.55+L567*23.1)*12*0.85</f>
        <v>425906.71200000006</v>
      </c>
      <c r="Z567" s="3" t="n">
        <f aca="false" ca="false" dt2D="false" dtr="false" t="normal">+(K567*11.55+L567*23.1)*12*30-'[1]Лист1'!$AQ$270</f>
        <v>6069165.180000003</v>
      </c>
      <c r="AA567" s="3" t="n">
        <f aca="false" ca="false" dt2D="false" dtr="false" t="normal">+N567-AB567</f>
        <v>0</v>
      </c>
      <c r="AB567" s="27" t="n">
        <f aca="false" ca="true" dt2D="false" dtr="false" t="normal">SUBTOTAL(9, AC567:AQ567)</f>
        <v>2358235.97</v>
      </c>
      <c r="AC567" s="17" t="n"/>
      <c r="AD567" s="18" t="n"/>
      <c r="AE567" s="18" t="n"/>
      <c r="AF567" s="18" t="n">
        <v>2358235.97</v>
      </c>
      <c r="AG567" s="18" t="n"/>
      <c r="AH567" s="18" t="n"/>
      <c r="AI567" s="17" t="n"/>
      <c r="AJ567" s="18" t="n">
        <v>0</v>
      </c>
      <c r="AK567" s="18" t="n"/>
      <c r="AL567" s="18" t="n">
        <v>0</v>
      </c>
      <c r="AM567" s="18" t="n">
        <v>0</v>
      </c>
      <c r="AN567" s="18" t="n">
        <v>0</v>
      </c>
      <c r="AO567" s="189" t="n"/>
      <c r="AP567" s="189" t="n"/>
      <c r="AQ567" s="185" t="n"/>
      <c r="AR567" s="186" t="n">
        <f aca="false" ca="false" dt2D="false" dtr="false" t="normal">COUNTIF(AC567:AN567, "&gt;0")</f>
        <v>1</v>
      </c>
      <c r="AT567" s="187" t="n"/>
      <c r="AU567" s="3" t="n"/>
    </row>
    <row customFormat="true" ht="15.75" outlineLevel="0" r="568" s="184">
      <c r="A568" s="5" t="n">
        <f aca="false" ca="false" dt2D="false" dtr="false" t="normal">A567+1</f>
        <v>547</v>
      </c>
      <c r="B568" s="6" t="n">
        <f aca="false" ca="false" dt2D="false" dtr="false" t="normal">B567+1</f>
        <v>87</v>
      </c>
      <c r="C568" s="138" t="s">
        <v>177</v>
      </c>
      <c r="D568" s="138" t="s">
        <v>342</v>
      </c>
      <c r="E568" s="139" t="s">
        <v>343</v>
      </c>
      <c r="F568" s="139" t="n"/>
      <c r="G568" s="139" t="s">
        <v>4</v>
      </c>
      <c r="H568" s="139" t="s">
        <v>159</v>
      </c>
      <c r="I568" s="139" t="s">
        <v>159</v>
      </c>
      <c r="J568" s="17" t="n">
        <v>3131.3</v>
      </c>
      <c r="K568" s="17" t="n">
        <v>2721.1</v>
      </c>
      <c r="L568" s="17" t="n">
        <v>64.9</v>
      </c>
      <c r="M568" s="140" t="n">
        <v>113</v>
      </c>
      <c r="N568" s="16" t="n">
        <f aca="false" ca="false" dt2D="false" dtr="false" t="normal">P568+Q568+R568+S568+T568</f>
        <v>27033583.939999998</v>
      </c>
      <c r="O568" s="17" t="n">
        <v>0</v>
      </c>
      <c r="P568" s="18" t="n">
        <v>13430935.5</v>
      </c>
      <c r="Q568" s="18" t="n"/>
      <c r="R568" s="27" t="n">
        <v>847751.2</v>
      </c>
      <c r="S568" s="27" t="n">
        <v>9075432.1</v>
      </c>
      <c r="T568" s="27" t="n">
        <v>3679465.14</v>
      </c>
      <c r="U568" s="18" t="n">
        <v>13452.1822694802</v>
      </c>
      <c r="V568" s="18" t="n">
        <v>1276.283020064</v>
      </c>
      <c r="W568" s="21" t="n">
        <v>2024</v>
      </c>
      <c r="X568" s="103" t="n">
        <v>961493.23</v>
      </c>
      <c r="Y568" s="3" t="n">
        <f aca="false" ca="false" dt2D="false" dtr="false" t="normal">+(K568*11.55+L568*23.1)*12*0.85</f>
        <v>335864.52900000004</v>
      </c>
      <c r="Z568" s="3" t="n">
        <f aca="false" ca="false" dt2D="false" dtr="false" t="normal">+(K568*11.55+L568*23.1)*12*30</f>
        <v>11854042.200000001</v>
      </c>
      <c r="AA568" s="3" t="n">
        <f aca="false" ca="false" dt2D="false" dtr="false" t="normal">+N568-AB568</f>
        <v>0</v>
      </c>
      <c r="AB568" s="27" t="n">
        <f aca="false" ca="true" dt2D="false" dtr="false" t="normal">SUBTOTAL(9, AC568:AQ568)</f>
        <v>27033583.94</v>
      </c>
      <c r="AC568" s="17" t="n"/>
      <c r="AD568" s="18" t="n"/>
      <c r="AE568" s="18" t="n">
        <v>1525309.8</v>
      </c>
      <c r="AF568" s="18" t="n">
        <v>978506.55</v>
      </c>
      <c r="AG568" s="18" t="n"/>
      <c r="AH568" s="18" t="n"/>
      <c r="AI568" s="17" t="n"/>
      <c r="AJ568" s="18" t="n"/>
      <c r="AK568" s="18" t="n"/>
      <c r="AL568" s="18" t="n"/>
      <c r="AM568" s="18" t="n">
        <v>16575676.34</v>
      </c>
      <c r="AN568" s="18" t="n">
        <v>7954091.25</v>
      </c>
      <c r="AO568" s="189" t="n"/>
      <c r="AP568" s="189" t="n"/>
      <c r="AQ568" s="185" t="n"/>
      <c r="AR568" s="186" t="n">
        <f aca="false" ca="false" dt2D="false" dtr="false" t="normal">COUNTIF(AC568:AN568, "&gt;0")</f>
        <v>4</v>
      </c>
      <c r="AT568" s="187" t="n"/>
      <c r="AU568" s="3" t="n"/>
    </row>
    <row ht="15.75" outlineLevel="0" r="569">
      <c r="A569" s="5" t="n">
        <f aca="false" ca="false" dt2D="false" dtr="false" t="normal">A568+1</f>
        <v>548</v>
      </c>
      <c r="B569" s="6" t="n">
        <f aca="false" ca="false" dt2D="false" dtr="false" t="normal">B568+1</f>
        <v>88</v>
      </c>
      <c r="C569" s="138" t="s">
        <v>177</v>
      </c>
      <c r="D569" s="138" t="s">
        <v>344</v>
      </c>
      <c r="E569" s="139" t="n">
        <v>1978</v>
      </c>
      <c r="F569" s="139" t="n">
        <v>2012</v>
      </c>
      <c r="G569" s="139" t="s">
        <v>4</v>
      </c>
      <c r="H569" s="139" t="n">
        <v>4</v>
      </c>
      <c r="I569" s="139" t="n">
        <v>6</v>
      </c>
      <c r="J569" s="17" t="n">
        <v>5689.4</v>
      </c>
      <c r="K569" s="17" t="n">
        <v>4976.8</v>
      </c>
      <c r="L569" s="17" t="n">
        <v>71.5</v>
      </c>
      <c r="M569" s="140" t="n">
        <v>227</v>
      </c>
      <c r="N569" s="16" t="n">
        <f aca="false" ca="false" dt2D="false" dtr="false" t="normal">P569+Q569+R569+S569+T569</f>
        <v>1841732.95</v>
      </c>
      <c r="O569" s="17" t="n"/>
      <c r="P569" s="18" t="n">
        <v>0</v>
      </c>
      <c r="Q569" s="18" t="n"/>
      <c r="R569" s="27" t="n">
        <v>1841732.95</v>
      </c>
      <c r="S569" s="27" t="n">
        <v>0</v>
      </c>
      <c r="T569" s="27" t="n">
        <v>0</v>
      </c>
      <c r="U569" s="18" t="n">
        <v>414.39664453665</v>
      </c>
      <c r="V569" s="18" t="n">
        <v>1265.283020064</v>
      </c>
      <c r="W569" s="21" t="n">
        <v>2024</v>
      </c>
      <c r="X569" s="103" t="n">
        <v>3572953.42</v>
      </c>
      <c r="Y569" s="3" t="n">
        <f aca="false" ca="false" dt2D="false" dtr="false" t="normal">+(K569*11.55+L569*23.1)*12*0.85</f>
        <v>603163.6380000002</v>
      </c>
      <c r="Z569" s="3" t="n">
        <f aca="false" ca="false" dt2D="false" dtr="false" t="normal">+(K569*11.55+L569*23.1)*12*30</f>
        <v>21288128.400000006</v>
      </c>
      <c r="AA569" s="3" t="n">
        <f aca="false" ca="false" dt2D="false" dtr="false" t="normal">+N569-AB569</f>
        <v>0</v>
      </c>
      <c r="AB569" s="27" t="n">
        <f aca="false" ca="true" dt2D="false" dtr="false" t="normal">SUBTOTAL(9, AC569:AQ569)</f>
        <v>1841732.95</v>
      </c>
      <c r="AC569" s="17" t="n">
        <v>0</v>
      </c>
      <c r="AD569" s="18" t="n">
        <v>0</v>
      </c>
      <c r="AE569" s="18" t="n">
        <v>0</v>
      </c>
      <c r="AF569" s="18" t="n">
        <v>0</v>
      </c>
      <c r="AG569" s="18" t="n">
        <v>1841732.95</v>
      </c>
      <c r="AH569" s="18" t="n"/>
      <c r="AI569" s="17" t="n"/>
      <c r="AJ569" s="18" t="n">
        <v>0</v>
      </c>
      <c r="AK569" s="18" t="n">
        <v>0</v>
      </c>
      <c r="AL569" s="18" t="n">
        <v>0</v>
      </c>
      <c r="AM569" s="18" t="n">
        <v>0</v>
      </c>
      <c r="AN569" s="18" t="n">
        <v>0</v>
      </c>
      <c r="AO569" s="18" t="n"/>
      <c r="AP569" s="18" t="n"/>
      <c r="AQ569" s="185" t="n"/>
      <c r="AR569" s="186" t="n">
        <f aca="false" ca="false" dt2D="false" dtr="false" t="normal">COUNTIF(AC569:AN569, "&gt;0")</f>
        <v>1</v>
      </c>
      <c r="AU569" s="3" t="n"/>
    </row>
    <row ht="15.75" outlineLevel="0" r="570">
      <c r="A570" s="5" t="n">
        <f aca="false" ca="false" dt2D="false" dtr="false" t="normal">A569+1</f>
        <v>549</v>
      </c>
      <c r="B570" s="6" t="n">
        <f aca="false" ca="false" dt2D="false" dtr="false" t="normal">B569+1</f>
        <v>89</v>
      </c>
      <c r="C570" s="138" t="s">
        <v>177</v>
      </c>
      <c r="D570" s="138" t="s">
        <v>345</v>
      </c>
      <c r="E570" s="139" t="n">
        <v>1974</v>
      </c>
      <c r="F570" s="139" t="n">
        <v>2013</v>
      </c>
      <c r="G570" s="139" t="s">
        <v>4</v>
      </c>
      <c r="H570" s="139" t="n">
        <v>4</v>
      </c>
      <c r="I570" s="139" t="n">
        <v>4</v>
      </c>
      <c r="J570" s="17" t="n">
        <v>4783.36</v>
      </c>
      <c r="K570" s="17" t="n">
        <v>3510.2</v>
      </c>
      <c r="L570" s="17" t="n">
        <v>0</v>
      </c>
      <c r="M570" s="140" t="n">
        <v>164</v>
      </c>
      <c r="N570" s="16" t="n">
        <f aca="false" ca="false" dt2D="false" dtr="false" t="normal">P570+Q570+R570+S570+T570</f>
        <v>8368081.3100000005</v>
      </c>
      <c r="O570" s="17" t="n"/>
      <c r="P570" s="18" t="n">
        <v>0</v>
      </c>
      <c r="Q570" s="18" t="n"/>
      <c r="R570" s="27" t="n">
        <v>889176.28</v>
      </c>
      <c r="S570" s="27" t="n">
        <v>7478905.03</v>
      </c>
      <c r="T570" s="27" t="n">
        <v>0</v>
      </c>
      <c r="U570" s="18" t="n">
        <v>2481.17463703493</v>
      </c>
      <c r="V570" s="18" t="n">
        <v>1266.283020064</v>
      </c>
      <c r="W570" s="21" t="n">
        <v>2024</v>
      </c>
      <c r="X570" s="12" t="n">
        <f aca="false" ca="false" dt2D="false" dtr="false" t="normal">2096998.22-R252</f>
        <v>1475402.5699999998</v>
      </c>
      <c r="Y570" s="3" t="n">
        <f aca="false" ca="false" dt2D="false" dtr="false" t="normal">+(K570*10.5+L570*21)*12*0.85</f>
        <v>375942.4199999999</v>
      </c>
      <c r="Z570" s="3" t="n">
        <f aca="false" ca="false" dt2D="false" dtr="false" t="normal">+(K570*11.55+L570*23.1)*12*30</f>
        <v>14595411.6</v>
      </c>
      <c r="AA570" s="3" t="n">
        <f aca="false" ca="false" dt2D="false" dtr="false" t="normal">+N570-AB570</f>
        <v>0</v>
      </c>
      <c r="AB570" s="27" t="n">
        <f aca="false" ca="true" dt2D="false" dtr="false" t="normal">SUBTOTAL(9, AC570:AQ570)</f>
        <v>8368081.31</v>
      </c>
      <c r="AC570" s="17" t="n">
        <v>0</v>
      </c>
      <c r="AD570" s="18" t="n">
        <v>0</v>
      </c>
      <c r="AE570" s="18" t="n">
        <v>0</v>
      </c>
      <c r="AF570" s="18" t="n">
        <v>0</v>
      </c>
      <c r="AG570" s="18" t="n"/>
      <c r="AH570" s="18" t="n"/>
      <c r="AI570" s="17" t="n"/>
      <c r="AJ570" s="18" t="n"/>
      <c r="AK570" s="18" t="n"/>
      <c r="AL570" s="18" t="n"/>
      <c r="AM570" s="18" t="n"/>
      <c r="AN570" s="18" t="n">
        <v>8368081.31</v>
      </c>
      <c r="AO570" s="189" t="n"/>
      <c r="AP570" s="189" t="n"/>
      <c r="AQ570" s="185" t="n"/>
      <c r="AR570" s="186" t="n">
        <f aca="false" ca="false" dt2D="false" dtr="false" t="normal">COUNTIF(AC570:AN570, "&gt;0")</f>
        <v>1</v>
      </c>
      <c r="AU570" s="3" t="n"/>
    </row>
    <row customFormat="true" ht="15.75" outlineLevel="0" r="571" s="184">
      <c r="A571" s="5" t="n">
        <f aca="false" ca="false" dt2D="false" dtr="false" t="normal">A570+1</f>
        <v>550</v>
      </c>
      <c r="B571" s="6" t="n">
        <f aca="false" ca="false" dt2D="false" dtr="false" t="normal">B570+1</f>
        <v>90</v>
      </c>
      <c r="C571" s="138" t="s">
        <v>177</v>
      </c>
      <c r="D571" s="138" t="s">
        <v>346</v>
      </c>
      <c r="E571" s="139" t="s">
        <v>347</v>
      </c>
      <c r="F571" s="139" t="n"/>
      <c r="G571" s="139" t="s">
        <v>4</v>
      </c>
      <c r="H571" s="139" t="s">
        <v>159</v>
      </c>
      <c r="I571" s="139" t="s">
        <v>5</v>
      </c>
      <c r="J571" s="17" t="n">
        <v>1276.4</v>
      </c>
      <c r="K571" s="17" t="n">
        <v>1181.5</v>
      </c>
      <c r="L571" s="17" t="n">
        <v>48.4</v>
      </c>
      <c r="M571" s="140" t="n">
        <v>69</v>
      </c>
      <c r="N571" s="16" t="n">
        <f aca="false" ca="false" dt2D="false" dtr="false" t="normal">P571+Q571+R571+S571+T571</f>
        <v>9428594.129999999</v>
      </c>
      <c r="O571" s="17" t="n">
        <v>0</v>
      </c>
      <c r="P571" s="18" t="n">
        <v>7204025.1</v>
      </c>
      <c r="Q571" s="18" t="n"/>
      <c r="R571" s="27" t="n">
        <v>57870.4</v>
      </c>
      <c r="S571" s="27" t="n">
        <v>752409.51</v>
      </c>
      <c r="T571" s="27" t="n">
        <v>1414289.12</v>
      </c>
      <c r="U571" s="18" t="n">
        <v>16969.400865557</v>
      </c>
      <c r="V571" s="18" t="n">
        <v>1267.283020064</v>
      </c>
      <c r="W571" s="21" t="n">
        <v>2024</v>
      </c>
      <c r="X571" s="103" t="n"/>
      <c r="Y571" s="3" t="n">
        <f aca="false" ca="false" dt2D="false" dtr="false" t="normal">+(K571*11.55+L571*23.1)*12*0.85</f>
        <v>150596.523</v>
      </c>
      <c r="Z571" s="3" t="n">
        <f aca="false" ca="false" dt2D="false" dtr="false" t="normal">+(K571*11.55+L571*23.1)*12*30-'[1]Лист1'!$AQ$277</f>
        <v>531065.0600000005</v>
      </c>
      <c r="AA571" s="3" t="n">
        <f aca="false" ca="false" dt2D="false" dtr="false" t="normal">+N571-AB571</f>
        <v>0</v>
      </c>
      <c r="AB571" s="27" t="n">
        <f aca="false" ca="true" dt2D="false" dtr="false" t="normal">SUBTOTAL(9, AC571:AQ571)</f>
        <v>9428594.13</v>
      </c>
      <c r="AC571" s="17" t="n"/>
      <c r="AD571" s="18" t="n"/>
      <c r="AE571" s="18" t="n"/>
      <c r="AF571" s="18" t="n"/>
      <c r="AG571" s="18" t="n"/>
      <c r="AH571" s="18" t="n"/>
      <c r="AI571" s="17" t="n"/>
      <c r="AJ571" s="18" t="n">
        <v>0</v>
      </c>
      <c r="AK571" s="18" t="n"/>
      <c r="AL571" s="18" t="n">
        <v>0</v>
      </c>
      <c r="AM571" s="18" t="n">
        <v>9428594.13</v>
      </c>
      <c r="AN571" s="18" t="n"/>
      <c r="AO571" s="189" t="n"/>
      <c r="AP571" s="189" t="n"/>
      <c r="AQ571" s="185" t="n"/>
      <c r="AR571" s="186" t="n">
        <f aca="false" ca="false" dt2D="false" dtr="false" t="normal">COUNTIF(AC571:AN571, "&gt;0")</f>
        <v>1</v>
      </c>
      <c r="AT571" s="187" t="n"/>
      <c r="AU571" s="3" t="n"/>
    </row>
    <row ht="15.75" outlineLevel="0" r="572">
      <c r="A572" s="5" t="n">
        <f aca="false" ca="false" dt2D="false" dtr="false" t="normal">A571+1</f>
        <v>551</v>
      </c>
      <c r="B572" s="6" t="n">
        <f aca="false" ca="false" dt2D="false" dtr="false" t="normal">B571+1</f>
        <v>91</v>
      </c>
      <c r="C572" s="138" t="s">
        <v>177</v>
      </c>
      <c r="D572" s="138" t="s">
        <v>348</v>
      </c>
      <c r="E572" s="139" t="n">
        <v>1976</v>
      </c>
      <c r="F572" s="139" t="n">
        <v>2005</v>
      </c>
      <c r="G572" s="139" t="s">
        <v>4</v>
      </c>
      <c r="H572" s="139" t="n">
        <v>5</v>
      </c>
      <c r="I572" s="139" t="n">
        <v>6</v>
      </c>
      <c r="J572" s="17" t="n">
        <v>3918.8</v>
      </c>
      <c r="K572" s="17" t="n">
        <v>3433.8</v>
      </c>
      <c r="L572" s="17" t="n">
        <v>0</v>
      </c>
      <c r="M572" s="140" t="n">
        <v>155</v>
      </c>
      <c r="N572" s="16" t="n">
        <f aca="false" ca="false" dt2D="false" dtr="false" t="normal">P572+Q572+R572+S572+T572</f>
        <v>1488237.82</v>
      </c>
      <c r="O572" s="17" t="n"/>
      <c r="P572" s="18" t="n">
        <v>0</v>
      </c>
      <c r="Q572" s="18" t="n"/>
      <c r="R572" s="27" t="n">
        <v>1488237.82</v>
      </c>
      <c r="S572" s="27" t="n">
        <v>0</v>
      </c>
      <c r="T572" s="27" t="n">
        <v>0</v>
      </c>
      <c r="U572" s="18" t="n">
        <v>317.544124759741</v>
      </c>
      <c r="V572" s="18" t="n">
        <v>1269.283020064</v>
      </c>
      <c r="W572" s="21" t="n">
        <v>2024</v>
      </c>
      <c r="X572" s="1" t="n">
        <f aca="false" ca="false" dt2D="false" dtr="false" t="normal">2119160.71-846033</f>
        <v>1273127.71</v>
      </c>
      <c r="Y572" s="3" t="n">
        <f aca="false" ca="false" dt2D="false" dtr="false" t="normal">+(K572*10.5+L572*21)*12*0.85</f>
        <v>367759.98000000004</v>
      </c>
      <c r="Z572" s="3" t="n">
        <f aca="false" ca="false" dt2D="false" dtr="false" t="normal">+(K572*11.55+L572*23.1)*12*30</f>
        <v>14277740.400000002</v>
      </c>
      <c r="AA572" s="3" t="n">
        <f aca="false" ca="false" dt2D="false" dtr="false" t="normal">+N572-AB572</f>
        <v>0</v>
      </c>
      <c r="AB572" s="27" t="n">
        <f aca="false" ca="true" dt2D="false" dtr="false" t="normal">SUBTOTAL(9, AC572:AQ572)</f>
        <v>1488237.82</v>
      </c>
      <c r="AC572" s="17" t="n">
        <v>0</v>
      </c>
      <c r="AD572" s="18" t="n">
        <v>0</v>
      </c>
      <c r="AE572" s="18" t="n">
        <v>0</v>
      </c>
      <c r="AF572" s="18" t="n">
        <v>0</v>
      </c>
      <c r="AG572" s="18" t="n">
        <v>1488237.82</v>
      </c>
      <c r="AH572" s="18" t="n"/>
      <c r="AI572" s="17" t="n"/>
      <c r="AJ572" s="18" t="n">
        <v>0</v>
      </c>
      <c r="AK572" s="18" t="n">
        <v>0</v>
      </c>
      <c r="AL572" s="18" t="n">
        <v>0</v>
      </c>
      <c r="AM572" s="18" t="n">
        <v>0</v>
      </c>
      <c r="AN572" s="18" t="n">
        <v>0</v>
      </c>
      <c r="AO572" s="18" t="n"/>
      <c r="AP572" s="18" t="n"/>
      <c r="AQ572" s="185" t="n"/>
      <c r="AR572" s="186" t="n">
        <f aca="false" ca="false" dt2D="false" dtr="false" t="normal">COUNTIF(AC572:AN572, "&gt;0")</f>
        <v>1</v>
      </c>
      <c r="AU572" s="3" t="n"/>
    </row>
    <row ht="15.75" outlineLevel="0" r="573">
      <c r="A573" s="5" t="n">
        <f aca="false" ca="false" dt2D="false" dtr="false" t="normal">A572+1</f>
        <v>552</v>
      </c>
      <c r="B573" s="6" t="n">
        <f aca="false" ca="false" dt2D="false" dtr="false" t="normal">B572+1</f>
        <v>92</v>
      </c>
      <c r="C573" s="138" t="s">
        <v>177</v>
      </c>
      <c r="D573" s="138" t="s">
        <v>349</v>
      </c>
      <c r="E573" s="139" t="n">
        <v>1970</v>
      </c>
      <c r="F573" s="139" t="n">
        <v>2017</v>
      </c>
      <c r="G573" s="139" t="s">
        <v>4</v>
      </c>
      <c r="H573" s="139" t="n">
        <v>5</v>
      </c>
      <c r="I573" s="139" t="n">
        <v>2</v>
      </c>
      <c r="J573" s="17" t="n">
        <v>1774.6</v>
      </c>
      <c r="K573" s="17" t="n">
        <v>1596.4</v>
      </c>
      <c r="L573" s="17" t="n">
        <v>0</v>
      </c>
      <c r="M573" s="140" t="n">
        <v>68</v>
      </c>
      <c r="N573" s="16" t="n">
        <f aca="false" ca="false" dt2D="false" dtr="false" t="normal">P573+Q573+R573+S573+T573</f>
        <v>2839949</v>
      </c>
      <c r="O573" s="17" t="n"/>
      <c r="P573" s="18" t="n">
        <v>0</v>
      </c>
      <c r="Q573" s="18" t="n"/>
      <c r="R573" s="27" t="n">
        <v>304916.26</v>
      </c>
      <c r="S573" s="27" t="n">
        <v>2535032.74</v>
      </c>
      <c r="T573" s="27" t="n">
        <v>0</v>
      </c>
      <c r="U573" s="18" t="n">
        <v>3719.15477172051</v>
      </c>
      <c r="V573" s="18" t="n">
        <v>1272.283020064</v>
      </c>
      <c r="W573" s="21" t="n">
        <v>2024</v>
      </c>
      <c r="X573" s="3" t="n">
        <f aca="false" ca="false" dt2D="false" dtr="false" t="normal">+'[1]Лист1'!$BC$280</f>
        <v>59734.07</v>
      </c>
      <c r="Y573" s="3" t="n">
        <f aca="false" ca="false" dt2D="false" dtr="false" t="normal">+(K573*11.55+L573*23.1)*12*0.85</f>
        <v>188071.88400000002</v>
      </c>
      <c r="Z573" s="3" t="n">
        <f aca="false" ca="false" dt2D="false" dtr="false" t="normal">+(K573*11.55+L573*23.1)*12*30</f>
        <v>6637831.200000001</v>
      </c>
      <c r="AA573" s="3" t="n">
        <f aca="false" ca="false" dt2D="false" dtr="false" t="normal">+N573-AB573</f>
        <v>0</v>
      </c>
      <c r="AB573" s="27" t="n">
        <f aca="false" ca="true" dt2D="false" dtr="false" t="normal">SUBTOTAL(9, AC573:AQ573)</f>
        <v>2839949</v>
      </c>
      <c r="AC573" s="17" t="n">
        <v>2839949</v>
      </c>
      <c r="AD573" s="18" t="n"/>
      <c r="AE573" s="18" t="n">
        <v>0</v>
      </c>
      <c r="AF573" s="18" t="n">
        <v>0</v>
      </c>
      <c r="AG573" s="18" t="n"/>
      <c r="AH573" s="18" t="n"/>
      <c r="AI573" s="17" t="n"/>
      <c r="AJ573" s="18" t="n">
        <v>0</v>
      </c>
      <c r="AK573" s="18" t="n">
        <v>0</v>
      </c>
      <c r="AL573" s="18" t="n">
        <v>0</v>
      </c>
      <c r="AM573" s="18" t="n">
        <v>0</v>
      </c>
      <c r="AN573" s="18" t="n">
        <v>0</v>
      </c>
      <c r="AO573" s="189" t="n"/>
      <c r="AP573" s="18" t="n"/>
      <c r="AQ573" s="191" t="n"/>
      <c r="AR573" s="186" t="n">
        <f aca="false" ca="false" dt2D="false" dtr="false" t="normal">COUNTIF(AC573:AN573, "&gt;0")</f>
        <v>1</v>
      </c>
      <c r="AU573" s="3" t="n"/>
    </row>
    <row customFormat="true" ht="15.75" outlineLevel="0" r="574" s="184">
      <c r="A574" s="5" t="n">
        <f aca="false" ca="false" dt2D="false" dtr="false" t="normal">A573+1</f>
        <v>553</v>
      </c>
      <c r="B574" s="6" t="n">
        <f aca="false" ca="false" dt2D="false" dtr="false" t="normal">B573+1</f>
        <v>93</v>
      </c>
      <c r="C574" s="138" t="s">
        <v>177</v>
      </c>
      <c r="D574" s="138" t="s">
        <v>352</v>
      </c>
      <c r="E574" s="139" t="s">
        <v>353</v>
      </c>
      <c r="F574" s="139" t="n"/>
      <c r="G574" s="139" t="s">
        <v>4</v>
      </c>
      <c r="H574" s="139" t="s">
        <v>159</v>
      </c>
      <c r="I574" s="139" t="s">
        <v>159</v>
      </c>
      <c r="J574" s="17" t="n">
        <v>3893.1</v>
      </c>
      <c r="K574" s="17" t="n">
        <v>3553.5</v>
      </c>
      <c r="L574" s="17" t="n">
        <v>0</v>
      </c>
      <c r="M574" s="140" t="n">
        <v>150</v>
      </c>
      <c r="N574" s="16" t="n">
        <f aca="false" ca="false" dt2D="false" dtr="false" t="normal">P574+Q574+R574+S574+T574</f>
        <v>12030529.280000001</v>
      </c>
      <c r="O574" s="17" t="n">
        <v>0</v>
      </c>
      <c r="P574" s="18" t="n">
        <v>7397167.36</v>
      </c>
      <c r="Q574" s="18" t="n"/>
      <c r="R574" s="27" t="n">
        <v>255443.21</v>
      </c>
      <c r="S574" s="27" t="n">
        <v>2728597.91</v>
      </c>
      <c r="T574" s="27" t="n">
        <v>1649320.8</v>
      </c>
      <c r="U574" s="18" t="n">
        <v>17913.0210460528</v>
      </c>
      <c r="V574" s="18" t="n">
        <v>1273.283020064</v>
      </c>
      <c r="W574" s="21" t="n">
        <v>2024</v>
      </c>
      <c r="X574" s="103" t="n">
        <v>1198086.63</v>
      </c>
      <c r="Y574" s="3" t="n">
        <f aca="false" ca="false" dt2D="false" dtr="false" t="normal">+(K574*10.5+L574*21)*12*0.85</f>
        <v>380579.85</v>
      </c>
      <c r="Z574" s="3" t="n">
        <f aca="false" ca="false" dt2D="false" dtr="false" t="normal">+(K574*11.55+L574*23.1)*12*30</f>
        <v>14775453.000000002</v>
      </c>
      <c r="AA574" s="3" t="n">
        <f aca="false" ca="false" dt2D="false" dtr="false" t="normal">+N574-AB574</f>
        <v>0</v>
      </c>
      <c r="AB574" s="27" t="n">
        <f aca="false" ca="true" dt2D="false" dtr="false" t="normal">SUBTOTAL(9, AC574:AQ574)</f>
        <v>12030529.280000001</v>
      </c>
      <c r="AC574" s="17" t="n">
        <v>7206473.96</v>
      </c>
      <c r="AD574" s="18" t="n">
        <v>2577139.2</v>
      </c>
      <c r="AE574" s="18" t="n"/>
      <c r="AF574" s="18" t="n">
        <v>2246916.12</v>
      </c>
      <c r="AG574" s="18" t="n"/>
      <c r="AH574" s="18" t="n"/>
      <c r="AI574" s="17" t="n"/>
      <c r="AJ574" s="18" t="n"/>
      <c r="AK574" s="18" t="n"/>
      <c r="AL574" s="18" t="n"/>
      <c r="AM574" s="18" t="n"/>
      <c r="AN574" s="18" t="n"/>
      <c r="AO574" s="189" t="n"/>
      <c r="AP574" s="189" t="n"/>
      <c r="AQ574" s="185" t="n"/>
      <c r="AR574" s="186" t="n">
        <f aca="false" ca="false" dt2D="false" dtr="false" t="normal">COUNTIF(AC574:AN574, "&gt;0")</f>
        <v>3</v>
      </c>
      <c r="AT574" s="187" t="n"/>
      <c r="AU574" s="3" t="n"/>
    </row>
    <row ht="15.75" outlineLevel="0" r="575">
      <c r="A575" s="5" t="n">
        <f aca="false" ca="false" dt2D="false" dtr="false" t="normal">A574+1</f>
        <v>554</v>
      </c>
      <c r="B575" s="6" t="n">
        <f aca="false" ca="false" dt2D="false" dtr="false" t="normal">B574+1</f>
        <v>94</v>
      </c>
      <c r="C575" s="138" t="s">
        <v>177</v>
      </c>
      <c r="D575" s="138" t="s">
        <v>233</v>
      </c>
      <c r="E575" s="139" t="n">
        <v>1974</v>
      </c>
      <c r="F575" s="139" t="n">
        <v>2013</v>
      </c>
      <c r="G575" s="139" t="s">
        <v>4</v>
      </c>
      <c r="H575" s="139" t="n">
        <v>4</v>
      </c>
      <c r="I575" s="139" t="n">
        <v>4</v>
      </c>
      <c r="J575" s="17" t="n">
        <v>3890.5</v>
      </c>
      <c r="K575" s="17" t="n">
        <v>3406.6</v>
      </c>
      <c r="L575" s="17" t="n">
        <v>0</v>
      </c>
      <c r="M575" s="140" t="n">
        <v>175</v>
      </c>
      <c r="N575" s="16" t="n">
        <f aca="false" ca="false" dt2D="false" dtr="false" t="normal">P575+Q575+R575+S575+T575</f>
        <v>7249912.51</v>
      </c>
      <c r="O575" s="17" t="n"/>
      <c r="P575" s="18" t="n">
        <v>5815217.63</v>
      </c>
      <c r="Q575" s="18" t="n"/>
      <c r="R575" s="27" t="n">
        <v>347208</v>
      </c>
      <c r="S575" s="27" t="n">
        <v>0</v>
      </c>
      <c r="T575" s="27" t="n">
        <v>1087486.88</v>
      </c>
      <c r="U575" s="18" t="n">
        <v>1896.12175915853</v>
      </c>
      <c r="V575" s="18" t="n">
        <v>1277.283020064</v>
      </c>
      <c r="W575" s="21" t="n">
        <v>2024</v>
      </c>
      <c r="X575" s="12" t="n">
        <v>0</v>
      </c>
      <c r="Y575" s="3" t="n">
        <f aca="false" ca="false" dt2D="false" dtr="false" t="normal">+(K575*10.5+L575*21)*12*0.85</f>
        <v>364846.86</v>
      </c>
      <c r="Z575" s="3" t="n">
        <f aca="false" ca="false" dt2D="false" dtr="false" t="normal">+(K575*11.55+L575*23.1)*12*30</f>
        <v>14164642.8</v>
      </c>
      <c r="AA575" s="3" t="n">
        <f aca="false" ca="false" dt2D="false" dtr="false" t="normal">+N575-AB575</f>
        <v>0</v>
      </c>
      <c r="AB575" s="27" t="n">
        <f aca="false" ca="true" dt2D="false" dtr="false" t="normal">SUBTOTAL(9, AC575:AQ575)</f>
        <v>7249912.51</v>
      </c>
      <c r="AC575" s="17" t="n">
        <v>7249912.51</v>
      </c>
      <c r="AD575" s="18" t="n">
        <v>0</v>
      </c>
      <c r="AE575" s="18" t="n">
        <v>0</v>
      </c>
      <c r="AF575" s="18" t="n">
        <v>0</v>
      </c>
      <c r="AG575" s="18" t="n">
        <v>0</v>
      </c>
      <c r="AH575" s="18" t="n"/>
      <c r="AI575" s="17" t="n"/>
      <c r="AJ575" s="18" t="n">
        <v>0</v>
      </c>
      <c r="AK575" s="18" t="n">
        <v>0</v>
      </c>
      <c r="AL575" s="18" t="n">
        <v>0</v>
      </c>
      <c r="AM575" s="18" t="n">
        <v>0</v>
      </c>
      <c r="AN575" s="18" t="n">
        <v>0</v>
      </c>
      <c r="AO575" s="18" t="n"/>
      <c r="AP575" s="18" t="n"/>
      <c r="AQ575" s="191" t="n"/>
      <c r="AR575" s="186" t="n">
        <f aca="false" ca="false" dt2D="false" dtr="false" t="normal">COUNTIF(AC575:AN575, "&gt;0")</f>
        <v>1</v>
      </c>
      <c r="AU575" s="3" t="n"/>
    </row>
    <row ht="15.75" outlineLevel="0" r="576">
      <c r="A576" s="5" t="n">
        <f aca="false" ca="false" dt2D="false" dtr="false" t="normal">A575+1</f>
        <v>555</v>
      </c>
      <c r="B576" s="6" t="n">
        <f aca="false" ca="false" dt2D="false" dtr="false" t="normal">B575+1</f>
        <v>95</v>
      </c>
      <c r="C576" s="138" t="s">
        <v>177</v>
      </c>
      <c r="D576" s="138" t="s">
        <v>242</v>
      </c>
      <c r="E576" s="139" t="n">
        <v>1978</v>
      </c>
      <c r="F576" s="139" t="n">
        <v>2008</v>
      </c>
      <c r="G576" s="139" t="s">
        <v>4</v>
      </c>
      <c r="H576" s="139" t="n">
        <v>5</v>
      </c>
      <c r="I576" s="139" t="n">
        <v>4</v>
      </c>
      <c r="J576" s="17" t="n">
        <v>3883.8</v>
      </c>
      <c r="K576" s="17" t="n">
        <v>3458.3</v>
      </c>
      <c r="L576" s="17" t="n">
        <v>0</v>
      </c>
      <c r="M576" s="140" t="n">
        <v>222</v>
      </c>
      <c r="N576" s="16" t="n">
        <f aca="false" ca="false" dt2D="false" dtr="false" t="normal">P576+Q576+R576+S576+T576</f>
        <v>18254524.75</v>
      </c>
      <c r="O576" s="17" t="n"/>
      <c r="P576" s="18" t="n">
        <v>10031187.29</v>
      </c>
      <c r="Q576" s="18" t="n"/>
      <c r="R576" s="27" t="n">
        <v>1725806.01</v>
      </c>
      <c r="S576" s="27" t="n">
        <v>4289440.92</v>
      </c>
      <c r="T576" s="27" t="n">
        <v>2208090.53</v>
      </c>
      <c r="U576" s="18" t="n">
        <v>7878.75</v>
      </c>
      <c r="V576" s="18" t="n">
        <v>1278.283020064</v>
      </c>
      <c r="W576" s="21" t="n">
        <v>2024</v>
      </c>
      <c r="X576" s="12" t="n">
        <f aca="false" ca="false" dt2D="false" dtr="false" t="normal">2031878.21+Y84-R84</f>
        <v>1355422.08</v>
      </c>
      <c r="Y576" s="3" t="n">
        <f aca="false" ca="false" dt2D="false" dtr="false" t="normal">+(K576*11.55+L576*23.1)*12*0.85</f>
        <v>407422.32300000003</v>
      </c>
      <c r="Z576" s="3" t="n">
        <f aca="false" ca="false" dt2D="false" dtr="false" t="normal">+(K576*10.5+L576*21)*12*30-S84</f>
        <v>4357559.9700000025</v>
      </c>
      <c r="AA576" s="3" t="n">
        <f aca="false" ca="false" dt2D="false" dtr="false" t="normal">+N576-AB576</f>
        <v>0</v>
      </c>
      <c r="AB576" s="27" t="n">
        <f aca="false" ca="true" dt2D="false" dtr="false" t="normal">SUBTOTAL(9, AC576:AQ576)</f>
        <v>18254524.75</v>
      </c>
      <c r="AC576" s="17" t="n"/>
      <c r="AD576" s="18" t="n"/>
      <c r="AE576" s="18" t="n"/>
      <c r="AF576" s="18" t="n"/>
      <c r="AG576" s="18" t="n"/>
      <c r="AH576" s="18" t="n"/>
      <c r="AI576" s="17" t="n"/>
      <c r="AJ576" s="18" t="n"/>
      <c r="AK576" s="18" t="n"/>
      <c r="AL576" s="18" t="n"/>
      <c r="AM576" s="18" t="n">
        <v>18254524.75</v>
      </c>
      <c r="AN576" s="18" t="n">
        <v>0</v>
      </c>
      <c r="AO576" s="189" t="n"/>
      <c r="AP576" s="189" t="n"/>
      <c r="AQ576" s="185" t="n"/>
      <c r="AR576" s="186" t="n">
        <f aca="false" ca="false" dt2D="false" dtr="false" t="normal">COUNTIF(AC576:AN576, "&gt;0")</f>
        <v>1</v>
      </c>
      <c r="AU576" s="3" t="n"/>
    </row>
    <row ht="15.75" outlineLevel="0" r="577">
      <c r="A577" s="5" t="n">
        <f aca="false" ca="false" dt2D="false" dtr="false" t="normal">A576+1</f>
        <v>556</v>
      </c>
      <c r="B577" s="6" t="n">
        <f aca="false" ca="false" dt2D="false" dtr="false" t="normal">B576+1</f>
        <v>96</v>
      </c>
      <c r="C577" s="138" t="s">
        <v>177</v>
      </c>
      <c r="D577" s="138" t="s">
        <v>358</v>
      </c>
      <c r="E577" s="139" t="n">
        <v>1978</v>
      </c>
      <c r="F577" s="139" t="n">
        <v>2008</v>
      </c>
      <c r="G577" s="139" t="s">
        <v>4</v>
      </c>
      <c r="H577" s="139" t="n">
        <v>5</v>
      </c>
      <c r="I577" s="139" t="n">
        <v>4</v>
      </c>
      <c r="J577" s="17" t="n">
        <v>4929.7</v>
      </c>
      <c r="K577" s="17" t="n">
        <v>4335.1</v>
      </c>
      <c r="L577" s="17" t="n">
        <v>0</v>
      </c>
      <c r="M577" s="140" t="n">
        <v>213</v>
      </c>
      <c r="N577" s="16" t="n">
        <f aca="false" ca="false" dt2D="false" dtr="false" t="normal">P577+Q577+R577+S577+T577</f>
        <v>3758914.15</v>
      </c>
      <c r="O577" s="17" t="n"/>
      <c r="P577" s="18" t="n">
        <v>3132912.57</v>
      </c>
      <c r="Q577" s="18" t="n"/>
      <c r="R577" s="27" t="n">
        <v>431809.25</v>
      </c>
      <c r="S577" s="27" t="n">
        <v>0</v>
      </c>
      <c r="T577" s="27" t="n">
        <v>194192.33</v>
      </c>
      <c r="U577" s="18" t="n">
        <v>5940.74469890911</v>
      </c>
      <c r="V577" s="18" t="n">
        <v>1279.283020064</v>
      </c>
      <c r="W577" s="21" t="n">
        <v>2024</v>
      </c>
      <c r="X577" s="12" t="n"/>
      <c r="Y577" s="3" t="n">
        <f aca="false" ca="false" dt2D="false" dtr="false" t="normal">+(K577*11.55+L577*23.1)*12*0.85</f>
        <v>510718.13100000005</v>
      </c>
      <c r="Z577" s="3" t="n">
        <f aca="false" ca="false" dt2D="false" dtr="false" t="normal">+(K577*11.55+L577*23.1)*12*30-'[1]Лист1'!$AQ$284</f>
        <v>4588237.980000004</v>
      </c>
      <c r="AA577" s="3" t="n">
        <f aca="false" ca="false" dt2D="false" dtr="false" t="normal">+N577-AB577</f>
        <v>0</v>
      </c>
      <c r="AB577" s="27" t="n">
        <f aca="false" ca="true" dt2D="false" dtr="false" t="normal">SUBTOTAL(9, AC577:AQ577)</f>
        <v>3758914.15</v>
      </c>
      <c r="AC577" s="17" t="n">
        <v>0</v>
      </c>
      <c r="AD577" s="18" t="n"/>
      <c r="AE577" s="18" t="n">
        <v>3758914.15</v>
      </c>
      <c r="AF577" s="18" t="n"/>
      <c r="AG577" s="18" t="n"/>
      <c r="AH577" s="18" t="n"/>
      <c r="AI577" s="17" t="n"/>
      <c r="AJ577" s="18" t="n">
        <v>0</v>
      </c>
      <c r="AK577" s="18" t="n">
        <v>0</v>
      </c>
      <c r="AL577" s="18" t="n">
        <v>0</v>
      </c>
      <c r="AM577" s="18" t="n"/>
      <c r="AN577" s="18" t="n">
        <v>0</v>
      </c>
      <c r="AO577" s="18" t="n"/>
      <c r="AP577" s="18" t="n"/>
      <c r="AQ577" s="185" t="n"/>
      <c r="AR577" s="186" t="n">
        <f aca="false" ca="false" dt2D="false" dtr="false" t="normal">COUNTIF(AC577:AN577, "&gt;0")</f>
        <v>1</v>
      </c>
      <c r="AU577" s="3" t="n"/>
    </row>
    <row ht="15.75" outlineLevel="0" r="578">
      <c r="A578" s="5" t="n">
        <f aca="false" ca="false" dt2D="false" dtr="false" t="normal">A577+1</f>
        <v>557</v>
      </c>
      <c r="B578" s="6" t="n">
        <f aca="false" ca="false" dt2D="false" dtr="false" t="normal">B577+1</f>
        <v>97</v>
      </c>
      <c r="C578" s="138" t="s">
        <v>177</v>
      </c>
      <c r="D578" s="138" t="s">
        <v>361</v>
      </c>
      <c r="E578" s="139" t="n">
        <v>1999</v>
      </c>
      <c r="F578" s="139" t="n">
        <v>1999</v>
      </c>
      <c r="G578" s="139" t="s">
        <v>4</v>
      </c>
      <c r="H578" s="139" t="n">
        <v>9</v>
      </c>
      <c r="I578" s="139" t="n">
        <v>3</v>
      </c>
      <c r="J578" s="17" t="n">
        <v>8088.49</v>
      </c>
      <c r="K578" s="17" t="n">
        <v>6790.2</v>
      </c>
      <c r="L578" s="17" t="n">
        <v>225.6</v>
      </c>
      <c r="M578" s="140" t="n">
        <v>255</v>
      </c>
      <c r="N578" s="16" t="n">
        <f aca="false" ca="false" dt2D="false" dtr="false" t="normal">P578+Q578+R578+S578+T578</f>
        <v>9000055.44</v>
      </c>
      <c r="O578" s="17" t="n"/>
      <c r="P578" s="18" t="n">
        <v>0</v>
      </c>
      <c r="Q578" s="18" t="n"/>
      <c r="R578" s="27" t="n">
        <v>6336354.5</v>
      </c>
      <c r="S578" s="27" t="n">
        <v>2663700.94</v>
      </c>
      <c r="T578" s="27" t="n">
        <v>0</v>
      </c>
      <c r="U578" s="18" t="n">
        <v>1887.00627374746</v>
      </c>
      <c r="V578" s="18" t="n">
        <v>1284.283020064</v>
      </c>
      <c r="W578" s="21" t="n">
        <v>2024</v>
      </c>
      <c r="X578" s="103" t="n">
        <v>5436842.8</v>
      </c>
      <c r="Y578" s="3" t="n">
        <f aca="false" ca="false" dt2D="false" dtr="false" t="normal">+(K578*13.95+L578*23.65)*12*0.85</f>
        <v>1020599.046</v>
      </c>
      <c r="Z578" s="3" t="n">
        <f aca="false" ca="false" dt2D="false" dtr="false" t="normal">+(K578*13.95+L578*23.65)*12*30</f>
        <v>36021142.8</v>
      </c>
      <c r="AA578" s="3" t="n">
        <f aca="false" ca="false" dt2D="false" dtr="false" t="normal">+N578-AB578</f>
        <v>0</v>
      </c>
      <c r="AB578" s="27" t="n">
        <f aca="false" ca="true" dt2D="false" dtr="false" t="normal">SUBTOTAL(9, AC578:AQ578)</f>
        <v>9000055.44</v>
      </c>
      <c r="AC578" s="17" t="n"/>
      <c r="AD578" s="18" t="n"/>
      <c r="AE578" s="18" t="n"/>
      <c r="AF578" s="18" t="n"/>
      <c r="AG578" s="18" t="n"/>
      <c r="AH578" s="18" t="n"/>
      <c r="AI578" s="17" t="n"/>
      <c r="AJ578" s="18" t="n">
        <v>8487529.44</v>
      </c>
      <c r="AK578" s="18" t="n"/>
      <c r="AL578" s="18" t="n"/>
      <c r="AM578" s="18" t="n"/>
      <c r="AN578" s="18" t="n"/>
      <c r="AO578" s="18" t="n">
        <v>384394.5</v>
      </c>
      <c r="AP578" s="18" t="n">
        <v>128131.5</v>
      </c>
      <c r="AQ578" s="185" t="n"/>
      <c r="AR578" s="186" t="n">
        <f aca="false" ca="false" dt2D="false" dtr="false" t="normal">COUNTIF(AC578:AN578, "&gt;0")</f>
        <v>1</v>
      </c>
      <c r="AU578" s="3" t="n"/>
    </row>
    <row customHeight="true" ht="15.75" outlineLevel="0" r="579">
      <c r="A579" s="5" t="n">
        <f aca="false" ca="false" dt2D="false" dtr="false" t="normal">A578+1</f>
        <v>558</v>
      </c>
      <c r="B579" s="6" t="n">
        <f aca="false" ca="false" dt2D="false" dtr="false" t="normal">B578+1</f>
        <v>98</v>
      </c>
      <c r="C579" s="138" t="s">
        <v>177</v>
      </c>
      <c r="D579" s="138" t="s">
        <v>363</v>
      </c>
      <c r="E579" s="139" t="n">
        <v>1985</v>
      </c>
      <c r="F579" s="139" t="n">
        <v>2013</v>
      </c>
      <c r="G579" s="139" t="s">
        <v>4</v>
      </c>
      <c r="H579" s="139" t="n">
        <v>4</v>
      </c>
      <c r="I579" s="139" t="n">
        <v>3</v>
      </c>
      <c r="J579" s="17" t="n">
        <v>4161.15</v>
      </c>
      <c r="K579" s="17" t="n">
        <v>3740.02</v>
      </c>
      <c r="L579" s="17" t="n">
        <v>392.4</v>
      </c>
      <c r="M579" s="140" t="n">
        <v>277</v>
      </c>
      <c r="N579" s="16" t="n">
        <f aca="false" ca="false" dt2D="false" dtr="false" t="normal">P579+Q579+R579+S579+T579</f>
        <v>3927657.8000000003</v>
      </c>
      <c r="O579" s="17" t="n"/>
      <c r="P579" s="18" t="n">
        <v>0</v>
      </c>
      <c r="Q579" s="18" t="n"/>
      <c r="R579" s="27" t="n">
        <v>533069.04</v>
      </c>
      <c r="S579" s="27" t="n">
        <v>3313085.29</v>
      </c>
      <c r="T579" s="27" t="n">
        <v>81503.47</v>
      </c>
      <c r="U579" s="18" t="n">
        <v>1048.76236065234</v>
      </c>
      <c r="V579" s="18" t="n">
        <v>1286.283020064</v>
      </c>
      <c r="W579" s="21" t="n">
        <v>2024</v>
      </c>
      <c r="X579" s="103" t="n"/>
      <c r="Y579" s="3" t="n">
        <f aca="false" ca="false" dt2D="false" dtr="false" t="normal">+(K579*11.55+L579*23.1)*12*0.85</f>
        <v>533069.0442</v>
      </c>
      <c r="Z579" s="3" t="n">
        <f aca="false" ca="false" dt2D="false" dtr="false" t="normal">+(K579*11.55+L579*23.1)*12*30-'[1]Лист1'!$AQ$287</f>
        <v>15319091.240000002</v>
      </c>
      <c r="AA579" s="3" t="n">
        <f aca="false" ca="false" dt2D="false" dtr="false" t="normal">+N579-AB579</f>
        <v>0</v>
      </c>
      <c r="AB579" s="27" t="n">
        <f aca="false" ca="true" dt2D="false" dtr="false" t="normal">SUBTOTAL(9, AC579:AQ579)</f>
        <v>3927657.8</v>
      </c>
      <c r="AC579" s="17" t="n">
        <v>0</v>
      </c>
      <c r="AD579" s="18" t="n">
        <v>0</v>
      </c>
      <c r="AE579" s="18" t="n">
        <v>3927657.8</v>
      </c>
      <c r="AF579" s="18" t="n">
        <v>0</v>
      </c>
      <c r="AG579" s="18" t="n">
        <v>0</v>
      </c>
      <c r="AH579" s="18" t="n"/>
      <c r="AI579" s="17" t="n"/>
      <c r="AJ579" s="18" t="n">
        <v>0</v>
      </c>
      <c r="AK579" s="18" t="n">
        <v>0</v>
      </c>
      <c r="AL579" s="18" t="n">
        <v>0</v>
      </c>
      <c r="AM579" s="18" t="n"/>
      <c r="AN579" s="18" t="n">
        <v>0</v>
      </c>
      <c r="AO579" s="18" t="n"/>
      <c r="AP579" s="18" t="n"/>
      <c r="AQ579" s="185" t="n"/>
      <c r="AR579" s="186" t="n">
        <f aca="false" ca="false" dt2D="false" dtr="false" t="normal">COUNTIF(AC579:AN579, "&gt;0")</f>
        <v>1</v>
      </c>
      <c r="AU579" s="3" t="n"/>
    </row>
    <row ht="15.75" outlineLevel="0" r="580">
      <c r="A580" s="5" t="n">
        <f aca="false" ca="false" dt2D="false" dtr="false" t="normal">A579+1</f>
        <v>559</v>
      </c>
      <c r="B580" s="6" t="n">
        <f aca="false" ca="false" dt2D="false" dtr="false" t="normal">B579+1</f>
        <v>99</v>
      </c>
      <c r="C580" s="138" t="s">
        <v>177</v>
      </c>
      <c r="D580" s="138" t="s">
        <v>365</v>
      </c>
      <c r="E580" s="139" t="n">
        <v>1971</v>
      </c>
      <c r="F580" s="139" t="n">
        <v>2013</v>
      </c>
      <c r="G580" s="139" t="s">
        <v>4</v>
      </c>
      <c r="H580" s="139" t="n">
        <v>4</v>
      </c>
      <c r="I580" s="139" t="n">
        <v>3</v>
      </c>
      <c r="J580" s="17" t="n">
        <v>2008.51</v>
      </c>
      <c r="K580" s="17" t="n">
        <v>1482.45</v>
      </c>
      <c r="L580" s="17" t="n">
        <v>500.2</v>
      </c>
      <c r="M580" s="140" t="n">
        <v>57</v>
      </c>
      <c r="N580" s="16" t="n">
        <f aca="false" ca="false" dt2D="false" dtr="false" t="normal">P580+Q580+R580+S580+T580</f>
        <v>2110595.0700000003</v>
      </c>
      <c r="O580" s="17" t="n"/>
      <c r="P580" s="18" t="n">
        <v>0</v>
      </c>
      <c r="Q580" s="18" t="n"/>
      <c r="R580" s="27" t="n">
        <v>1010758.29</v>
      </c>
      <c r="S580" s="27" t="n">
        <v>1099836.78</v>
      </c>
      <c r="T580" s="27" t="n">
        <v>0</v>
      </c>
      <c r="U580" s="18" t="n">
        <v>3238.11375899723</v>
      </c>
      <c r="V580" s="18" t="n">
        <v>1290.283020064</v>
      </c>
      <c r="W580" s="21" t="n">
        <v>2024</v>
      </c>
      <c r="X580" s="103" t="n">
        <v>1411566.35</v>
      </c>
      <c r="Y580" s="3" t="n">
        <f aca="false" ca="false" dt2D="false" dtr="false" t="normal">+(K580*10.5+L580*21)*12*0.85</f>
        <v>265913.235</v>
      </c>
      <c r="Z580" s="3" t="n">
        <f aca="false" ca="false" dt2D="false" dtr="false" t="normal">+(K580*10.5+L580*21)*12*30</f>
        <v>9385173</v>
      </c>
      <c r="AA580" s="3" t="n">
        <f aca="false" ca="false" dt2D="false" dtr="false" t="normal">+N580-AB580</f>
        <v>0</v>
      </c>
      <c r="AB580" s="27" t="n">
        <f aca="false" ca="true" dt2D="false" dtr="false" t="normal">SUBTOTAL(9, AC580:AQ580)</f>
        <v>2110595.07</v>
      </c>
      <c r="AC580" s="17" t="n">
        <v>0</v>
      </c>
      <c r="AD580" s="18" t="n">
        <v>1326516.44</v>
      </c>
      <c r="AE580" s="18" t="n">
        <v>0</v>
      </c>
      <c r="AF580" s="18" t="n">
        <v>784078.63</v>
      </c>
      <c r="AG580" s="18" t="n"/>
      <c r="AH580" s="18" t="n"/>
      <c r="AI580" s="17" t="n"/>
      <c r="AJ580" s="18" t="n">
        <v>0</v>
      </c>
      <c r="AK580" s="18" t="n">
        <v>0</v>
      </c>
      <c r="AL580" s="18" t="n">
        <v>0</v>
      </c>
      <c r="AM580" s="18" t="n">
        <v>0</v>
      </c>
      <c r="AN580" s="18" t="n">
        <v>0</v>
      </c>
      <c r="AO580" s="189" t="n"/>
      <c r="AP580" s="189" t="n"/>
      <c r="AQ580" s="185" t="n"/>
      <c r="AR580" s="186" t="n">
        <f aca="false" ca="false" dt2D="false" dtr="false" t="normal">COUNTIF(AC580:AN580, "&gt;0")</f>
        <v>2</v>
      </c>
      <c r="AU580" s="3" t="n"/>
    </row>
    <row ht="15.75" outlineLevel="0" r="581">
      <c r="A581" s="5" t="n">
        <f aca="false" ca="false" dt2D="false" dtr="false" t="normal">A580+1</f>
        <v>560</v>
      </c>
      <c r="B581" s="6" t="n">
        <f aca="false" ca="false" dt2D="false" dtr="false" t="normal">B580+1</f>
        <v>100</v>
      </c>
      <c r="C581" s="138" t="s">
        <v>177</v>
      </c>
      <c r="D581" s="138" t="s">
        <v>259</v>
      </c>
      <c r="E581" s="139" t="n">
        <v>1976</v>
      </c>
      <c r="F581" s="139" t="n">
        <v>2013</v>
      </c>
      <c r="G581" s="139" t="s">
        <v>4</v>
      </c>
      <c r="H581" s="139" t="n">
        <v>4</v>
      </c>
      <c r="I581" s="139" t="n">
        <v>6</v>
      </c>
      <c r="J581" s="17" t="n">
        <v>5727.3</v>
      </c>
      <c r="K581" s="17" t="n">
        <v>4928.1</v>
      </c>
      <c r="L581" s="17" t="n">
        <v>70.7</v>
      </c>
      <c r="M581" s="140" t="n">
        <v>234</v>
      </c>
      <c r="N581" s="16" t="n">
        <f aca="false" ca="false" dt2D="false" dtr="false" t="normal">P581+Q581+R581+S581+T581</f>
        <v>3589996.38</v>
      </c>
      <c r="O581" s="17" t="n"/>
      <c r="P581" s="18" t="n">
        <v>0</v>
      </c>
      <c r="Q581" s="18" t="n"/>
      <c r="R581" s="27" t="n">
        <v>3066162.88</v>
      </c>
      <c r="S581" s="27" t="n">
        <v>523833.5</v>
      </c>
      <c r="T581" s="27" t="n">
        <v>0</v>
      </c>
      <c r="U581" s="18" t="n">
        <v>1061.75573220633</v>
      </c>
      <c r="V581" s="18" t="n">
        <v>1292.283020064</v>
      </c>
      <c r="W581" s="21" t="n">
        <v>2024</v>
      </c>
      <c r="X581" s="12" t="n"/>
      <c r="Y581" s="3" t="n">
        <f aca="false" ca="false" dt2D="false" dtr="false" t="normal">+(K581*11.55+L581*23.1)*12*0.85</f>
        <v>597237.795</v>
      </c>
      <c r="Z581" s="3" t="n">
        <f aca="false" ca="false" dt2D="false" dtr="false" t="normal">+(K581*11.55+L581*23.1)*12*30-'[1]Лист1'!$AQ$293</f>
        <v>16387303.910000004</v>
      </c>
      <c r="AA581" s="3" t="n">
        <f aca="false" ca="false" dt2D="false" dtr="false" t="normal">+N581-AB581</f>
        <v>0</v>
      </c>
      <c r="AB581" s="27" t="n">
        <f aca="false" ca="true" dt2D="false" dtr="false" t="normal">SUBTOTAL(9, AC581:AQ581)</f>
        <v>3589996.38</v>
      </c>
      <c r="AC581" s="17" t="n">
        <v>0</v>
      </c>
      <c r="AD581" s="18" t="n">
        <v>0</v>
      </c>
      <c r="AE581" s="18" t="n">
        <v>3589996.38</v>
      </c>
      <c r="AF581" s="18" t="n">
        <v>0</v>
      </c>
      <c r="AG581" s="18" t="n"/>
      <c r="AH581" s="18" t="n"/>
      <c r="AI581" s="17" t="n"/>
      <c r="AJ581" s="18" t="n">
        <v>0</v>
      </c>
      <c r="AK581" s="18" t="n">
        <v>0</v>
      </c>
      <c r="AL581" s="18" t="n">
        <v>0</v>
      </c>
      <c r="AM581" s="18" t="n">
        <v>0</v>
      </c>
      <c r="AN581" s="18" t="n">
        <v>0</v>
      </c>
      <c r="AO581" s="18" t="n"/>
      <c r="AP581" s="18" t="n"/>
      <c r="AQ581" s="185" t="n"/>
      <c r="AR581" s="186" t="n">
        <f aca="false" ca="false" dt2D="false" dtr="false" t="normal">COUNTIF(AC581:AN581, "&gt;0")</f>
        <v>1</v>
      </c>
      <c r="AU581" s="3" t="n"/>
    </row>
    <row customFormat="true" ht="15.75" outlineLevel="0" r="582" s="184">
      <c r="A582" s="5" t="n">
        <f aca="false" ca="false" dt2D="false" dtr="false" t="normal">A581+1</f>
        <v>561</v>
      </c>
      <c r="B582" s="6" t="n">
        <f aca="false" ca="false" dt2D="false" dtr="false" t="normal">B581+1</f>
        <v>101</v>
      </c>
      <c r="C582" s="138" t="s">
        <v>177</v>
      </c>
      <c r="D582" s="138" t="s">
        <v>367</v>
      </c>
      <c r="E582" s="139" t="s">
        <v>353</v>
      </c>
      <c r="F582" s="139" t="n"/>
      <c r="G582" s="139" t="s">
        <v>4</v>
      </c>
      <c r="H582" s="139" t="s">
        <v>159</v>
      </c>
      <c r="I582" s="139" t="s">
        <v>159</v>
      </c>
      <c r="J582" s="17" t="n">
        <v>4032.8</v>
      </c>
      <c r="K582" s="17" t="n">
        <v>3458.5</v>
      </c>
      <c r="L582" s="17" t="n">
        <v>0</v>
      </c>
      <c r="M582" s="140" t="n">
        <v>157</v>
      </c>
      <c r="N582" s="16" t="n">
        <f aca="false" ca="false" dt2D="false" dtr="false" t="normal">P582+Q582+R582+S582+T582</f>
        <v>15470261.280000001</v>
      </c>
      <c r="O582" s="17" t="n">
        <v>0</v>
      </c>
      <c r="P582" s="18" t="n">
        <v>0</v>
      </c>
      <c r="Q582" s="18" t="n"/>
      <c r="R582" s="27" t="n">
        <v>407445.89</v>
      </c>
      <c r="S582" s="27" t="n">
        <v>10458746.96</v>
      </c>
      <c r="T582" s="27" t="n">
        <v>4604068.43</v>
      </c>
      <c r="U582" s="17" t="n">
        <v>14851.7595489707</v>
      </c>
      <c r="V582" s="17" t="n">
        <v>14851.7595489707</v>
      </c>
      <c r="W582" s="21" t="n">
        <v>2024</v>
      </c>
      <c r="Y582" s="3" t="n">
        <f aca="false" ca="false" dt2D="false" dtr="false" t="normal">+(K582*11.55+L582*23.1)*12*0.85</f>
        <v>407445.885</v>
      </c>
      <c r="Z582" s="3" t="n">
        <f aca="false" ca="false" dt2D="false" dtr="false" t="normal">+(K582*11.55+L582*23.1)*12*30-'[1]Лист1'!$AQ$294</f>
        <v>10458746.970000003</v>
      </c>
      <c r="AA582" s="3" t="n">
        <f aca="false" ca="false" dt2D="false" dtr="false" t="normal">+N582-AB582</f>
        <v>0</v>
      </c>
      <c r="AB582" s="27" t="n">
        <f aca="false" ca="true" dt2D="false" dtr="false" t="normal">SUBTOTAL(9, AC582:AQ582)</f>
        <v>15470261.28</v>
      </c>
      <c r="AC582" s="17" t="n"/>
      <c r="AD582" s="18" t="n">
        <v>2313900</v>
      </c>
      <c r="AE582" s="18" t="n"/>
      <c r="AF582" s="18" t="n"/>
      <c r="AG582" s="18" t="n"/>
      <c r="AH582" s="18" t="n"/>
      <c r="AI582" s="17" t="n"/>
      <c r="AJ582" s="18" t="n"/>
      <c r="AK582" s="18" t="n"/>
      <c r="AL582" s="18" t="n"/>
      <c r="AM582" s="18" t="n">
        <v>13156361.28</v>
      </c>
      <c r="AN582" s="18" t="n"/>
      <c r="AO582" s="189" t="n"/>
      <c r="AP582" s="189" t="n"/>
      <c r="AQ582" s="185" t="n"/>
      <c r="AR582" s="186" t="n">
        <f aca="false" ca="false" dt2D="false" dtr="false" t="normal">COUNTIF(AC582:AN582, "&gt;0")</f>
        <v>2</v>
      </c>
      <c r="AT582" s="187" t="n"/>
      <c r="AU582" s="3" t="n"/>
    </row>
    <row ht="15.75" outlineLevel="0" r="583">
      <c r="A583" s="5" t="n">
        <f aca="false" ca="false" dt2D="false" dtr="false" t="normal">A582+1</f>
        <v>562</v>
      </c>
      <c r="B583" s="6" t="n">
        <f aca="false" ca="false" dt2D="false" dtr="false" t="normal">B582+1</f>
        <v>102</v>
      </c>
      <c r="C583" s="138" t="s">
        <v>177</v>
      </c>
      <c r="D583" s="138" t="s">
        <v>369</v>
      </c>
      <c r="E583" s="139" t="n">
        <v>1990</v>
      </c>
      <c r="F583" s="139" t="n">
        <v>2013</v>
      </c>
      <c r="G583" s="139" t="s">
        <v>4</v>
      </c>
      <c r="H583" s="139" t="n">
        <v>9</v>
      </c>
      <c r="I583" s="139" t="n">
        <v>4</v>
      </c>
      <c r="J583" s="17" t="n">
        <v>10682.7</v>
      </c>
      <c r="K583" s="17" t="n">
        <v>8792</v>
      </c>
      <c r="L583" s="17" t="n">
        <v>69.3</v>
      </c>
      <c r="M583" s="140" t="n">
        <v>381</v>
      </c>
      <c r="N583" s="16" t="n">
        <f aca="false" ca="false" dt2D="false" dtr="false" t="normal">P583+Q583+R583+S583+T583</f>
        <v>27303891.79</v>
      </c>
      <c r="O583" s="17" t="n"/>
      <c r="P583" s="18" t="n">
        <v>0</v>
      </c>
      <c r="Q583" s="18" t="n"/>
      <c r="R583" s="27" t="n">
        <v>4228777</v>
      </c>
      <c r="S583" s="27" t="n">
        <v>23075114.79</v>
      </c>
      <c r="T583" s="27" t="n">
        <v>0</v>
      </c>
      <c r="U583" s="18" t="n">
        <v>4049.39072440399</v>
      </c>
      <c r="V583" s="18" t="n">
        <v>1293.283020064</v>
      </c>
      <c r="W583" s="21" t="n">
        <v>2024</v>
      </c>
      <c r="X583" s="1" t="n">
        <f aca="false" ca="false" dt2D="false" dtr="false" t="normal">6652820.84-3483863.47</f>
        <v>3168957.3699999996</v>
      </c>
      <c r="Y583" s="3" t="n">
        <f aca="false" ca="false" dt2D="false" dtr="false" t="normal">+(K583*13.95+L583*23.65)*12*0.85</f>
        <v>1267730.919</v>
      </c>
      <c r="Z583" s="3" t="n">
        <f aca="false" ca="false" dt2D="false" dtr="false" t="normal">+(K583*13.95+L583*23.65)*12*30-447549.13</f>
        <v>44295895.07</v>
      </c>
      <c r="AA583" s="3" t="n">
        <f aca="false" ca="false" dt2D="false" dtr="false" t="normal">+N583-AB583</f>
        <v>0</v>
      </c>
      <c r="AB583" s="27" t="n">
        <f aca="false" ca="true" dt2D="false" dtr="false" t="normal">SUBTOTAL(9, AC583:AQ583)</f>
        <v>27303891.79</v>
      </c>
      <c r="AC583" s="17" t="n">
        <v>12255451.74</v>
      </c>
      <c r="AD583" s="18" t="n">
        <v>6547393.97</v>
      </c>
      <c r="AE583" s="18" t="n">
        <v>4711465.01</v>
      </c>
      <c r="AF583" s="18" t="n">
        <v>3789581.07</v>
      </c>
      <c r="AG583" s="18" t="n">
        <v>0</v>
      </c>
      <c r="AH583" s="18" t="n"/>
      <c r="AI583" s="17" t="n"/>
      <c r="AJ583" s="18" t="n">
        <v>0</v>
      </c>
      <c r="AK583" s="18" t="n"/>
      <c r="AL583" s="18" t="n">
        <v>0</v>
      </c>
      <c r="AM583" s="18" t="n">
        <v>0</v>
      </c>
      <c r="AN583" s="18" t="n">
        <v>0</v>
      </c>
      <c r="AO583" s="18" t="n"/>
      <c r="AP583" s="18" t="n"/>
      <c r="AQ583" s="185" t="n"/>
      <c r="AR583" s="186" t="n">
        <f aca="false" ca="false" dt2D="false" dtr="false" t="normal">COUNTIF(AC583:AN583, "&gt;0")</f>
        <v>4</v>
      </c>
      <c r="AU583" s="3" t="n"/>
    </row>
    <row ht="15.75" outlineLevel="0" r="584">
      <c r="A584" s="5" t="n">
        <f aca="false" ca="false" dt2D="false" dtr="false" t="normal">A583+1</f>
        <v>563</v>
      </c>
      <c r="B584" s="6" t="n">
        <f aca="false" ca="false" dt2D="false" dtr="false" t="normal">B583+1</f>
        <v>103</v>
      </c>
      <c r="C584" s="138" t="s">
        <v>177</v>
      </c>
      <c r="D584" s="138" t="s">
        <v>371</v>
      </c>
      <c r="E584" s="139" t="n">
        <v>1994</v>
      </c>
      <c r="F584" s="139" t="n">
        <v>2013</v>
      </c>
      <c r="G584" s="139" t="s">
        <v>4</v>
      </c>
      <c r="H584" s="139" t="n">
        <v>9</v>
      </c>
      <c r="I584" s="139" t="n">
        <v>3</v>
      </c>
      <c r="J584" s="17" t="n">
        <v>8919.33</v>
      </c>
      <c r="K584" s="17" t="n">
        <v>6658.4</v>
      </c>
      <c r="L584" s="17" t="n">
        <v>0</v>
      </c>
      <c r="M584" s="140" t="n">
        <v>291</v>
      </c>
      <c r="N584" s="16" t="n">
        <f aca="false" ca="false" dt2D="false" dtr="false" t="normal">P584+Q584+R584+S584+T584</f>
        <v>11106173.88</v>
      </c>
      <c r="O584" s="17" t="n"/>
      <c r="P584" s="18" t="n">
        <v>0</v>
      </c>
      <c r="Q584" s="18" t="n"/>
      <c r="R584" s="27" t="n">
        <v>1763359.8</v>
      </c>
      <c r="S584" s="27" t="n">
        <v>9342814.08</v>
      </c>
      <c r="T584" s="27" t="n">
        <v>0</v>
      </c>
      <c r="U584" s="18" t="n">
        <v>2440.45219490807</v>
      </c>
      <c r="V584" s="18" t="n">
        <v>1294.283020064</v>
      </c>
      <c r="W584" s="21" t="n">
        <v>2024</v>
      </c>
      <c r="X584" s="1" t="n">
        <f aca="false" ca="false" dt2D="false" dtr="false" t="normal">5247070.49-1910372.27-713296.71</f>
        <v>2623401.5100000002</v>
      </c>
      <c r="Y584" s="3" t="n">
        <f aca="false" ca="false" dt2D="false" dtr="false" t="normal">+(K584*13.95+L584*23.65)*12*0.85</f>
        <v>947423.7359999999</v>
      </c>
      <c r="Z584" s="3" t="n">
        <f aca="false" ca="false" dt2D="false" dtr="false" t="normal">+(K584*13.95+L584*23.65)*12*30-3114194.79-7865381.35-93203.45</f>
        <v>22365705.209999997</v>
      </c>
      <c r="AA584" s="3" t="n">
        <f aca="false" ca="false" dt2D="false" dtr="false" t="normal">+N584-AB584</f>
        <v>0</v>
      </c>
      <c r="AB584" s="27" t="n">
        <f aca="false" ca="true" dt2D="false" dtr="false" t="normal">SUBTOTAL(9, AC584:AQ584)</f>
        <v>11106173.88</v>
      </c>
      <c r="AC584" s="17" t="n">
        <v>0</v>
      </c>
      <c r="AD584" s="18" t="n">
        <v>0</v>
      </c>
      <c r="AE584" s="18" t="n">
        <v>0</v>
      </c>
      <c r="AF584" s="18" t="n">
        <v>0</v>
      </c>
      <c r="AG584" s="18" t="n"/>
      <c r="AH584" s="18" t="n"/>
      <c r="AI584" s="17" t="n"/>
      <c r="AJ584" s="18" t="n">
        <v>0</v>
      </c>
      <c r="AK584" s="18" t="n">
        <v>0</v>
      </c>
      <c r="AL584" s="18" t="n">
        <v>0</v>
      </c>
      <c r="AM584" s="18" t="n">
        <v>0</v>
      </c>
      <c r="AN584" s="18" t="n">
        <v>11106173.88</v>
      </c>
      <c r="AO584" s="189" t="n"/>
      <c r="AP584" s="189" t="n"/>
      <c r="AQ584" s="185" t="n"/>
      <c r="AR584" s="186" t="n">
        <f aca="false" ca="false" dt2D="false" dtr="false" t="normal">COUNTIF(AC584:AN584, "&gt;0")</f>
        <v>1</v>
      </c>
      <c r="AU584" s="3" t="n"/>
    </row>
    <row ht="15.75" outlineLevel="0" r="585">
      <c r="A585" s="5" t="n">
        <f aca="false" ca="false" dt2D="false" dtr="false" t="normal">A584+1</f>
        <v>564</v>
      </c>
      <c r="B585" s="6" t="n">
        <f aca="false" ca="false" dt2D="false" dtr="false" t="normal">B584+1</f>
        <v>104</v>
      </c>
      <c r="C585" s="138" t="s">
        <v>177</v>
      </c>
      <c r="D585" s="138" t="s">
        <v>374</v>
      </c>
      <c r="E585" s="139" t="n">
        <v>1999</v>
      </c>
      <c r="F585" s="139" t="n">
        <v>1999</v>
      </c>
      <c r="G585" s="139" t="s">
        <v>4</v>
      </c>
      <c r="H585" s="139" t="n">
        <v>9</v>
      </c>
      <c r="I585" s="139" t="n">
        <v>1</v>
      </c>
      <c r="J585" s="17" t="n">
        <v>2462.15</v>
      </c>
      <c r="K585" s="17" t="n">
        <v>2301</v>
      </c>
      <c r="L585" s="17" t="n">
        <v>0</v>
      </c>
      <c r="M585" s="140" t="n">
        <v>79</v>
      </c>
      <c r="N585" s="16" t="n">
        <f aca="false" ca="false" dt2D="false" dtr="false" t="normal">P585+Q585+R585+S585+T585</f>
        <v>3000018.4699999997</v>
      </c>
      <c r="O585" s="17" t="n"/>
      <c r="P585" s="18" t="n">
        <v>0</v>
      </c>
      <c r="Q585" s="18" t="n"/>
      <c r="R585" s="27" t="n">
        <v>2017252.93</v>
      </c>
      <c r="S585" s="27" t="n">
        <v>982765.54</v>
      </c>
      <c r="T585" s="27" t="n">
        <v>0</v>
      </c>
      <c r="U585" s="18" t="n">
        <v>1856.17122990004</v>
      </c>
      <c r="V585" s="18" t="n">
        <v>1295.283020064</v>
      </c>
      <c r="W585" s="21" t="n">
        <v>2024</v>
      </c>
      <c r="X585" s="103" t="n">
        <v>1728451.2</v>
      </c>
      <c r="Y585" s="3" t="n">
        <f aca="false" ca="false" dt2D="false" dtr="false" t="normal">+(K585*13.95+L585*23.65)*12*0.85</f>
        <v>327409.29</v>
      </c>
      <c r="Z585" s="3" t="n">
        <f aca="false" ca="false" dt2D="false" dtr="false" t="normal">+(K585*13.95+L585*23.65)*12*30</f>
        <v>11555621.999999998</v>
      </c>
      <c r="AA585" s="3" t="n">
        <f aca="false" ca="false" dt2D="false" dtr="false" t="normal">+N585-AB585</f>
        <v>0</v>
      </c>
      <c r="AB585" s="27" t="n">
        <f aca="false" ca="true" dt2D="false" dtr="false" t="normal">SUBTOTAL(9, AC585:AQ585)</f>
        <v>3000018.47</v>
      </c>
      <c r="AC585" s="17" t="n"/>
      <c r="AD585" s="18" t="n"/>
      <c r="AE585" s="18" t="n"/>
      <c r="AF585" s="18" t="n"/>
      <c r="AG585" s="18" t="n"/>
      <c r="AH585" s="18" t="n"/>
      <c r="AI585" s="17" t="n"/>
      <c r="AJ585" s="18" t="n">
        <v>2829176.47</v>
      </c>
      <c r="AK585" s="18" t="n"/>
      <c r="AL585" s="18" t="n"/>
      <c r="AM585" s="18" t="n"/>
      <c r="AN585" s="18" t="n"/>
      <c r="AO585" s="18" t="n">
        <v>128131.5</v>
      </c>
      <c r="AP585" s="18" t="n">
        <v>42710.5</v>
      </c>
      <c r="AQ585" s="185" t="n"/>
      <c r="AR585" s="186" t="n">
        <f aca="false" ca="false" dt2D="false" dtr="false" t="normal">COUNTIF(AC585:AN585, "&gt;0")</f>
        <v>1</v>
      </c>
      <c r="AU585" s="3" t="n"/>
    </row>
    <row ht="15.75" outlineLevel="0" r="586">
      <c r="A586" s="5" t="n">
        <f aca="false" ca="false" dt2D="false" dtr="false" t="normal">A585+1</f>
        <v>565</v>
      </c>
      <c r="B586" s="6" t="n">
        <f aca="false" ca="false" dt2D="false" dtr="false" t="normal">B585+1</f>
        <v>105</v>
      </c>
      <c r="C586" s="138" t="s">
        <v>177</v>
      </c>
      <c r="D586" s="138" t="s">
        <v>376</v>
      </c>
      <c r="E586" s="139" t="n">
        <v>1988</v>
      </c>
      <c r="F586" s="139" t="n">
        <v>2013</v>
      </c>
      <c r="G586" s="139" t="s">
        <v>4</v>
      </c>
      <c r="H586" s="139" t="n">
        <v>5</v>
      </c>
      <c r="I586" s="139" t="n">
        <v>4</v>
      </c>
      <c r="J586" s="17" t="n">
        <v>4850.3</v>
      </c>
      <c r="K586" s="17" t="n">
        <v>4289.6</v>
      </c>
      <c r="L586" s="17" t="n">
        <v>0</v>
      </c>
      <c r="M586" s="140" t="n">
        <v>199</v>
      </c>
      <c r="N586" s="16" t="n">
        <f aca="false" ca="false" dt2D="false" dtr="false" t="normal">P586+Q586+R586+S586+T586</f>
        <v>5468480.350000001</v>
      </c>
      <c r="O586" s="17" t="n"/>
      <c r="P586" s="18" t="n">
        <v>0</v>
      </c>
      <c r="Q586" s="18" t="n"/>
      <c r="R586" s="27" t="n">
        <v>2130145.27</v>
      </c>
      <c r="S586" s="27" t="n">
        <v>2791487.04</v>
      </c>
      <c r="T586" s="27" t="n">
        <v>546848.04</v>
      </c>
      <c r="U586" s="18" t="n">
        <v>933.162158078142</v>
      </c>
      <c r="V586" s="18" t="n">
        <v>933.162158078142</v>
      </c>
      <c r="W586" s="21" t="n">
        <v>2024</v>
      </c>
      <c r="X586" s="1" t="n">
        <v>1652200.35</v>
      </c>
      <c r="Y586" s="3" t="n">
        <f aca="false" ca="false" dt2D="false" dtr="false" t="normal">+(K586*11.55+L586*23.1)*12*0.85</f>
        <v>505357.776</v>
      </c>
      <c r="Z586" s="3" t="n">
        <f aca="false" ca="false" dt2D="false" dtr="false" t="normal">+(K586*11.55+L586*23.1)*12*30</f>
        <v>17836156.8</v>
      </c>
      <c r="AA586" s="3" t="n">
        <f aca="false" ca="false" dt2D="false" dtr="false" t="normal">+N586-AB586</f>
        <v>0</v>
      </c>
      <c r="AB586" s="27" t="n">
        <f aca="false" ca="true" dt2D="false" dtr="false" t="normal">SUBTOTAL(9, AC586:AQ586)</f>
        <v>5468480.35</v>
      </c>
      <c r="AC586" s="17" t="n">
        <v>0</v>
      </c>
      <c r="AD586" s="18" t="n">
        <v>0</v>
      </c>
      <c r="AE586" s="18" t="n">
        <v>0</v>
      </c>
      <c r="AF586" s="18" t="n">
        <v>0</v>
      </c>
      <c r="AG586" s="18" t="n">
        <v>0</v>
      </c>
      <c r="AH586" s="18" t="n"/>
      <c r="AI586" s="17" t="n"/>
      <c r="AJ586" s="18" t="n">
        <v>0</v>
      </c>
      <c r="AK586" s="18" t="n">
        <v>5468480.35</v>
      </c>
      <c r="AL586" s="18" t="n">
        <v>0</v>
      </c>
      <c r="AM586" s="18" t="n">
        <v>0</v>
      </c>
      <c r="AN586" s="18" t="n">
        <v>0</v>
      </c>
      <c r="AO586" s="189" t="n"/>
      <c r="AP586" s="189" t="n"/>
      <c r="AQ586" s="185" t="n"/>
      <c r="AR586" s="186" t="n">
        <f aca="false" ca="false" dt2D="false" dtr="false" t="normal">COUNTIF(AC586:AN586, "&gt;0")</f>
        <v>1</v>
      </c>
      <c r="AU586" s="3" t="n"/>
    </row>
    <row ht="15.75" outlineLevel="0" r="587">
      <c r="A587" s="5" t="n">
        <f aca="false" ca="false" dt2D="false" dtr="false" t="normal">A586+1</f>
        <v>566</v>
      </c>
      <c r="B587" s="6" t="n">
        <f aca="false" ca="false" dt2D="false" dtr="false" t="normal">B586+1</f>
        <v>106</v>
      </c>
      <c r="C587" s="138" t="s">
        <v>177</v>
      </c>
      <c r="D587" s="138" t="s">
        <v>378</v>
      </c>
      <c r="E587" s="139" t="n">
        <v>1974</v>
      </c>
      <c r="F587" s="139" t="n">
        <v>2013</v>
      </c>
      <c r="G587" s="139" t="s">
        <v>4</v>
      </c>
      <c r="H587" s="139" t="n">
        <v>4</v>
      </c>
      <c r="I587" s="139" t="n">
        <v>8</v>
      </c>
      <c r="J587" s="17" t="n">
        <v>5449.8</v>
      </c>
      <c r="K587" s="17" t="n">
        <v>4938.7</v>
      </c>
      <c r="L587" s="17" t="n">
        <v>0</v>
      </c>
      <c r="M587" s="140" t="n">
        <v>212</v>
      </c>
      <c r="N587" s="16" t="n">
        <f aca="false" ca="false" dt2D="false" dtr="false" t="normal">P587+Q587+R587+S587+T587</f>
        <v>22487242.770000003</v>
      </c>
      <c r="O587" s="17" t="n"/>
      <c r="P587" s="18" t="n">
        <v>16013464.36</v>
      </c>
      <c r="Q587" s="18" t="n"/>
      <c r="R587" s="27" t="n">
        <v>1018492.8</v>
      </c>
      <c r="S587" s="27" t="n">
        <v>2127659.76</v>
      </c>
      <c r="T587" s="27" t="n">
        <v>3327625.85</v>
      </c>
      <c r="U587" s="17" t="n">
        <v>807.070779116792</v>
      </c>
      <c r="V587" s="17" t="n">
        <v>807.070779116792</v>
      </c>
      <c r="W587" s="21" t="n">
        <v>2024</v>
      </c>
      <c r="X587" s="12" t="n"/>
      <c r="Y587" s="3" t="n">
        <f aca="false" ca="false" dt2D="false" dtr="false" t="normal">+(K587*11.55+L587*23.1)*12*0.85</f>
        <v>581828.2470000001</v>
      </c>
      <c r="Z587" s="3" t="n">
        <f aca="false" ca="false" dt2D="false" dtr="false" t="normal">+(K587*11.55+L587*23.1)*12*30-'[1]Лист1'!$AQ$302</f>
        <v>3136741.8200000003</v>
      </c>
      <c r="AA587" s="3" t="n">
        <f aca="false" ca="false" dt2D="false" dtr="false" t="normal">+N587-AB587</f>
        <v>0</v>
      </c>
      <c r="AB587" s="27" t="n">
        <f aca="false" ca="true" dt2D="false" dtr="false" t="normal">SUBTOTAL(9, AC587:AQ587)</f>
        <v>22487242.77</v>
      </c>
      <c r="AC587" s="17" t="n"/>
      <c r="AD587" s="18" t="n">
        <v>3495031.17</v>
      </c>
      <c r="AE587" s="18" t="n"/>
      <c r="AF587" s="18" t="n"/>
      <c r="AG587" s="18" t="n">
        <v>2528349.6</v>
      </c>
      <c r="AH587" s="18" t="n"/>
      <c r="AI587" s="17" t="n"/>
      <c r="AJ587" s="18" t="n"/>
      <c r="AK587" s="18" t="n"/>
      <c r="AL587" s="18" t="n"/>
      <c r="AM587" s="18" t="n">
        <v>16463862</v>
      </c>
      <c r="AN587" s="18" t="n"/>
      <c r="AO587" s="189" t="n"/>
      <c r="AP587" s="189" t="n"/>
      <c r="AQ587" s="191" t="n"/>
      <c r="AR587" s="186" t="n">
        <f aca="false" ca="false" dt2D="false" dtr="false" t="normal">COUNTIF(AC587:AN587, "&gt;0")</f>
        <v>3</v>
      </c>
      <c r="AU587" s="3" t="n"/>
    </row>
    <row ht="15.75" outlineLevel="0" r="588">
      <c r="A588" s="5" t="n">
        <f aca="false" ca="false" dt2D="false" dtr="false" t="normal">A587+1</f>
        <v>567</v>
      </c>
      <c r="B588" s="6" t="n">
        <f aca="false" ca="false" dt2D="false" dtr="false" t="normal">B587+1</f>
        <v>107</v>
      </c>
      <c r="C588" s="138" t="s">
        <v>177</v>
      </c>
      <c r="D588" s="138" t="s">
        <v>380</v>
      </c>
      <c r="E588" s="139" t="n">
        <v>1976</v>
      </c>
      <c r="F588" s="139" t="n">
        <v>2013</v>
      </c>
      <c r="G588" s="139" t="s">
        <v>4</v>
      </c>
      <c r="H588" s="139" t="n">
        <v>5</v>
      </c>
      <c r="I588" s="139" t="n">
        <v>4</v>
      </c>
      <c r="J588" s="17" t="n">
        <v>3698.5</v>
      </c>
      <c r="K588" s="17" t="n">
        <v>3331.4</v>
      </c>
      <c r="L588" s="17" t="n">
        <v>142.2</v>
      </c>
      <c r="M588" s="140" t="n">
        <v>143</v>
      </c>
      <c r="N588" s="16" t="n">
        <f aca="false" ca="false" dt2D="false" dtr="false" t="normal">P588+Q588+R588+S588+T588</f>
        <v>16798854</v>
      </c>
      <c r="O588" s="17" t="n"/>
      <c r="P588" s="18" t="n">
        <v>4266205.82</v>
      </c>
      <c r="Q588" s="18" t="n"/>
      <c r="R588" s="27" t="n">
        <v>360616.8</v>
      </c>
      <c r="S588" s="27" t="n">
        <v>10492145.89</v>
      </c>
      <c r="T588" s="27" t="n">
        <v>1679885.49</v>
      </c>
      <c r="U588" s="17" t="n">
        <v>5311.6250082916</v>
      </c>
      <c r="V588" s="17" t="n">
        <v>5311.6250082916</v>
      </c>
      <c r="W588" s="21" t="n">
        <v>2024</v>
      </c>
      <c r="X588" s="12" t="n">
        <f aca="false" ca="false" dt2D="false" dtr="false" t="normal">1714139.94-279174.44-139587.22-R276</f>
        <v>1202880.77</v>
      </c>
      <c r="Y588" s="3" t="n">
        <f aca="false" ca="false" dt2D="false" dtr="false" t="normal">+(K588*11.55+L588*23.1)*12*0.85</f>
        <v>425977.39800000004</v>
      </c>
      <c r="Z588" s="3" t="n">
        <f aca="false" ca="false" dt2D="false" dtr="false" t="normal">+(K588*11.55+L588*23.1)*12*30</f>
        <v>15034496.400000002</v>
      </c>
      <c r="AA588" s="3" t="n">
        <f aca="false" ca="false" dt2D="false" dtr="false" t="normal">+N588-AB588</f>
        <v>0</v>
      </c>
      <c r="AB588" s="27" t="n">
        <f aca="false" ca="true" dt2D="false" dtr="false" t="normal">SUBTOTAL(9, AC588:AQ588)</f>
        <v>16798854</v>
      </c>
      <c r="AC588" s="17" t="n"/>
      <c r="AD588" s="18" t="n"/>
      <c r="AE588" s="18" t="n">
        <v>0</v>
      </c>
      <c r="AF588" s="18" t="n">
        <v>0</v>
      </c>
      <c r="AG588" s="18" t="n"/>
      <c r="AH588" s="18" t="n"/>
      <c r="AI588" s="17" t="n"/>
      <c r="AJ588" s="18" t="n">
        <v>0</v>
      </c>
      <c r="AK588" s="18" t="n">
        <v>16798854</v>
      </c>
      <c r="AL588" s="18" t="n">
        <v>0</v>
      </c>
      <c r="AM588" s="18" t="n">
        <v>0</v>
      </c>
      <c r="AN588" s="18" t="n">
        <v>0</v>
      </c>
      <c r="AO588" s="18" t="n"/>
      <c r="AP588" s="18" t="n"/>
      <c r="AQ588" s="185" t="n"/>
      <c r="AR588" s="186" t="n">
        <f aca="false" ca="false" dt2D="false" dtr="false" t="normal">COUNTIF(AC588:AN588, "&gt;0")</f>
        <v>1</v>
      </c>
      <c r="AU588" s="3" t="n"/>
    </row>
    <row ht="15.75" outlineLevel="0" r="589">
      <c r="A589" s="5" t="n">
        <f aca="false" ca="false" dt2D="false" dtr="false" t="normal">A588+1</f>
        <v>568</v>
      </c>
      <c r="B589" s="6" t="n">
        <f aca="false" ca="false" dt2D="false" dtr="false" t="normal">B588+1</f>
        <v>108</v>
      </c>
      <c r="C589" s="6" t="s">
        <v>177</v>
      </c>
      <c r="D589" s="6" t="s">
        <v>382</v>
      </c>
      <c r="E589" s="164" t="s">
        <v>383</v>
      </c>
      <c r="F589" s="164" t="n">
        <v>2011</v>
      </c>
      <c r="G589" s="164" t="s">
        <v>4</v>
      </c>
      <c r="H589" s="164" t="n">
        <v>4</v>
      </c>
      <c r="I589" s="164" t="n">
        <v>4</v>
      </c>
      <c r="J589" s="18" t="n">
        <v>2994.2</v>
      </c>
      <c r="K589" s="18" t="n">
        <v>2607.6</v>
      </c>
      <c r="L589" s="18" t="n">
        <v>383.9</v>
      </c>
      <c r="M589" s="165" t="n">
        <v>101</v>
      </c>
      <c r="N589" s="16" t="n">
        <f aca="false" ca="false" dt2D="false" dtr="false" t="normal">P589+Q589+R589+S589+T589</f>
        <v>5870908.03</v>
      </c>
      <c r="O589" s="18" t="n"/>
      <c r="P589" s="18" t="n">
        <v>0</v>
      </c>
      <c r="Q589" s="18" t="n"/>
      <c r="R589" s="27" t="n">
        <v>361505.34</v>
      </c>
      <c r="S589" s="27" t="n">
        <v>5509402.69</v>
      </c>
      <c r="T589" s="27" t="n">
        <v>0</v>
      </c>
      <c r="U589" s="18" t="n">
        <v>4892.67</v>
      </c>
      <c r="V589" s="18" t="n">
        <v>4892.67</v>
      </c>
      <c r="W589" s="21" t="n">
        <v>2024</v>
      </c>
      <c r="X589" s="12" t="n">
        <v>2558549.3</v>
      </c>
      <c r="Y589" s="3" t="n">
        <f aca="false" ca="false" dt2D="false" dtr="false" t="normal">+(K589*10.5+L589*21)*12*0.85</f>
        <v>361505.33999999997</v>
      </c>
      <c r="Z589" s="3" t="n">
        <f aca="false" ca="false" dt2D="false" dtr="false" t="normal">+(K589*11.55+L589*23.1)*12*30</f>
        <v>14034913.200000001</v>
      </c>
      <c r="AA589" s="3" t="n">
        <f aca="false" ca="false" dt2D="false" dtr="false" t="normal">+N589-AB589</f>
        <v>0</v>
      </c>
      <c r="AB589" s="27" t="n">
        <f aca="false" ca="true" dt2D="false" dtr="false" t="normal">SUBTOTAL(9, AC589:AQ589)</f>
        <v>5870908.03</v>
      </c>
      <c r="AC589" s="17" t="n"/>
      <c r="AD589" s="18" t="n"/>
      <c r="AE589" s="18" t="n"/>
      <c r="AF589" s="18" t="n"/>
      <c r="AG589" s="18" t="n"/>
      <c r="AH589" s="18" t="n"/>
      <c r="AI589" s="17" t="n"/>
      <c r="AJ589" s="18" t="n"/>
      <c r="AK589" s="18" t="n"/>
      <c r="AL589" s="18" t="n"/>
      <c r="AM589" s="18" t="n">
        <v>5870908.03</v>
      </c>
      <c r="AN589" s="18" t="n"/>
      <c r="AO589" s="18" t="n"/>
      <c r="AP589" s="18" t="n"/>
      <c r="AQ589" s="185" t="n"/>
      <c r="AR589" s="186" t="n">
        <f aca="false" ca="false" dt2D="false" dtr="false" t="normal">COUNTIF(AC589:AN589, "&gt;0")</f>
        <v>1</v>
      </c>
      <c r="AU589" s="3" t="n"/>
    </row>
    <row ht="15.75" outlineLevel="0" r="590">
      <c r="A590" s="5" t="n">
        <f aca="false" ca="false" dt2D="false" dtr="false" t="normal">A589+1</f>
        <v>569</v>
      </c>
      <c r="B590" s="6" t="n">
        <f aca="false" ca="false" dt2D="false" dtr="false" t="normal">B589+1</f>
        <v>109</v>
      </c>
      <c r="C590" s="6" t="s">
        <v>177</v>
      </c>
      <c r="D590" s="6" t="s">
        <v>385</v>
      </c>
      <c r="E590" s="164" t="n">
        <v>1977</v>
      </c>
      <c r="F590" s="164" t="n">
        <v>2016</v>
      </c>
      <c r="G590" s="164" t="s">
        <v>4</v>
      </c>
      <c r="H590" s="164" t="n">
        <v>4</v>
      </c>
      <c r="I590" s="164" t="n">
        <v>3</v>
      </c>
      <c r="J590" s="18" t="n">
        <v>4282.03</v>
      </c>
      <c r="K590" s="18" t="n">
        <v>3649.25</v>
      </c>
      <c r="L590" s="18" t="n">
        <v>274</v>
      </c>
      <c r="M590" s="165" t="n">
        <v>288</v>
      </c>
      <c r="N590" s="16" t="n">
        <f aca="false" ca="false" dt2D="false" dtr="false" t="normal">P590+Q590+R590+S590+T590</f>
        <v>27284187.03</v>
      </c>
      <c r="O590" s="18" t="n"/>
      <c r="P590" s="18" t="n">
        <v>10747050.9</v>
      </c>
      <c r="Q590" s="18" t="n"/>
      <c r="R590" s="27" t="n">
        <v>0</v>
      </c>
      <c r="S590" s="27" t="n">
        <v>13734445.02</v>
      </c>
      <c r="T590" s="27" t="n">
        <v>2802691.11</v>
      </c>
      <c r="U590" s="18" t="n">
        <v>11469.0586960308</v>
      </c>
      <c r="V590" s="18" t="n">
        <v>11469.0586960308</v>
      </c>
      <c r="W590" s="21" t="n">
        <v>2024</v>
      </c>
      <c r="X590" s="12" t="n"/>
      <c r="Y590" s="3" t="n">
        <f aca="false" ca="false" dt2D="false" dtr="false" t="normal">+(K590*11.55+L590*23.1)*12*0.85</f>
        <v>494478.0225000001</v>
      </c>
      <c r="Z590" s="3" t="n">
        <f aca="false" ca="false" dt2D="false" dtr="false" t="normal">+(K590*11.55+L590*23.1)*12*30-'[1]Лист1'!$AQ$306</f>
        <v>14850249.260000004</v>
      </c>
      <c r="AA590" s="3" t="n">
        <f aca="false" ca="false" dt2D="false" dtr="false" t="normal">+N590-AB590</f>
        <v>0</v>
      </c>
      <c r="AB590" s="27" t="n">
        <f aca="false" ca="true" dt2D="false" dtr="false" t="normal">SUBTOTAL(9, AC590:AQ590)</f>
        <v>27284187.03</v>
      </c>
      <c r="AC590" s="17" t="n">
        <v>8615558.62</v>
      </c>
      <c r="AD590" s="18" t="n">
        <v>0</v>
      </c>
      <c r="AE590" s="18" t="n">
        <v>4047440.7</v>
      </c>
      <c r="AF590" s="18" t="n">
        <v>0</v>
      </c>
      <c r="AG590" s="18" t="n">
        <v>0</v>
      </c>
      <c r="AH590" s="18" t="n"/>
      <c r="AI590" s="17" t="n">
        <v>0</v>
      </c>
      <c r="AJ590" s="18" t="n">
        <v>0</v>
      </c>
      <c r="AK590" s="18" t="n">
        <v>0</v>
      </c>
      <c r="AL590" s="18" t="n">
        <v>0</v>
      </c>
      <c r="AM590" s="18" t="n">
        <v>14621187.71</v>
      </c>
      <c r="AN590" s="18" t="n">
        <v>0</v>
      </c>
      <c r="AO590" s="18" t="n"/>
      <c r="AP590" s="18" t="n"/>
      <c r="AQ590" s="185" t="n"/>
      <c r="AR590" s="186" t="n">
        <f aca="false" ca="false" dt2D="false" dtr="false" t="normal">COUNTIF(AC590:AN590, "&gt;0")</f>
        <v>3</v>
      </c>
      <c r="AU590" s="3" t="n"/>
    </row>
    <row ht="15.75" outlineLevel="0" r="591">
      <c r="A591" s="5" t="n">
        <f aca="false" ca="false" dt2D="false" dtr="false" t="normal">A590+1</f>
        <v>570</v>
      </c>
      <c r="B591" s="6" t="n">
        <f aca="false" ca="false" dt2D="false" dtr="false" t="normal">B590+1</f>
        <v>110</v>
      </c>
      <c r="C591" s="6" t="s">
        <v>177</v>
      </c>
      <c r="D591" s="6" t="s">
        <v>267</v>
      </c>
      <c r="E591" s="164" t="s">
        <v>383</v>
      </c>
      <c r="F591" s="164" t="n"/>
      <c r="G591" s="164" t="s">
        <v>4</v>
      </c>
      <c r="H591" s="164" t="n">
        <v>4</v>
      </c>
      <c r="I591" s="164" t="n">
        <v>2</v>
      </c>
      <c r="J591" s="18" t="n">
        <v>1305.4</v>
      </c>
      <c r="K591" s="18" t="n">
        <v>1212.2</v>
      </c>
      <c r="L591" s="18" t="n">
        <v>0</v>
      </c>
      <c r="M591" s="165" t="n">
        <v>60</v>
      </c>
      <c r="N591" s="16" t="n">
        <f aca="false" ca="false" dt2D="false" dtr="false" t="normal">P591+Q591+R591+S591+T591</f>
        <v>7025505.17</v>
      </c>
      <c r="O591" s="18" t="n"/>
      <c r="P591" s="18" t="n">
        <v>3243348.94</v>
      </c>
      <c r="Q591" s="18" t="n"/>
      <c r="R591" s="27" t="n">
        <v>129826.62</v>
      </c>
      <c r="S591" s="27" t="n">
        <v>2901309.37</v>
      </c>
      <c r="T591" s="27" t="n">
        <v>751020.24</v>
      </c>
      <c r="U591" s="18" t="n">
        <v>4892.67</v>
      </c>
      <c r="V591" s="18" t="n">
        <v>4892.67</v>
      </c>
      <c r="W591" s="21" t="n">
        <v>2024</v>
      </c>
      <c r="X591" s="12" t="n">
        <v>909150.67</v>
      </c>
      <c r="Y591" s="3" t="n">
        <f aca="false" ca="false" dt2D="false" dtr="false" t="normal">+(K591*10.5+L591*21)*12*0.85</f>
        <v>129826.62000000001</v>
      </c>
      <c r="Z591" s="3" t="n">
        <f aca="false" ca="false" dt2D="false" dtr="false" t="normal">+(K591*11.55+L591*23.1)*12*30</f>
        <v>5040327.600000001</v>
      </c>
      <c r="AA591" s="3" t="n">
        <f aca="false" ca="false" dt2D="false" dtr="false" t="normal">+N591-AB591</f>
        <v>0</v>
      </c>
      <c r="AB591" s="27" t="n">
        <f aca="false" ca="true" dt2D="false" dtr="false" t="normal">SUBTOTAL(9, AC591:AQ591)</f>
        <v>7025505.17</v>
      </c>
      <c r="AC591" s="17" t="n"/>
      <c r="AD591" s="18" t="n"/>
      <c r="AE591" s="18" t="n"/>
      <c r="AF591" s="18" t="n"/>
      <c r="AG591" s="18" t="n"/>
      <c r="AH591" s="18" t="n"/>
      <c r="AI591" s="17" t="n"/>
      <c r="AJ591" s="18" t="n"/>
      <c r="AK591" s="18" t="n"/>
      <c r="AL591" s="18" t="n"/>
      <c r="AM591" s="18" t="n">
        <v>7025505.17</v>
      </c>
      <c r="AN591" s="18" t="n"/>
      <c r="AO591" s="18" t="n"/>
      <c r="AP591" s="18" t="n"/>
      <c r="AQ591" s="185" t="n"/>
      <c r="AR591" s="186" t="n">
        <f aca="false" ca="false" dt2D="false" dtr="false" t="normal">COUNTIF(AC591:AN591, "&gt;0")</f>
        <v>1</v>
      </c>
      <c r="AU591" s="3" t="n"/>
    </row>
    <row ht="15.75" outlineLevel="0" r="592">
      <c r="A592" s="5" t="n">
        <f aca="false" ca="false" dt2D="false" dtr="false" t="normal">A591+1</f>
        <v>571</v>
      </c>
      <c r="B592" s="6" t="n">
        <f aca="false" ca="false" dt2D="false" dtr="false" t="normal">B591+1</f>
        <v>111</v>
      </c>
      <c r="C592" s="6" t="s">
        <v>177</v>
      </c>
      <c r="D592" s="6" t="s">
        <v>389</v>
      </c>
      <c r="E592" s="164" t="n">
        <v>1988</v>
      </c>
      <c r="F592" s="164" t="n">
        <v>2013</v>
      </c>
      <c r="G592" s="164" t="s">
        <v>4</v>
      </c>
      <c r="H592" s="164" t="n">
        <v>3</v>
      </c>
      <c r="I592" s="164" t="n">
        <v>3</v>
      </c>
      <c r="J592" s="18" t="n">
        <v>1440</v>
      </c>
      <c r="K592" s="18" t="n">
        <v>1362.6</v>
      </c>
      <c r="L592" s="18" t="n">
        <v>0</v>
      </c>
      <c r="M592" s="165" t="n">
        <v>55</v>
      </c>
      <c r="N592" s="16" t="n">
        <f aca="false" ca="false" dt2D="false" dtr="false" t="normal">P592+Q592+R592+S592+T592</f>
        <v>4057060.33</v>
      </c>
      <c r="O592" s="18" t="n"/>
      <c r="P592" s="18" t="n">
        <v>0</v>
      </c>
      <c r="Q592" s="18" t="n"/>
      <c r="R592" s="27" t="n">
        <v>548144.62</v>
      </c>
      <c r="S592" s="27" t="n">
        <v>3508915.71</v>
      </c>
      <c r="T592" s="27" t="n">
        <v>0</v>
      </c>
      <c r="U592" s="18" t="n">
        <v>9625.16321845279</v>
      </c>
      <c r="V592" s="18" t="n">
        <v>1301.283020064</v>
      </c>
      <c r="W592" s="21" t="n">
        <v>2024</v>
      </c>
      <c r="X592" s="103" t="n">
        <v>737152.83</v>
      </c>
      <c r="Y592" s="3" t="n">
        <f aca="false" ca="false" dt2D="false" dtr="false" t="normal">+(K592*10.5+L592*21)*12*0.85</f>
        <v>145934.45999999996</v>
      </c>
      <c r="Z592" s="3" t="n">
        <f aca="false" ca="false" dt2D="false" dtr="false" t="normal">+(K592*11.55+L592*23.1)*12*30</f>
        <v>5665690.800000001</v>
      </c>
      <c r="AA592" s="3" t="n">
        <f aca="false" ca="false" dt2D="false" dtr="false" t="normal">+N592-AB592</f>
        <v>0</v>
      </c>
      <c r="AB592" s="27" t="n">
        <f aca="false" ca="true" dt2D="false" dtr="false" t="normal">SUBTOTAL(9, AC592:AQ592)</f>
        <v>4057060.33</v>
      </c>
      <c r="AC592" s="17" t="n">
        <v>3164600.94</v>
      </c>
      <c r="AD592" s="18" t="n"/>
      <c r="AE592" s="18" t="n">
        <v>892459.39</v>
      </c>
      <c r="AF592" s="18" t="n"/>
      <c r="AG592" s="18" t="n"/>
      <c r="AH592" s="18" t="n"/>
      <c r="AI592" s="17" t="n"/>
      <c r="AJ592" s="18" t="n">
        <v>0</v>
      </c>
      <c r="AK592" s="18" t="n"/>
      <c r="AL592" s="18" t="n">
        <v>0</v>
      </c>
      <c r="AM592" s="18" t="n">
        <v>0</v>
      </c>
      <c r="AN592" s="18" t="n">
        <v>0</v>
      </c>
      <c r="AO592" s="189" t="n"/>
      <c r="AP592" s="189" t="n"/>
      <c r="AQ592" s="185" t="n"/>
      <c r="AR592" s="186" t="n">
        <f aca="false" ca="false" dt2D="false" dtr="false" t="normal">COUNTIF(AC592:AN592, "&gt;0")</f>
        <v>2</v>
      </c>
      <c r="AU592" s="3" t="n"/>
    </row>
    <row ht="15.75" outlineLevel="0" r="593">
      <c r="A593" s="5" t="n">
        <f aca="false" ca="false" dt2D="false" dtr="false" t="normal">A592+1</f>
        <v>572</v>
      </c>
      <c r="B593" s="6" t="n">
        <f aca="false" ca="false" dt2D="false" dtr="false" t="normal">B592+1</f>
        <v>112</v>
      </c>
      <c r="C593" s="6" t="s">
        <v>177</v>
      </c>
      <c r="D593" s="6" t="s">
        <v>391</v>
      </c>
      <c r="E593" s="164" t="n">
        <v>1989</v>
      </c>
      <c r="F593" s="164" t="n">
        <v>2013</v>
      </c>
      <c r="G593" s="164" t="s">
        <v>4</v>
      </c>
      <c r="H593" s="164" t="n">
        <v>3</v>
      </c>
      <c r="I593" s="164" t="n">
        <v>3</v>
      </c>
      <c r="J593" s="18" t="n">
        <v>1505.9</v>
      </c>
      <c r="K593" s="18" t="n">
        <v>1326.7</v>
      </c>
      <c r="L593" s="18" t="n">
        <v>0</v>
      </c>
      <c r="M593" s="165" t="n">
        <v>75</v>
      </c>
      <c r="N593" s="16" t="n">
        <f aca="false" ca="false" dt2D="false" dtr="false" t="normal">P593+Q593+R593+S593+T593</f>
        <v>6621085.359999999</v>
      </c>
      <c r="O593" s="18" t="n"/>
      <c r="P593" s="18" t="n">
        <v>2206663.59</v>
      </c>
      <c r="Q593" s="18" t="n"/>
      <c r="R593" s="27" t="n">
        <v>802931.46</v>
      </c>
      <c r="S593" s="27" t="n">
        <v>3611490.31</v>
      </c>
      <c r="T593" s="27" t="n">
        <v>0</v>
      </c>
      <c r="U593" s="18" t="n">
        <v>7303.10988934951</v>
      </c>
      <c r="V593" s="18" t="n">
        <v>1302.283020064</v>
      </c>
      <c r="W593" s="21" t="n">
        <v>2024</v>
      </c>
      <c r="X593" s="103" t="n">
        <v>797138.46</v>
      </c>
      <c r="Y593" s="3" t="n">
        <f aca="false" ca="false" dt2D="false" dtr="false" t="normal">+(K593*10.5+L593*21)*12*0.85</f>
        <v>142089.57</v>
      </c>
      <c r="Z593" s="3" t="n">
        <f aca="false" ca="false" dt2D="false" dtr="false" t="normal">+(K593*11.55+L593*23.1)*12*30</f>
        <v>5516418.600000001</v>
      </c>
      <c r="AA593" s="3" t="n">
        <f aca="false" ca="false" dt2D="false" dtr="false" t="normal">+N593-AB593</f>
        <v>0</v>
      </c>
      <c r="AB593" s="27" t="n">
        <f aca="false" ca="true" dt2D="false" dtr="false" t="normal">SUBTOTAL(9, AC593:AQ593)</f>
        <v>6621085.36</v>
      </c>
      <c r="AC593" s="17" t="n">
        <v>0</v>
      </c>
      <c r="AD593" s="18" t="n">
        <v>0</v>
      </c>
      <c r="AE593" s="18" t="n">
        <v>0</v>
      </c>
      <c r="AF593" s="18" t="n">
        <v>0</v>
      </c>
      <c r="AG593" s="18" t="n">
        <v>0</v>
      </c>
      <c r="AH593" s="18" t="n"/>
      <c r="AI593" s="17" t="n"/>
      <c r="AJ593" s="18" t="n">
        <v>0</v>
      </c>
      <c r="AK593" s="18" t="n">
        <v>0</v>
      </c>
      <c r="AL593" s="18" t="n">
        <v>0</v>
      </c>
      <c r="AM593" s="18" t="n">
        <v>0</v>
      </c>
      <c r="AN593" s="18" t="n">
        <v>6621085.36</v>
      </c>
      <c r="AO593" s="18" t="n"/>
      <c r="AP593" s="18" t="n"/>
      <c r="AQ593" s="185" t="n"/>
      <c r="AR593" s="186" t="n">
        <f aca="false" ca="false" dt2D="false" dtr="false" t="normal">COUNTIF(AC593:AN593, "&gt;0")</f>
        <v>1</v>
      </c>
      <c r="AU593" s="3" t="n"/>
    </row>
    <row ht="15.75" outlineLevel="0" r="594">
      <c r="A594" s="5" t="n">
        <f aca="false" ca="false" dt2D="false" dtr="false" t="normal">A593+1</f>
        <v>573</v>
      </c>
      <c r="B594" s="6" t="n">
        <f aca="false" ca="false" dt2D="false" dtr="false" t="normal">B593+1</f>
        <v>113</v>
      </c>
      <c r="C594" s="6" t="s">
        <v>177</v>
      </c>
      <c r="D594" s="6" t="s">
        <v>392</v>
      </c>
      <c r="E594" s="164" t="n">
        <v>1979</v>
      </c>
      <c r="F594" s="164" t="n">
        <v>2008</v>
      </c>
      <c r="G594" s="164" t="s">
        <v>4</v>
      </c>
      <c r="H594" s="164" t="n">
        <v>4</v>
      </c>
      <c r="I594" s="164" t="n">
        <v>1</v>
      </c>
      <c r="J594" s="18" t="n">
        <v>4953.1</v>
      </c>
      <c r="K594" s="18" t="n">
        <v>4344.8</v>
      </c>
      <c r="L594" s="18" t="n">
        <v>0</v>
      </c>
      <c r="M594" s="165" t="n">
        <v>210</v>
      </c>
      <c r="N594" s="16" t="n">
        <f aca="false" ca="false" dt2D="false" dtr="false" t="normal">P594+Q594+R594+S594+T594</f>
        <v>24902952.13</v>
      </c>
      <c r="O594" s="18" t="n"/>
      <c r="P594" s="18" t="n">
        <v>3588399.46</v>
      </c>
      <c r="Q594" s="18" t="n"/>
      <c r="R594" s="27" t="n">
        <v>2754406.84</v>
      </c>
      <c r="S594" s="27" t="n">
        <v>16069850.62</v>
      </c>
      <c r="T594" s="27" t="n">
        <v>2490295.21</v>
      </c>
      <c r="U594" s="18" t="n">
        <v>5940.42810628797</v>
      </c>
      <c r="V594" s="18" t="n">
        <v>1303.283020064</v>
      </c>
      <c r="W594" s="21" t="n">
        <v>2024</v>
      </c>
      <c r="X594" s="1" t="n">
        <f aca="false" ca="false" dt2D="false" dtr="false" t="normal">2464536.95-175458.19</f>
        <v>2289078.7600000002</v>
      </c>
      <c r="Y594" s="3" t="n">
        <f aca="false" ca="false" dt2D="false" dtr="false" t="normal">+(K594*10.5+L594*21)*12*0.85</f>
        <v>465328.08</v>
      </c>
      <c r="Z594" s="3" t="n">
        <f aca="false" ca="false" dt2D="false" dtr="false" t="normal">+(K594*11.55+L594*23.1)*12*30</f>
        <v>18065678.400000002</v>
      </c>
      <c r="AA594" s="3" t="n">
        <f aca="false" ca="false" dt2D="false" dtr="false" t="normal">+N594-AB594</f>
        <v>0</v>
      </c>
      <c r="AB594" s="27" t="n">
        <f aca="false" ca="true" dt2D="false" dtr="false" t="normal">SUBTOTAL(9, AC594:AQ594)</f>
        <v>24902952.13</v>
      </c>
      <c r="AC594" s="17" t="n"/>
      <c r="AD594" s="18" t="n"/>
      <c r="AE594" s="18" t="n"/>
      <c r="AF594" s="18" t="n"/>
      <c r="AG594" s="18" t="n"/>
      <c r="AH594" s="18" t="n"/>
      <c r="AI594" s="17" t="n"/>
      <c r="AJ594" s="18" t="n"/>
      <c r="AK594" s="18" t="n"/>
      <c r="AL594" s="18" t="n">
        <v>0</v>
      </c>
      <c r="AM594" s="18" t="n">
        <v>24902952.13</v>
      </c>
      <c r="AN594" s="18" t="n"/>
      <c r="AO594" s="18" t="n"/>
      <c r="AP594" s="18" t="n"/>
      <c r="AQ594" s="185" t="n"/>
      <c r="AR594" s="186" t="n">
        <f aca="false" ca="false" dt2D="false" dtr="false" t="normal">COUNTIF(AC594:AN594, "&gt;0")</f>
        <v>1</v>
      </c>
      <c r="AU594" s="3" t="n"/>
    </row>
    <row ht="15.75" outlineLevel="0" r="595">
      <c r="A595" s="5" t="n">
        <f aca="false" ca="false" dt2D="false" dtr="false" t="normal">A594+1</f>
        <v>574</v>
      </c>
      <c r="B595" s="6" t="n">
        <f aca="false" ca="false" dt2D="false" dtr="false" t="normal">B594+1</f>
        <v>114</v>
      </c>
      <c r="C595" s="6" t="s">
        <v>177</v>
      </c>
      <c r="D595" s="6" t="s">
        <v>276</v>
      </c>
      <c r="E595" s="164" t="n">
        <v>1961</v>
      </c>
      <c r="F595" s="164" t="n">
        <v>2013</v>
      </c>
      <c r="G595" s="164" t="s">
        <v>4</v>
      </c>
      <c r="H595" s="164" t="n">
        <v>4</v>
      </c>
      <c r="I595" s="164" t="n">
        <v>3</v>
      </c>
      <c r="J595" s="18" t="n">
        <v>3049.5</v>
      </c>
      <c r="K595" s="18" t="n">
        <v>2277.6</v>
      </c>
      <c r="L595" s="18" t="n">
        <v>771.9</v>
      </c>
      <c r="M595" s="165" t="n">
        <v>94</v>
      </c>
      <c r="N595" s="16" t="n">
        <f aca="false" ca="false" dt2D="false" dtr="false" t="normal">P595+Q595+R595+S595+T595</f>
        <v>2707442.59</v>
      </c>
      <c r="O595" s="18" t="n"/>
      <c r="P595" s="18" t="n">
        <v>0</v>
      </c>
      <c r="Q595" s="18" t="n"/>
      <c r="R595" s="27" t="n">
        <v>451230.07</v>
      </c>
      <c r="S595" s="27" t="n">
        <v>2256212.52</v>
      </c>
      <c r="T595" s="27" t="n">
        <v>0</v>
      </c>
      <c r="U595" s="18" t="n">
        <v>945.742</v>
      </c>
      <c r="V595" s="18" t="n">
        <v>945.742</v>
      </c>
      <c r="W595" s="21" t="n">
        <v>2024</v>
      </c>
      <c r="X595" s="12" t="n">
        <f aca="false" ca="false" dt2D="false" dtr="false" t="normal">1647685.87-R417</f>
        <v>709896.3600000001</v>
      </c>
      <c r="Y595" s="3" t="n">
        <f aca="false" ca="false" dt2D="false" dtr="false" t="normal">+(K595*10+L595*20)*12*0.85</f>
        <v>389782.8</v>
      </c>
      <c r="Z595" s="3" t="n">
        <f aca="false" ca="false" dt2D="false" dtr="false" t="normal">+(K595*11.55+L595*23.1)*12*30</f>
        <v>15889381.200000001</v>
      </c>
      <c r="AA595" s="3" t="n">
        <f aca="false" ca="false" dt2D="false" dtr="false" t="normal">+N595-AB595</f>
        <v>0</v>
      </c>
      <c r="AB595" s="27" t="n">
        <f aca="false" ca="true" dt2D="false" dtr="false" t="normal">SUBTOTAL(9, AC595:AQ595)</f>
        <v>2707442.59</v>
      </c>
      <c r="AC595" s="17" t="n"/>
      <c r="AD595" s="18" t="n"/>
      <c r="AE595" s="18" t="n"/>
      <c r="AF595" s="18" t="n">
        <v>2707442.59</v>
      </c>
      <c r="AG595" s="18" t="n"/>
      <c r="AH595" s="18" t="n"/>
      <c r="AI595" s="17" t="n"/>
      <c r="AJ595" s="18" t="n">
        <v>0</v>
      </c>
      <c r="AK595" s="18" t="n">
        <v>0</v>
      </c>
      <c r="AL595" s="18" t="n">
        <v>0</v>
      </c>
      <c r="AM595" s="18" t="n">
        <v>0</v>
      </c>
      <c r="AN595" s="18" t="n">
        <v>0</v>
      </c>
      <c r="AO595" s="18" t="n"/>
      <c r="AP595" s="18" t="n"/>
      <c r="AQ595" s="185" t="n"/>
      <c r="AR595" s="186" t="n">
        <f aca="false" ca="false" dt2D="false" dtr="false" t="normal">COUNTIF(AC595:AN595, "&gt;0")</f>
        <v>1</v>
      </c>
      <c r="AU595" s="3" t="n"/>
    </row>
    <row ht="15.75" outlineLevel="0" r="596">
      <c r="A596" s="5" t="n">
        <f aca="false" ca="false" dt2D="false" dtr="false" t="normal">A595+1</f>
        <v>575</v>
      </c>
      <c r="B596" s="6" t="n">
        <f aca="false" ca="false" dt2D="false" dtr="false" t="normal">B595+1</f>
        <v>115</v>
      </c>
      <c r="C596" s="6" t="s">
        <v>177</v>
      </c>
      <c r="D596" s="6" t="s">
        <v>394</v>
      </c>
      <c r="E596" s="164" t="n">
        <v>1981</v>
      </c>
      <c r="F596" s="164" t="n">
        <v>2013</v>
      </c>
      <c r="G596" s="164" t="s">
        <v>4</v>
      </c>
      <c r="H596" s="164" t="n">
        <v>5</v>
      </c>
      <c r="I596" s="164" t="n">
        <v>4</v>
      </c>
      <c r="J596" s="18" t="n">
        <v>4887.3</v>
      </c>
      <c r="K596" s="18" t="n">
        <v>4312.9</v>
      </c>
      <c r="L596" s="18" t="n">
        <v>0</v>
      </c>
      <c r="M596" s="165" t="n">
        <v>195</v>
      </c>
      <c r="N596" s="16" t="n">
        <f aca="false" ca="false" dt2D="false" dtr="false" t="normal">P596+Q596+R596+S596+T596</f>
        <v>9269710.49</v>
      </c>
      <c r="O596" s="18" t="n"/>
      <c r="P596" s="18" t="n">
        <v>490888.57</v>
      </c>
      <c r="Q596" s="18" t="n"/>
      <c r="R596" s="27" t="n">
        <v>0</v>
      </c>
      <c r="S596" s="27" t="n">
        <v>8778821.92</v>
      </c>
      <c r="T596" s="27" t="n">
        <v>0</v>
      </c>
      <c r="U596" s="18" t="n">
        <v>16925.2601604879</v>
      </c>
      <c r="V596" s="18" t="n">
        <v>1306.283020064</v>
      </c>
      <c r="W596" s="21" t="n">
        <v>2024</v>
      </c>
      <c r="X596" s="12" t="n"/>
      <c r="Y596" s="3" t="n">
        <f aca="false" ca="false" dt2D="false" dtr="false" t="normal">+(K596*11.55+L596*23.1)*12*0.85</f>
        <v>508102.74899999995</v>
      </c>
      <c r="Z596" s="3" t="n">
        <f aca="false" ca="false" dt2D="false" dtr="false" t="normal">+(K596*11.55+L596*23.1)*12*30-'[1]Лист1'!$AQ$313</f>
        <v>12627273.75</v>
      </c>
      <c r="AA596" s="3" t="n">
        <f aca="false" ca="false" dt2D="false" dtr="false" t="normal">+N596-AB596</f>
        <v>0</v>
      </c>
      <c r="AB596" s="27" t="n">
        <f aca="false" ca="true" dt2D="false" dtr="false" t="normal">SUBTOTAL(9, AC596:AQ596)</f>
        <v>9269710.49</v>
      </c>
      <c r="AC596" s="17" t="n"/>
      <c r="AD596" s="18" t="n"/>
      <c r="AE596" s="18" t="n"/>
      <c r="AF596" s="18" t="n"/>
      <c r="AG596" s="18" t="n">
        <v>2021918.21</v>
      </c>
      <c r="AH596" s="18" t="n"/>
      <c r="AI596" s="17" t="n"/>
      <c r="AJ596" s="18" t="n">
        <v>0</v>
      </c>
      <c r="AK596" s="18" t="n">
        <v>7247792.28</v>
      </c>
      <c r="AL596" s="18" t="n">
        <v>0</v>
      </c>
      <c r="AM596" s="18" t="n"/>
      <c r="AN596" s="18" t="n"/>
      <c r="AO596" s="189" t="n"/>
      <c r="AP596" s="189" t="n"/>
      <c r="AQ596" s="185" t="n"/>
      <c r="AR596" s="186" t="n">
        <f aca="false" ca="false" dt2D="false" dtr="false" t="normal">COUNTIF(AC596:AN596, "&gt;0")</f>
        <v>2</v>
      </c>
      <c r="AU596" s="3" t="n"/>
    </row>
    <row ht="15.75" outlineLevel="0" r="597">
      <c r="A597" s="5" t="n">
        <f aca="false" ca="false" dt2D="false" dtr="false" t="normal">A596+1</f>
        <v>576</v>
      </c>
      <c r="B597" s="6" t="n">
        <f aca="false" ca="false" dt2D="false" dtr="false" t="normal">B596+1</f>
        <v>116</v>
      </c>
      <c r="C597" s="6" t="s">
        <v>177</v>
      </c>
      <c r="D597" s="6" t="s">
        <v>396</v>
      </c>
      <c r="E597" s="164" t="n">
        <v>1964</v>
      </c>
      <c r="F597" s="164" t="n">
        <v>2009</v>
      </c>
      <c r="G597" s="164" t="s">
        <v>4</v>
      </c>
      <c r="H597" s="164" t="n">
        <v>4</v>
      </c>
      <c r="I597" s="164" t="n">
        <v>2</v>
      </c>
      <c r="J597" s="18" t="n">
        <v>1462.3</v>
      </c>
      <c r="K597" s="18" t="n">
        <v>1198.6</v>
      </c>
      <c r="L597" s="18" t="n">
        <v>42.9</v>
      </c>
      <c r="M597" s="165" t="n">
        <v>60</v>
      </c>
      <c r="N597" s="16" t="n">
        <f aca="false" ca="false" dt2D="false" dtr="false" t="normal">P597+Q597+R597+S597+T597</f>
        <v>10587420.23</v>
      </c>
      <c r="O597" s="18" t="n"/>
      <c r="P597" s="18" t="n">
        <v>9143836.73</v>
      </c>
      <c r="Q597" s="18" t="n">
        <v>0</v>
      </c>
      <c r="R597" s="27" t="n">
        <v>249875.83</v>
      </c>
      <c r="S597" s="27" t="n">
        <v>280858.79</v>
      </c>
      <c r="T597" s="27" t="n">
        <v>912848.88</v>
      </c>
      <c r="U597" s="18" t="n">
        <v>14439.0038043993</v>
      </c>
      <c r="V597" s="18" t="n">
        <v>1311.283020064</v>
      </c>
      <c r="W597" s="21" t="n">
        <v>2024</v>
      </c>
      <c r="X597" s="12" t="n"/>
      <c r="Y597" s="3" t="n">
        <f aca="false" ca="false" dt2D="false" dtr="false" t="normal">+(K597*11.55+L597*23.1)*12*0.85</f>
        <v>151315.164</v>
      </c>
      <c r="Z597" s="3" t="n">
        <f aca="false" ca="false" dt2D="false" dtr="false" t="normal">+(K597*11.55+L597*23.1)*12*30-'[1]Лист1'!$AQ$314</f>
        <v>792073.3300000001</v>
      </c>
      <c r="AA597" s="3" t="n">
        <f aca="false" ca="false" dt2D="false" dtr="false" t="normal">+N597-AB597</f>
        <v>0</v>
      </c>
      <c r="AB597" s="27" t="n">
        <f aca="false" ca="true" dt2D="false" dtr="false" t="normal">SUBTOTAL(9, AC597:AQ597)</f>
        <v>10587420.23</v>
      </c>
      <c r="AC597" s="17" t="n"/>
      <c r="AD597" s="18" t="n">
        <v>764794.96</v>
      </c>
      <c r="AE597" s="18" t="n">
        <v>694136.52</v>
      </c>
      <c r="AF597" s="18" t="n"/>
      <c r="AG597" s="18" t="n"/>
      <c r="AH597" s="18" t="n"/>
      <c r="AI597" s="17" t="n"/>
      <c r="AJ597" s="18" t="n">
        <v>0</v>
      </c>
      <c r="AK597" s="18" t="n"/>
      <c r="AL597" s="18" t="n">
        <v>0</v>
      </c>
      <c r="AM597" s="18" t="n">
        <v>9128488.75</v>
      </c>
      <c r="AN597" s="18" t="n"/>
      <c r="AO597" s="189" t="n"/>
      <c r="AP597" s="189" t="n"/>
      <c r="AQ597" s="185" t="n"/>
      <c r="AR597" s="186" t="n">
        <f aca="false" ca="false" dt2D="false" dtr="false" t="normal">COUNTIF(AC597:AN597, "&gt;0")</f>
        <v>3</v>
      </c>
      <c r="AU597" s="3" t="n"/>
    </row>
    <row ht="15.75" outlineLevel="0" r="598">
      <c r="A598" s="5" t="n">
        <f aca="false" ca="false" dt2D="false" dtr="false" t="normal">A597+1</f>
        <v>577</v>
      </c>
      <c r="B598" s="6" t="n">
        <f aca="false" ca="false" dt2D="false" dtr="false" t="normal">B597+1</f>
        <v>117</v>
      </c>
      <c r="C598" s="6" t="s">
        <v>177</v>
      </c>
      <c r="D598" s="6" t="s">
        <v>277</v>
      </c>
      <c r="E598" s="164" t="n">
        <v>1963</v>
      </c>
      <c r="F598" s="164" t="n">
        <v>2005</v>
      </c>
      <c r="G598" s="164" t="s">
        <v>4</v>
      </c>
      <c r="H598" s="164" t="n">
        <v>4</v>
      </c>
      <c r="I598" s="164" t="n">
        <v>2</v>
      </c>
      <c r="J598" s="18" t="n">
        <v>1240.4</v>
      </c>
      <c r="K598" s="18" t="n">
        <v>1075.8</v>
      </c>
      <c r="L598" s="18" t="n">
        <v>111.9</v>
      </c>
      <c r="M598" s="165" t="n">
        <v>70</v>
      </c>
      <c r="N598" s="16" t="n">
        <f aca="false" ca="false" dt2D="false" dtr="false" t="normal">P598+Q598+R598+S598+T598</f>
        <v>3416530.16</v>
      </c>
      <c r="O598" s="18" t="n"/>
      <c r="P598" s="18" t="n">
        <v>0</v>
      </c>
      <c r="Q598" s="18" t="n"/>
      <c r="R598" s="27" t="n">
        <v>554474.52</v>
      </c>
      <c r="S598" s="27" t="n">
        <v>2862055.64</v>
      </c>
      <c r="T598" s="27" t="n">
        <v>0</v>
      </c>
      <c r="U598" s="18" t="n">
        <v>3545.46087430325</v>
      </c>
      <c r="V598" s="18" t="n">
        <v>3545.46087430325</v>
      </c>
      <c r="W598" s="21" t="n">
        <v>2024</v>
      </c>
      <c r="X598" s="1" t="n">
        <v>669629.45</v>
      </c>
      <c r="Y598" s="3" t="n">
        <f aca="false" ca="false" dt2D="false" dtr="false" t="normal">+(K598*10+L598*20)*12*0.85</f>
        <v>132559.19999999998</v>
      </c>
      <c r="Z598" s="3" t="n">
        <f aca="false" ca="false" dt2D="false" dtr="false" t="normal">+(K598*11.55+L598*23.1)*12*30</f>
        <v>5403736.8</v>
      </c>
      <c r="AA598" s="3" t="n">
        <f aca="false" ca="false" dt2D="false" dtr="false" t="normal">+N598-AB598</f>
        <v>0</v>
      </c>
      <c r="AB598" s="27" t="n">
        <f aca="false" ca="true" dt2D="false" dtr="false" t="normal">SUBTOTAL(9, AC598:AQ598)</f>
        <v>3416530.16</v>
      </c>
      <c r="AC598" s="17" t="n">
        <v>3416530.16</v>
      </c>
      <c r="AD598" s="18" t="n"/>
      <c r="AE598" s="18" t="n"/>
      <c r="AF598" s="18" t="n"/>
      <c r="AG598" s="18" t="n"/>
      <c r="AH598" s="18" t="n"/>
      <c r="AI598" s="17" t="n"/>
      <c r="AJ598" s="18" t="n">
        <v>0</v>
      </c>
      <c r="AK598" s="18" t="n"/>
      <c r="AL598" s="18" t="n">
        <v>0</v>
      </c>
      <c r="AM598" s="18" t="n">
        <v>0</v>
      </c>
      <c r="AN598" s="18" t="n">
        <v>0</v>
      </c>
      <c r="AO598" s="189" t="n"/>
      <c r="AP598" s="189" t="n"/>
      <c r="AQ598" s="185" t="n"/>
      <c r="AR598" s="186" t="n">
        <f aca="false" ca="false" dt2D="false" dtr="false" t="normal">COUNTIF(AC598:AN598, "&gt;0")</f>
        <v>1</v>
      </c>
      <c r="AU598" s="3" t="n"/>
    </row>
    <row customFormat="true" ht="15.75" outlineLevel="0" r="599" s="184">
      <c r="A599" s="5" t="n">
        <f aca="false" ca="false" dt2D="false" dtr="false" t="normal">A598+1</f>
        <v>578</v>
      </c>
      <c r="B599" s="6" t="n">
        <f aca="false" ca="false" dt2D="false" dtr="false" t="normal">B598+1</f>
        <v>118</v>
      </c>
      <c r="C599" s="6" t="s">
        <v>309</v>
      </c>
      <c r="D599" s="6" t="s">
        <v>399</v>
      </c>
      <c r="E599" s="164" t="s">
        <v>400</v>
      </c>
      <c r="F599" s="164" t="n"/>
      <c r="G599" s="164" t="s">
        <v>4</v>
      </c>
      <c r="H599" s="164" t="s">
        <v>159</v>
      </c>
      <c r="I599" s="164" t="s">
        <v>5</v>
      </c>
      <c r="J599" s="18" t="n">
        <v>2017.1</v>
      </c>
      <c r="K599" s="18" t="n">
        <v>1568.7</v>
      </c>
      <c r="L599" s="18" t="n">
        <v>241.9</v>
      </c>
      <c r="M599" s="165" t="n">
        <v>64</v>
      </c>
      <c r="N599" s="16" t="n">
        <f aca="false" ca="false" dt2D="false" dtr="false" t="normal">P599+Q599+R599+S599+T599</f>
        <v>2918258.07</v>
      </c>
      <c r="O599" s="18" t="n">
        <v>0</v>
      </c>
      <c r="P599" s="18" t="n">
        <v>1766188.22</v>
      </c>
      <c r="Q599" s="18" t="n"/>
      <c r="R599" s="27" t="n">
        <v>53153.61</v>
      </c>
      <c r="S599" s="27" t="n">
        <v>515264.63</v>
      </c>
      <c r="T599" s="27" t="n">
        <v>583651.61</v>
      </c>
      <c r="U599" s="18" t="n">
        <v>12922.8899657411</v>
      </c>
      <c r="V599" s="18" t="n">
        <v>12922.8899657411</v>
      </c>
      <c r="W599" s="21" t="n">
        <v>2024</v>
      </c>
      <c r="X599" s="192" t="n"/>
      <c r="Y599" s="3" t="n">
        <f aca="false" ca="false" dt2D="false" dtr="false" t="normal">+(K599*11.55+L599*23.1)*12*0.85</f>
        <v>241805.025</v>
      </c>
      <c r="Z599" s="3" t="n">
        <f aca="false" ca="false" dt2D="false" dtr="false" t="normal">+(K599*11.55+L599*23.1)*12*30-'[1]Лист1'!$AQ$316</f>
        <v>2391110.9299999997</v>
      </c>
      <c r="AA599" s="3" t="n">
        <f aca="false" ca="false" dt2D="false" dtr="false" t="normal">+N599-AB599</f>
        <v>0</v>
      </c>
      <c r="AB599" s="27" t="n">
        <f aca="false" ca="true" dt2D="false" dtr="false" t="normal">SUBTOTAL(9, AC599:AQ599)</f>
        <v>2918258.07</v>
      </c>
      <c r="AC599" s="17" t="n">
        <v>2918258.07</v>
      </c>
      <c r="AD599" s="18" t="n"/>
      <c r="AE599" s="18" t="n"/>
      <c r="AF599" s="18" t="n"/>
      <c r="AG599" s="18" t="n"/>
      <c r="AH599" s="18" t="n"/>
      <c r="AI599" s="17" t="n"/>
      <c r="AJ599" s="18" t="n"/>
      <c r="AK599" s="18" t="n"/>
      <c r="AL599" s="18" t="n"/>
      <c r="AM599" s="18" t="n"/>
      <c r="AN599" s="18" t="n"/>
      <c r="AO599" s="18" t="n"/>
      <c r="AP599" s="18" t="n"/>
      <c r="AQ599" s="185" t="n"/>
      <c r="AR599" s="186" t="n">
        <f aca="false" ca="false" dt2D="false" dtr="false" t="normal">COUNTIF(AC599:AN599, "&gt;0")</f>
        <v>1</v>
      </c>
      <c r="AT599" s="187" t="n"/>
      <c r="AU599" s="3" t="n"/>
    </row>
    <row ht="15.75" outlineLevel="0" r="600">
      <c r="A600" s="5" t="n">
        <f aca="false" ca="false" dt2D="false" dtr="false" t="normal">A599+1</f>
        <v>579</v>
      </c>
      <c r="B600" s="6" t="n">
        <f aca="false" ca="false" dt2D="false" dtr="false" t="normal">B599+1</f>
        <v>119</v>
      </c>
      <c r="C600" s="6" t="s">
        <v>177</v>
      </c>
      <c r="D600" s="6" t="s">
        <v>401</v>
      </c>
      <c r="E600" s="164" t="n">
        <v>1965</v>
      </c>
      <c r="F600" s="164" t="n">
        <v>2013</v>
      </c>
      <c r="G600" s="164" t="s">
        <v>4</v>
      </c>
      <c r="H600" s="164" t="n">
        <v>4</v>
      </c>
      <c r="I600" s="164" t="n">
        <v>4</v>
      </c>
      <c r="J600" s="18" t="n">
        <v>1940.1</v>
      </c>
      <c r="K600" s="18" t="n">
        <v>1500.8</v>
      </c>
      <c r="L600" s="18" t="n">
        <v>439.3</v>
      </c>
      <c r="M600" s="165" t="n">
        <v>74</v>
      </c>
      <c r="N600" s="16" t="n">
        <f aca="false" ca="false" dt2D="false" dtr="false" t="normal">P600+Q600+R600+S600+T600</f>
        <v>3842206.73</v>
      </c>
      <c r="O600" s="18" t="n"/>
      <c r="P600" s="18" t="n">
        <v>0</v>
      </c>
      <c r="Q600" s="18" t="n"/>
      <c r="R600" s="27" t="n">
        <v>1452074.79</v>
      </c>
      <c r="S600" s="27" t="n">
        <v>2390131.94</v>
      </c>
      <c r="T600" s="27" t="n">
        <v>0</v>
      </c>
      <c r="U600" s="18" t="n">
        <v>3635.14569076048</v>
      </c>
      <c r="V600" s="18" t="n">
        <v>1307.283020064</v>
      </c>
      <c r="W600" s="21" t="n">
        <v>2024</v>
      </c>
      <c r="X600" s="1" t="n">
        <v>1267853.36</v>
      </c>
      <c r="Y600" s="3" t="n">
        <f aca="false" ca="false" dt2D="false" dtr="false" t="normal">+(K600*11.55+L600*23.1)*12*0.85</f>
        <v>280317.114</v>
      </c>
      <c r="Z600" s="3" t="n">
        <f aca="false" ca="false" dt2D="false" dtr="false" t="normal">+(K600*11.55+L600*23.1)*12*30</f>
        <v>9893545.200000001</v>
      </c>
      <c r="AA600" s="3" t="n">
        <f aca="false" ca="false" dt2D="false" dtr="false" t="normal">+N600-AB600</f>
        <v>0</v>
      </c>
      <c r="AB600" s="27" t="n">
        <f aca="false" ca="true" dt2D="false" dtr="false" t="normal">SUBTOTAL(9, AC600:AQ600)</f>
        <v>3842206.73</v>
      </c>
      <c r="AC600" s="17" t="n">
        <v>3842206.73</v>
      </c>
      <c r="AD600" s="18" t="n">
        <v>0</v>
      </c>
      <c r="AE600" s="18" t="n">
        <v>0</v>
      </c>
      <c r="AF600" s="18" t="n">
        <v>0</v>
      </c>
      <c r="AG600" s="18" t="n"/>
      <c r="AH600" s="18" t="n"/>
      <c r="AI600" s="17" t="n"/>
      <c r="AJ600" s="18" t="n">
        <v>0</v>
      </c>
      <c r="AK600" s="18" t="n">
        <v>0</v>
      </c>
      <c r="AL600" s="18" t="n">
        <v>0</v>
      </c>
      <c r="AM600" s="18" t="n">
        <v>0</v>
      </c>
      <c r="AN600" s="18" t="n">
        <v>0</v>
      </c>
      <c r="AO600" s="189" t="n"/>
      <c r="AP600" s="189" t="n"/>
      <c r="AQ600" s="185" t="n"/>
      <c r="AR600" s="186" t="n">
        <f aca="false" ca="false" dt2D="false" dtr="false" t="normal">COUNTIF(AC600:AN600, "&gt;0")</f>
        <v>1</v>
      </c>
      <c r="AU600" s="3" t="n"/>
    </row>
    <row ht="15.75" outlineLevel="0" r="601">
      <c r="A601" s="5" t="n">
        <f aca="false" ca="false" dt2D="false" dtr="false" t="normal">A600+1</f>
        <v>580</v>
      </c>
      <c r="B601" s="6" t="n">
        <f aca="false" ca="false" dt2D="false" dtr="false" t="normal">B600+1</f>
        <v>120</v>
      </c>
      <c r="C601" s="6" t="s">
        <v>177</v>
      </c>
      <c r="D601" s="6" t="s">
        <v>402</v>
      </c>
      <c r="E601" s="164" t="n">
        <v>1975</v>
      </c>
      <c r="F601" s="164" t="n">
        <v>2013</v>
      </c>
      <c r="G601" s="164" t="s">
        <v>4</v>
      </c>
      <c r="H601" s="164" t="n">
        <v>4</v>
      </c>
      <c r="I601" s="164" t="n">
        <v>3</v>
      </c>
      <c r="J601" s="18" t="n">
        <v>2508.8</v>
      </c>
      <c r="K601" s="18" t="n">
        <v>1514.2</v>
      </c>
      <c r="L601" s="18" t="n">
        <v>994.6</v>
      </c>
      <c r="M601" s="165" t="n">
        <v>79</v>
      </c>
      <c r="N601" s="16" t="n">
        <f aca="false" ca="false" dt2D="false" dtr="false" t="normal">P601+Q601+R601+S601+T601</f>
        <v>4077651.8600000003</v>
      </c>
      <c r="O601" s="18" t="n"/>
      <c r="P601" s="18" t="n">
        <v>0</v>
      </c>
      <c r="Q601" s="18" t="n"/>
      <c r="R601" s="27" t="n">
        <v>1959164.11</v>
      </c>
      <c r="S601" s="27" t="n">
        <v>2118487.75</v>
      </c>
      <c r="T601" s="27" t="n">
        <v>0</v>
      </c>
      <c r="U601" s="18" t="n">
        <v>4648.35431379181</v>
      </c>
      <c r="V601" s="18" t="n">
        <v>1308.283020064</v>
      </c>
      <c r="W601" s="21" t="n">
        <v>2024</v>
      </c>
      <c r="X601" s="1" t="n">
        <v>1804065.72</v>
      </c>
      <c r="Y601" s="3" t="n">
        <f aca="false" ca="false" dt2D="false" dtr="false" t="normal">+(K601*11.55+L601*23.1)*12*0.85</f>
        <v>412735.554</v>
      </c>
      <c r="Z601" s="3" t="n">
        <f aca="false" ca="false" dt2D="false" dtr="false" t="normal">+(K601*11.55+L601*23.1)*12*30</f>
        <v>14567137.200000001</v>
      </c>
      <c r="AA601" s="3" t="n">
        <f aca="false" ca="false" dt2D="false" dtr="false" t="normal">+N601-AB601</f>
        <v>0</v>
      </c>
      <c r="AB601" s="27" t="n">
        <f aca="false" ca="true" dt2D="false" dtr="false" t="normal">SUBTOTAL(9, AC601:AQ601)</f>
        <v>4077651.86</v>
      </c>
      <c r="AC601" s="17" t="n">
        <v>4077651.86</v>
      </c>
      <c r="AD601" s="18" t="n">
        <v>0</v>
      </c>
      <c r="AE601" s="18" t="n">
        <v>0</v>
      </c>
      <c r="AF601" s="18" t="n">
        <v>0</v>
      </c>
      <c r="AG601" s="18" t="n"/>
      <c r="AH601" s="18" t="n"/>
      <c r="AI601" s="17" t="n"/>
      <c r="AJ601" s="18" t="n">
        <v>0</v>
      </c>
      <c r="AK601" s="18" t="n">
        <v>0</v>
      </c>
      <c r="AL601" s="18" t="n">
        <v>0</v>
      </c>
      <c r="AM601" s="18" t="n">
        <v>0</v>
      </c>
      <c r="AN601" s="18" t="n">
        <v>0</v>
      </c>
      <c r="AO601" s="189" t="n"/>
      <c r="AP601" s="189" t="n"/>
      <c r="AQ601" s="185" t="n"/>
      <c r="AR601" s="186" t="n">
        <f aca="false" ca="false" dt2D="false" dtr="false" t="normal">COUNTIF(AC601:AN601, "&gt;0")</f>
        <v>1</v>
      </c>
      <c r="AU601" s="3" t="n"/>
    </row>
    <row ht="15.75" outlineLevel="0" r="602">
      <c r="A602" s="5" t="n">
        <f aca="false" ca="false" dt2D="false" dtr="false" t="normal">A601+1</f>
        <v>581</v>
      </c>
      <c r="B602" s="6" t="n">
        <f aca="false" ca="false" dt2D="false" dtr="false" t="normal">B601+1</f>
        <v>121</v>
      </c>
      <c r="C602" s="6" t="s">
        <v>177</v>
      </c>
      <c r="D602" s="6" t="s">
        <v>279</v>
      </c>
      <c r="E602" s="164" t="n">
        <v>1965</v>
      </c>
      <c r="F602" s="164" t="n">
        <v>2005</v>
      </c>
      <c r="G602" s="164" t="s">
        <v>4</v>
      </c>
      <c r="H602" s="164" t="n">
        <v>4</v>
      </c>
      <c r="I602" s="164" t="n">
        <v>4</v>
      </c>
      <c r="J602" s="18" t="n">
        <v>2661.8</v>
      </c>
      <c r="K602" s="18" t="n">
        <v>2220.4</v>
      </c>
      <c r="L602" s="18" t="n">
        <v>229.71</v>
      </c>
      <c r="M602" s="165" t="n">
        <v>111</v>
      </c>
      <c r="N602" s="16" t="n">
        <f aca="false" ca="false" dt2D="false" dtr="false" t="normal">P602+Q602+R602+S602+T602</f>
        <v>17845676.150000002</v>
      </c>
      <c r="O602" s="18" t="n"/>
      <c r="P602" s="18" t="n">
        <v>15581542.64</v>
      </c>
      <c r="Q602" s="18" t="n"/>
      <c r="R602" s="27" t="n">
        <v>172215.88</v>
      </c>
      <c r="S602" s="27" t="n">
        <v>126957.76</v>
      </c>
      <c r="T602" s="27" t="n">
        <v>1964959.87</v>
      </c>
      <c r="U602" s="18" t="n">
        <v>12180.3300759663</v>
      </c>
      <c r="V602" s="18" t="n">
        <v>1309.283020064</v>
      </c>
      <c r="W602" s="21" t="n">
        <v>2024</v>
      </c>
      <c r="X602" s="12" t="n"/>
      <c r="Y602" s="3" t="n">
        <f aca="false" ca="false" dt2D="false" dtr="false" t="normal">+(K602*11.55+L602*23.1)*12*0.85</f>
        <v>315709.5942</v>
      </c>
      <c r="Z602" s="3" t="n">
        <f aca="false" ca="false" dt2D="false" dtr="false" t="normal">+(K602*11.55+L602*23.1)*12*30-'[1]Лист1'!$AQ$319</f>
        <v>5812358.010000001</v>
      </c>
      <c r="AA602" s="3" t="n">
        <f aca="false" ca="false" dt2D="false" dtr="false" t="normal">+N602-AB602</f>
        <v>0</v>
      </c>
      <c r="AB602" s="27" t="n">
        <f aca="false" ca="true" dt2D="false" dtr="false" t="normal">SUBTOTAL(9, AC602:AQ602)</f>
        <v>17845676.15</v>
      </c>
      <c r="AC602" s="17" t="n"/>
      <c r="AD602" s="18" t="n"/>
      <c r="AE602" s="18" t="n"/>
      <c r="AF602" s="18" t="n">
        <v>1803922.55</v>
      </c>
      <c r="AG602" s="18" t="n"/>
      <c r="AH602" s="18" t="n"/>
      <c r="AI602" s="17" t="n"/>
      <c r="AJ602" s="18" t="n">
        <v>0</v>
      </c>
      <c r="AK602" s="18" t="n"/>
      <c r="AL602" s="18" t="n">
        <v>0</v>
      </c>
      <c r="AM602" s="18" t="n">
        <v>16041753.6</v>
      </c>
      <c r="AN602" s="18" t="n"/>
      <c r="AO602" s="189" t="n"/>
      <c r="AP602" s="189" t="n"/>
      <c r="AQ602" s="185" t="n"/>
      <c r="AR602" s="186" t="n">
        <f aca="false" ca="false" dt2D="false" dtr="false" t="normal">COUNTIF(AC602:AN602, "&gt;0")</f>
        <v>2</v>
      </c>
      <c r="AU602" s="3" t="n"/>
    </row>
    <row ht="15.75" outlineLevel="0" r="603">
      <c r="A603" s="5" t="n">
        <f aca="false" ca="false" dt2D="false" dtr="false" t="normal">A602+1</f>
        <v>582</v>
      </c>
      <c r="B603" s="6" t="n">
        <f aca="false" ca="false" dt2D="false" dtr="false" t="normal">B602+1</f>
        <v>122</v>
      </c>
      <c r="C603" s="6" t="s">
        <v>177</v>
      </c>
      <c r="D603" s="6" t="s">
        <v>407</v>
      </c>
      <c r="E603" s="164" t="n">
        <v>1988</v>
      </c>
      <c r="F603" s="164" t="n">
        <v>1988</v>
      </c>
      <c r="G603" s="164" t="s">
        <v>4</v>
      </c>
      <c r="H603" s="164" t="n">
        <v>4</v>
      </c>
      <c r="I603" s="164" t="n">
        <v>3</v>
      </c>
      <c r="J603" s="18" t="n">
        <v>2941.3</v>
      </c>
      <c r="K603" s="18" t="n">
        <v>2307</v>
      </c>
      <c r="L603" s="18" t="n">
        <v>634.3</v>
      </c>
      <c r="M603" s="165" t="n">
        <v>88</v>
      </c>
      <c r="N603" s="16" t="n">
        <f aca="false" ca="false" dt2D="false" dtr="false" t="normal">P603+Q603+R603+S603+T603</f>
        <v>12838297.58</v>
      </c>
      <c r="O603" s="18" t="n"/>
      <c r="P603" s="18" t="n">
        <v>0</v>
      </c>
      <c r="Q603" s="18" t="n"/>
      <c r="R603" s="27" t="n">
        <v>2015663.23</v>
      </c>
      <c r="S603" s="27" t="n">
        <v>10822634.35</v>
      </c>
      <c r="T603" s="27" t="n">
        <v>0</v>
      </c>
      <c r="U603" s="18" t="n">
        <v>10044.9793563069</v>
      </c>
      <c r="V603" s="18" t="n">
        <v>1313.283020064</v>
      </c>
      <c r="W603" s="21" t="n">
        <v>2024</v>
      </c>
      <c r="X603" s="103" t="n">
        <v>2124089.79</v>
      </c>
      <c r="Y603" s="3" t="n">
        <f aca="false" ca="false" dt2D="false" dtr="false" t="normal">+(K603*10.5+L603*21)*12*0.85</f>
        <v>382946.76</v>
      </c>
      <c r="Z603" s="3" t="n">
        <f aca="false" ca="false" dt2D="false" dtr="false" t="normal">+(K603*11.55+L603*23.1)*12*30</f>
        <v>14867344.8</v>
      </c>
      <c r="AA603" s="3" t="n">
        <f aca="false" ca="false" dt2D="false" dtr="false" t="normal">+N603-AB603</f>
        <v>0</v>
      </c>
      <c r="AB603" s="27" t="n">
        <f aca="false" ca="true" dt2D="false" dtr="false" t="normal">SUBTOTAL(9, AC603:AQ603)</f>
        <v>12838297.58</v>
      </c>
      <c r="AC603" s="17" t="n">
        <v>0</v>
      </c>
      <c r="AD603" s="18" t="n">
        <v>0</v>
      </c>
      <c r="AE603" s="18" t="n">
        <v>0</v>
      </c>
      <c r="AF603" s="18" t="n">
        <v>0</v>
      </c>
      <c r="AG603" s="18" t="n">
        <v>0</v>
      </c>
      <c r="AH603" s="18" t="n"/>
      <c r="AI603" s="17" t="n"/>
      <c r="AJ603" s="18" t="n">
        <v>0</v>
      </c>
      <c r="AK603" s="18" t="n">
        <v>0</v>
      </c>
      <c r="AL603" s="18" t="n">
        <v>0</v>
      </c>
      <c r="AM603" s="18" t="n">
        <v>12838297.58</v>
      </c>
      <c r="AN603" s="18" t="n">
        <v>0</v>
      </c>
      <c r="AO603" s="189" t="n"/>
      <c r="AP603" s="189" t="n"/>
      <c r="AQ603" s="185" t="n"/>
      <c r="AR603" s="186" t="n">
        <f aca="false" ca="false" dt2D="false" dtr="false" t="normal">COUNTIF(AC603:AN603, "&gt;0")</f>
        <v>1</v>
      </c>
      <c r="AU603" s="3" t="n"/>
    </row>
    <row customFormat="true" ht="15.75" outlineLevel="0" r="604" s="184">
      <c r="A604" s="5" t="n">
        <f aca="false" ca="false" dt2D="false" dtr="false" t="normal">A603+1</f>
        <v>583</v>
      </c>
      <c r="B604" s="6" t="n">
        <f aca="false" ca="false" dt2D="false" dtr="false" t="normal">B603+1</f>
        <v>123</v>
      </c>
      <c r="C604" s="6" t="s">
        <v>177</v>
      </c>
      <c r="D604" s="6" t="s">
        <v>409</v>
      </c>
      <c r="E604" s="164" t="s">
        <v>343</v>
      </c>
      <c r="F604" s="164" t="n"/>
      <c r="G604" s="164" t="s">
        <v>4</v>
      </c>
      <c r="H604" s="164" t="s">
        <v>165</v>
      </c>
      <c r="I604" s="164" t="s">
        <v>212</v>
      </c>
      <c r="J604" s="18" t="n">
        <v>7651.5</v>
      </c>
      <c r="K604" s="18" t="n">
        <v>6138</v>
      </c>
      <c r="L604" s="18" t="n">
        <v>119</v>
      </c>
      <c r="M604" s="165" t="n">
        <v>293</v>
      </c>
      <c r="N604" s="16" t="n">
        <f aca="false" ca="false" dt2D="false" dtr="false" t="normal">P604+Q604+R604+S604+T604</f>
        <v>4481041.789999999</v>
      </c>
      <c r="O604" s="18" t="n">
        <v>0</v>
      </c>
      <c r="P604" s="18" t="n">
        <v>2134405.21</v>
      </c>
      <c r="Q604" s="18" t="n"/>
      <c r="R604" s="27" t="n">
        <v>195553.05</v>
      </c>
      <c r="S604" s="27" t="n">
        <v>2151083.53</v>
      </c>
      <c r="T604" s="27" t="n">
        <v>0</v>
      </c>
      <c r="U604" s="18" t="n">
        <v>5118.14134739371</v>
      </c>
      <c r="V604" s="18" t="n">
        <v>5118.14134739371</v>
      </c>
      <c r="W604" s="21" t="n">
        <v>2024</v>
      </c>
      <c r="X604" s="192" t="n"/>
      <c r="Y604" s="3" t="n">
        <f aca="false" ca="false" dt2D="false" dtr="false" t="normal">+(K604*11.55+L604*23.1)*12*0.85</f>
        <v>751156.56</v>
      </c>
      <c r="Z604" s="3" t="n">
        <f aca="false" ca="false" dt2D="false" dtr="false" t="normal">+(K604*11.55+L604*23.1)*12*30-'[1]Лист1'!$AQ$321</f>
        <v>17920712.260000005</v>
      </c>
      <c r="AA604" s="3" t="n">
        <f aca="false" ca="false" dt2D="false" dtr="false" t="normal">+N604-AB604</f>
        <v>0</v>
      </c>
      <c r="AB604" s="27" t="n">
        <f aca="false" ca="true" dt2D="false" dtr="false" t="normal">SUBTOTAL(9, AC604:AQ604)</f>
        <v>4481041.79</v>
      </c>
      <c r="AC604" s="17" t="n"/>
      <c r="AD604" s="18" t="n"/>
      <c r="AE604" s="18" t="n"/>
      <c r="AF604" s="18" t="n">
        <v>4481041.79</v>
      </c>
      <c r="AG604" s="18" t="n"/>
      <c r="AH604" s="18" t="n"/>
      <c r="AI604" s="17" t="n"/>
      <c r="AJ604" s="18" t="n"/>
      <c r="AK604" s="18" t="n"/>
      <c r="AL604" s="18" t="n"/>
      <c r="AM604" s="18" t="n"/>
      <c r="AN604" s="18" t="n"/>
      <c r="AO604" s="18" t="n"/>
      <c r="AP604" s="18" t="n"/>
      <c r="AQ604" s="185" t="n"/>
      <c r="AR604" s="186" t="n">
        <f aca="false" ca="false" dt2D="false" dtr="false" t="normal">COUNTIF(AC604:AN604, "&gt;0")</f>
        <v>1</v>
      </c>
      <c r="AT604" s="187" t="n"/>
      <c r="AU604" s="3" t="n"/>
    </row>
    <row ht="15.75" outlineLevel="0" r="605">
      <c r="A605" s="5" t="n">
        <f aca="false" ca="false" dt2D="false" dtr="false" t="normal">A604+1</f>
        <v>584</v>
      </c>
      <c r="B605" s="6" t="n">
        <f aca="false" ca="false" dt2D="false" dtr="false" t="normal">B604+1</f>
        <v>124</v>
      </c>
      <c r="C605" s="6" t="s">
        <v>177</v>
      </c>
      <c r="D605" s="6" t="s">
        <v>299</v>
      </c>
      <c r="E605" s="139" t="n">
        <v>1975</v>
      </c>
      <c r="F605" s="139" t="n">
        <v>2013</v>
      </c>
      <c r="G605" s="139" t="s">
        <v>4</v>
      </c>
      <c r="H605" s="139" t="n">
        <v>4</v>
      </c>
      <c r="I605" s="139" t="n">
        <v>4</v>
      </c>
      <c r="J605" s="17" t="n">
        <v>2912.6</v>
      </c>
      <c r="K605" s="17" t="n">
        <v>2004.3</v>
      </c>
      <c r="L605" s="17" t="n">
        <v>902.2</v>
      </c>
      <c r="M605" s="140" t="n">
        <v>104</v>
      </c>
      <c r="N605" s="16" t="n">
        <f aca="false" ca="false" dt2D="false" dtr="false" t="normal">P605+Q605+R605+S605+T605</f>
        <v>12480023.629999999</v>
      </c>
      <c r="O605" s="18" t="n"/>
      <c r="P605" s="18" t="n">
        <v>1207773.04</v>
      </c>
      <c r="Q605" s="18" t="n"/>
      <c r="R605" s="27" t="n">
        <v>1803473.18</v>
      </c>
      <c r="S605" s="27" t="n">
        <v>9468777.41</v>
      </c>
      <c r="T605" s="27" t="n">
        <v>0</v>
      </c>
      <c r="U605" s="17" t="n">
        <v>7493.7221680114</v>
      </c>
      <c r="V605" s="17" t="n">
        <v>7493.7221680114</v>
      </c>
      <c r="W605" s="21" t="n">
        <v>2024</v>
      </c>
      <c r="Y605" s="3" t="n">
        <f aca="false" ca="false" dt2D="false" dtr="false" t="normal">+(K605*11.55+L605*23.1)*12*0.85</f>
        <v>448702.94700000004</v>
      </c>
      <c r="Z605" s="3" t="n">
        <f aca="false" ca="false" dt2D="false" dtr="false" t="normal">+(K605*11.55+L605*23.1)*12*30-'[1]Лист1'!$AQ$322</f>
        <v>5518419.550000001</v>
      </c>
      <c r="AA605" s="3" t="n">
        <f aca="false" ca="false" dt2D="false" dtr="false" t="normal">+N605-AB605</f>
        <v>0</v>
      </c>
      <c r="AB605" s="27" t="n">
        <f aca="false" ca="true" dt2D="false" dtr="false" t="normal">SUBTOTAL(9, AC605:AQ605)</f>
        <v>12480023.629999999</v>
      </c>
      <c r="AC605" s="17" t="n">
        <v>6151696.83</v>
      </c>
      <c r="AD605" s="18" t="n">
        <v>0</v>
      </c>
      <c r="AE605" s="18" t="n">
        <v>0</v>
      </c>
      <c r="AF605" s="18" t="n">
        <v>0</v>
      </c>
      <c r="AG605" s="18" t="n">
        <v>586245.68</v>
      </c>
      <c r="AH605" s="18" t="n"/>
      <c r="AI605" s="17" t="n"/>
      <c r="AJ605" s="18" t="n">
        <v>0</v>
      </c>
      <c r="AK605" s="18" t="n"/>
      <c r="AL605" s="18" t="n">
        <v>0</v>
      </c>
      <c r="AM605" s="18" t="n">
        <v>0</v>
      </c>
      <c r="AN605" s="18" t="n">
        <v>5742081.12</v>
      </c>
      <c r="AO605" s="18" t="n"/>
      <c r="AP605" s="18" t="n"/>
      <c r="AQ605" s="185" t="n"/>
      <c r="AR605" s="186" t="n">
        <f aca="false" ca="false" dt2D="false" dtr="false" t="normal">COUNTIF(AC605:AN605, "&gt;0")</f>
        <v>3</v>
      </c>
      <c r="AU605" s="3" t="n"/>
    </row>
    <row customFormat="true" ht="15.75" outlineLevel="0" r="606" s="184">
      <c r="A606" s="5" t="n">
        <f aca="false" ca="false" dt2D="false" dtr="false" t="normal">A605+1</f>
        <v>585</v>
      </c>
      <c r="B606" s="6" t="n">
        <f aca="false" ca="false" dt2D="false" dtr="false" t="normal">B605+1</f>
        <v>125</v>
      </c>
      <c r="C606" s="6" t="s">
        <v>309</v>
      </c>
      <c r="D606" s="6" t="s">
        <v>413</v>
      </c>
      <c r="E606" s="164" t="s">
        <v>414</v>
      </c>
      <c r="F606" s="164" t="n"/>
      <c r="G606" s="164" t="s">
        <v>4</v>
      </c>
      <c r="H606" s="164" t="s">
        <v>165</v>
      </c>
      <c r="I606" s="164" t="s">
        <v>159</v>
      </c>
      <c r="J606" s="18" t="n">
        <v>4845.4</v>
      </c>
      <c r="K606" s="18" t="n">
        <v>4280.6</v>
      </c>
      <c r="L606" s="18" t="n">
        <v>0</v>
      </c>
      <c r="M606" s="165" t="n">
        <v>179</v>
      </c>
      <c r="N606" s="16" t="n">
        <f aca="false" ca="false" dt2D="false" dtr="false" t="normal">P606+Q606+R606+S606+T606</f>
        <v>1690317.6</v>
      </c>
      <c r="O606" s="18" t="n">
        <v>0</v>
      </c>
      <c r="P606" s="18" t="n">
        <v>0</v>
      </c>
      <c r="Q606" s="18" t="n"/>
      <c r="R606" s="27" t="n">
        <v>1690317.6</v>
      </c>
      <c r="S606" s="27" t="n">
        <v>0</v>
      </c>
      <c r="T606" s="27" t="n">
        <v>0</v>
      </c>
      <c r="U606" s="18" t="n">
        <v>460.271076910713</v>
      </c>
      <c r="V606" s="18" t="n">
        <v>1319.283020064</v>
      </c>
      <c r="W606" s="21" t="n">
        <v>2024</v>
      </c>
      <c r="X606" s="103" t="n">
        <v>2537481.14</v>
      </c>
      <c r="Y606" s="3" t="n">
        <f aca="false" ca="false" dt2D="false" dtr="false" t="normal">+(K606*10.5+L606*21)*12*0.85</f>
        <v>458452.26000000007</v>
      </c>
      <c r="Z606" s="3" t="n">
        <f aca="false" ca="false" dt2D="false" dtr="false" t="normal">+(K606*11.55+L606*23.1)*12*30</f>
        <v>17798734.800000004</v>
      </c>
      <c r="AA606" s="3" t="n">
        <f aca="false" ca="false" dt2D="false" dtr="false" t="normal">+N606-AB606</f>
        <v>0</v>
      </c>
      <c r="AB606" s="27" t="n">
        <f aca="false" ca="true" dt2D="false" dtr="false" t="normal">SUBTOTAL(9, AC606:AQ606)</f>
        <v>1690317.6</v>
      </c>
      <c r="AC606" s="17" t="n"/>
      <c r="AD606" s="18" t="n"/>
      <c r="AE606" s="18" t="n"/>
      <c r="AF606" s="18" t="n"/>
      <c r="AG606" s="18" t="n">
        <v>1690317.6</v>
      </c>
      <c r="AH606" s="18" t="n"/>
      <c r="AI606" s="17" t="n"/>
      <c r="AJ606" s="18" t="n"/>
      <c r="AK606" s="18" t="n"/>
      <c r="AL606" s="18" t="n"/>
      <c r="AM606" s="18" t="n"/>
      <c r="AN606" s="18" t="n"/>
      <c r="AO606" s="189" t="n"/>
      <c r="AP606" s="189" t="n"/>
      <c r="AQ606" s="185" t="n"/>
      <c r="AR606" s="186" t="n">
        <f aca="false" ca="false" dt2D="false" dtr="false" t="normal">COUNTIF(AC606:AN606, "&gt;0")</f>
        <v>1</v>
      </c>
      <c r="AT606" s="187" t="n"/>
      <c r="AU606" s="3" t="n"/>
    </row>
    <row customFormat="true" ht="15.75" outlineLevel="0" r="607" s="184">
      <c r="A607" s="5" t="n">
        <f aca="false" ca="false" dt2D="false" dtr="false" t="normal">A606+1</f>
        <v>586</v>
      </c>
      <c r="B607" s="6" t="n">
        <f aca="false" ca="false" dt2D="false" dtr="false" t="normal">B606+1</f>
        <v>126</v>
      </c>
      <c r="C607" s="6" t="s">
        <v>309</v>
      </c>
      <c r="D607" s="6" t="s">
        <v>416</v>
      </c>
      <c r="E607" s="164" t="s">
        <v>28</v>
      </c>
      <c r="F607" s="164" t="n"/>
      <c r="G607" s="164" t="s">
        <v>4</v>
      </c>
      <c r="H607" s="164" t="s">
        <v>159</v>
      </c>
      <c r="I607" s="164" t="s">
        <v>212</v>
      </c>
      <c r="J607" s="18" t="n">
        <v>5051.19</v>
      </c>
      <c r="K607" s="18" t="n">
        <v>4630.8</v>
      </c>
      <c r="L607" s="18" t="n">
        <v>0</v>
      </c>
      <c r="M607" s="165" t="n">
        <v>233</v>
      </c>
      <c r="N607" s="16" t="n">
        <f aca="false" ca="false" dt2D="false" dtr="false" t="normal">P607+Q607+R607+S607+T607</f>
        <v>48732853.01</v>
      </c>
      <c r="O607" s="18" t="n">
        <v>0</v>
      </c>
      <c r="P607" s="18" t="n">
        <v>40897108.87</v>
      </c>
      <c r="Q607" s="18" t="n"/>
      <c r="R607" s="27" t="n">
        <v>495958.68</v>
      </c>
      <c r="S607" s="27" t="n">
        <v>0</v>
      </c>
      <c r="T607" s="27" t="n">
        <v>7339785.46</v>
      </c>
      <c r="U607" s="18" t="n">
        <v>13629.8191357263</v>
      </c>
      <c r="V607" s="18" t="n">
        <v>1323.283020064</v>
      </c>
      <c r="W607" s="21" t="n">
        <v>2024</v>
      </c>
      <c r="X607" s="103" t="n"/>
      <c r="Y607" s="3" t="n">
        <f aca="false" ca="false" dt2D="false" dtr="false" t="normal">+(K607*10.5+L607*21)*12*0.85</f>
        <v>495958.68000000005</v>
      </c>
      <c r="Z607" s="3" t="n">
        <f aca="false" ca="false" dt2D="false" dtr="false" t="normal">+(K607*11.55+L607*23.1)*12*30-'[1]Лист1'!$AQ$326</f>
        <v>11958196.590000004</v>
      </c>
      <c r="AA607" s="3" t="n">
        <f aca="false" ca="false" dt2D="false" dtr="false" t="normal">+N607-AB607</f>
        <v>0</v>
      </c>
      <c r="AB607" s="27" t="n">
        <f aca="false" ca="true" dt2D="false" dtr="false" t="normal">SUBTOTAL(9, AC607:AQ607)</f>
        <v>48732853.01</v>
      </c>
      <c r="AC607" s="17" t="n">
        <v>12033925.76</v>
      </c>
      <c r="AD607" s="18" t="n"/>
      <c r="AE607" s="18" t="n"/>
      <c r="AF607" s="18" t="n"/>
      <c r="AG607" s="18" t="n"/>
      <c r="AH607" s="18" t="n"/>
      <c r="AI607" s="17" t="n"/>
      <c r="AJ607" s="18" t="n"/>
      <c r="AK607" s="18" t="n"/>
      <c r="AL607" s="18" t="n"/>
      <c r="AM607" s="18" t="n">
        <v>36698927.25</v>
      </c>
      <c r="AN607" s="18" t="n"/>
      <c r="AO607" s="189" t="n"/>
      <c r="AP607" s="189" t="n"/>
      <c r="AQ607" s="185" t="n"/>
      <c r="AR607" s="186" t="n">
        <f aca="false" ca="false" dt2D="false" dtr="false" t="normal">COUNTIF(AC607:AN607, "&gt;0")</f>
        <v>2</v>
      </c>
      <c r="AT607" s="187" t="n"/>
      <c r="AU607" s="3" t="n"/>
    </row>
    <row ht="15.75" outlineLevel="0" r="608">
      <c r="A608" s="5" t="n">
        <f aca="false" ca="false" dt2D="false" dtr="false" t="normal">A607+1</f>
        <v>587</v>
      </c>
      <c r="B608" s="6" t="n">
        <f aca="false" ca="false" dt2D="false" dtr="false" t="normal">B607+1</f>
        <v>127</v>
      </c>
      <c r="C608" s="6" t="s">
        <v>177</v>
      </c>
      <c r="D608" s="6" t="s">
        <v>303</v>
      </c>
      <c r="E608" s="164" t="n">
        <v>1966</v>
      </c>
      <c r="F608" s="164" t="n">
        <v>2013</v>
      </c>
      <c r="G608" s="164" t="s">
        <v>4</v>
      </c>
      <c r="H608" s="164" t="n">
        <v>4</v>
      </c>
      <c r="I608" s="164" t="n">
        <v>6</v>
      </c>
      <c r="J608" s="18" t="n">
        <v>2829.5</v>
      </c>
      <c r="K608" s="18" t="n">
        <v>2537.8</v>
      </c>
      <c r="L608" s="18" t="n">
        <v>230.6</v>
      </c>
      <c r="M608" s="165" t="n">
        <v>144</v>
      </c>
      <c r="N608" s="16" t="n">
        <f aca="false" ca="false" dt2D="false" dtr="false" t="normal">P608+Q608+R608+S608+T608</f>
        <v>21061738.340000004</v>
      </c>
      <c r="O608" s="18" t="n"/>
      <c r="P608" s="18" t="n">
        <v>17477201.98</v>
      </c>
      <c r="Q608" s="18" t="n"/>
      <c r="R608" s="27" t="n">
        <v>0</v>
      </c>
      <c r="S608" s="27" t="n">
        <v>1478362.53</v>
      </c>
      <c r="T608" s="27" t="n">
        <v>2106173.83</v>
      </c>
      <c r="U608" s="18" t="n">
        <v>10013.2315696325</v>
      </c>
      <c r="V608" s="18" t="n">
        <v>1324.283020064</v>
      </c>
      <c r="W608" s="21" t="n">
        <v>2024</v>
      </c>
      <c r="X608" s="202" t="n"/>
      <c r="Y608" s="3" t="n">
        <f aca="false" ca="false" dt2D="false" dtr="false" t="normal">+(K608*11.55+L608*23.1)*12*0.85</f>
        <v>353312.19</v>
      </c>
      <c r="Z608" s="3" t="n">
        <f aca="false" ca="false" dt2D="false" dtr="false" t="normal">+(K608*11.55+L608*23.1)*12*30-'[1]Лист1'!$AQ$327</f>
        <v>-1728959.3399999999</v>
      </c>
      <c r="AA608" s="3" t="n">
        <f aca="false" ca="false" dt2D="false" dtr="false" t="normal">+N608-AB608</f>
        <v>0</v>
      </c>
      <c r="AB608" s="27" t="n">
        <f aca="false" ca="true" dt2D="false" dtr="false" t="normal">SUBTOTAL(9, AC608:AQ608)</f>
        <v>21061738.34</v>
      </c>
      <c r="AC608" s="17" t="n"/>
      <c r="AD608" s="18" t="n"/>
      <c r="AE608" s="18" t="n"/>
      <c r="AF608" s="18" t="n"/>
      <c r="AG608" s="18" t="n"/>
      <c r="AH608" s="18" t="n"/>
      <c r="AI608" s="17" t="n"/>
      <c r="AJ608" s="18" t="n"/>
      <c r="AK608" s="18" t="n"/>
      <c r="AL608" s="18" t="n">
        <v>0</v>
      </c>
      <c r="AM608" s="18" t="n">
        <v>21061738.34</v>
      </c>
      <c r="AN608" s="18" t="n"/>
      <c r="AO608" s="189" t="n"/>
      <c r="AP608" s="189" t="n"/>
      <c r="AQ608" s="191" t="n"/>
      <c r="AR608" s="186" t="n">
        <f aca="false" ca="false" dt2D="false" dtr="false" t="normal">COUNTIF(AC608:AN608, "&gt;0")</f>
        <v>1</v>
      </c>
      <c r="AU608" s="3" t="n"/>
    </row>
    <row customFormat="true" ht="15.75" outlineLevel="0" r="609" s="184">
      <c r="A609" s="5" t="n">
        <f aca="false" ca="false" dt2D="false" dtr="false" t="normal">A608+1</f>
        <v>588</v>
      </c>
      <c r="B609" s="6" t="n">
        <f aca="false" ca="false" dt2D="false" dtr="false" t="normal">B608+1</f>
        <v>128</v>
      </c>
      <c r="C609" s="6" t="s">
        <v>309</v>
      </c>
      <c r="D609" s="6" t="s">
        <v>420</v>
      </c>
      <c r="E609" s="164" t="s">
        <v>421</v>
      </c>
      <c r="F609" s="164" t="n"/>
      <c r="G609" s="164" t="s">
        <v>4</v>
      </c>
      <c r="H609" s="164" t="s">
        <v>165</v>
      </c>
      <c r="I609" s="164" t="s">
        <v>159</v>
      </c>
      <c r="J609" s="18" t="n">
        <v>3196.5</v>
      </c>
      <c r="K609" s="18" t="n">
        <v>2451.1</v>
      </c>
      <c r="L609" s="18" t="n">
        <v>745</v>
      </c>
      <c r="M609" s="165" t="n">
        <v>156</v>
      </c>
      <c r="N609" s="16" t="n">
        <f aca="false" ca="false" dt2D="false" dtr="false" t="normal">P609+Q609+R609+S609+T609</f>
        <v>31998544.48</v>
      </c>
      <c r="O609" s="18" t="n">
        <v>0</v>
      </c>
      <c r="P609" s="18" t="n">
        <v>12758712.68</v>
      </c>
      <c r="Q609" s="18" t="n"/>
      <c r="R609" s="27" t="n">
        <v>2457097</v>
      </c>
      <c r="S609" s="27" t="n">
        <v>15014882.91</v>
      </c>
      <c r="T609" s="27" t="n">
        <v>1767851.89</v>
      </c>
      <c r="U609" s="18" t="n">
        <v>17522.5165869268</v>
      </c>
      <c r="V609" s="18" t="n">
        <v>1326.283020064</v>
      </c>
      <c r="W609" s="21" t="n">
        <v>2024</v>
      </c>
      <c r="X609" s="103" t="n"/>
      <c r="Y609" s="3" t="n">
        <f aca="false" ca="false" dt2D="false" dtr="false" t="normal">+(K609*11.55+L609*23.1)*12*0.85</f>
        <v>464300.991</v>
      </c>
      <c r="Z609" s="3" t="n">
        <f aca="false" ca="false" dt2D="false" dtr="false" t="normal">+(K609*11.55+L609*23.1)*12*30-'[1]Лист1'!$AQ$329</f>
        <v>15014882.909999998</v>
      </c>
      <c r="AA609" s="3" t="n">
        <f aca="false" ca="false" dt2D="false" dtr="false" t="normal">+N609-AB609</f>
        <v>0</v>
      </c>
      <c r="AB609" s="27" t="n">
        <f aca="false" ca="true" dt2D="false" dtr="false" t="normal">SUBTOTAL(9, AC609:AQ609)</f>
        <v>31998544.48</v>
      </c>
      <c r="AC609" s="17" t="n">
        <v>8148276.97</v>
      </c>
      <c r="AD609" s="18" t="n">
        <v>2524696.02</v>
      </c>
      <c r="AE609" s="18" t="n">
        <v>1505564.28</v>
      </c>
      <c r="AF609" s="18" t="n">
        <v>2141488.27</v>
      </c>
      <c r="AG609" s="18" t="n"/>
      <c r="AH609" s="18" t="n"/>
      <c r="AI609" s="17" t="n"/>
      <c r="AJ609" s="18" t="n"/>
      <c r="AK609" s="18" t="n">
        <v>17678518.94</v>
      </c>
      <c r="AL609" s="18" t="n"/>
      <c r="AM609" s="18" t="n"/>
      <c r="AN609" s="18" t="n"/>
      <c r="AO609" s="189" t="n"/>
      <c r="AP609" s="189" t="n"/>
      <c r="AQ609" s="185" t="n"/>
      <c r="AR609" s="186" t="n">
        <f aca="false" ca="false" dt2D="false" dtr="false" t="normal">COUNTIF(AC609:AN609, "&gt;0")</f>
        <v>5</v>
      </c>
      <c r="AT609" s="187" t="n"/>
      <c r="AU609" s="3" t="n"/>
    </row>
    <row customFormat="true" ht="15.75" outlineLevel="0" r="610" s="184">
      <c r="A610" s="5" t="n">
        <f aca="false" ca="false" dt2D="false" dtr="false" t="normal">A609+1</f>
        <v>589</v>
      </c>
      <c r="B610" s="6" t="n">
        <f aca="false" ca="false" dt2D="false" dtr="false" t="normal">B609+1</f>
        <v>129</v>
      </c>
      <c r="C610" s="6" t="s">
        <v>309</v>
      </c>
      <c r="D610" s="6" t="s">
        <v>424</v>
      </c>
      <c r="E610" s="164" t="s">
        <v>311</v>
      </c>
      <c r="F610" s="164" t="n"/>
      <c r="G610" s="164" t="s">
        <v>4</v>
      </c>
      <c r="H610" s="164" t="s">
        <v>159</v>
      </c>
      <c r="I610" s="164" t="s">
        <v>159</v>
      </c>
      <c r="J610" s="18" t="n">
        <v>3950.89</v>
      </c>
      <c r="K610" s="18" t="n">
        <v>3454.6</v>
      </c>
      <c r="L610" s="18" t="n">
        <v>0</v>
      </c>
      <c r="M610" s="165" t="n">
        <v>153</v>
      </c>
      <c r="N610" s="16" t="n">
        <f aca="false" ca="false" dt2D="false" dtr="false" t="normal">P610+Q610+R610+S610+T610</f>
        <v>19574027.459999997</v>
      </c>
      <c r="O610" s="18" t="n">
        <v>0</v>
      </c>
      <c r="P610" s="18" t="n">
        <v>9520897.11</v>
      </c>
      <c r="Q610" s="18" t="n"/>
      <c r="R610" s="27" t="n">
        <v>369987.66</v>
      </c>
      <c r="S610" s="27" t="n">
        <v>7837424.54</v>
      </c>
      <c r="T610" s="27" t="n">
        <v>1845718.15</v>
      </c>
      <c r="U610" s="18" t="n">
        <v>6210.65562241457</v>
      </c>
      <c r="V610" s="18" t="n">
        <v>1327.283020064</v>
      </c>
      <c r="W610" s="21" t="n">
        <v>2024</v>
      </c>
      <c r="X610" s="103" t="n"/>
      <c r="Y610" s="3" t="n">
        <f aca="false" ca="false" dt2D="false" dtr="false" t="normal">+(K610*11.55+L610*23.1)*12*0.85</f>
        <v>406986.42600000004</v>
      </c>
      <c r="Z610" s="3" t="n">
        <f aca="false" ca="false" dt2D="false" dtr="false" t="normal">+(K610*11.55+L610*23.1)*12*30-'[1]Лист1'!$AQ$330</f>
        <v>3792529.7300000004</v>
      </c>
      <c r="AA610" s="3" t="n">
        <f aca="false" ca="false" dt2D="false" dtr="false" t="normal">+N610-AB610</f>
        <v>0</v>
      </c>
      <c r="AB610" s="27" t="n">
        <f aca="false" ca="true" dt2D="false" dtr="false" t="normal">SUBTOTAL(9, AC610:AQ610)</f>
        <v>19574027.46</v>
      </c>
      <c r="AC610" s="17" t="n">
        <v>6171316.76</v>
      </c>
      <c r="AD610" s="18" t="n">
        <v>1336962.2</v>
      </c>
      <c r="AE610" s="18" t="n">
        <v>0</v>
      </c>
      <c r="AF610" s="18" t="n">
        <v>2007492.5</v>
      </c>
      <c r="AG610" s="18" t="n"/>
      <c r="AH610" s="18" t="n"/>
      <c r="AI610" s="17" t="n"/>
      <c r="AJ610" s="18" t="n">
        <v>0</v>
      </c>
      <c r="AK610" s="18" t="n"/>
      <c r="AL610" s="18" t="n">
        <v>0</v>
      </c>
      <c r="AM610" s="18" t="n"/>
      <c r="AN610" s="18" t="n">
        <v>10058256</v>
      </c>
      <c r="AO610" s="18" t="n"/>
      <c r="AP610" s="18" t="n"/>
      <c r="AQ610" s="185" t="n"/>
      <c r="AR610" s="186" t="n">
        <f aca="false" ca="false" dt2D="false" dtr="false" t="normal">COUNTIF(AC610:AN610, "&gt;0")</f>
        <v>4</v>
      </c>
      <c r="AT610" s="187" t="n"/>
      <c r="AU610" s="3" t="n"/>
    </row>
    <row customFormat="true" ht="15.75" outlineLevel="0" r="611" s="184">
      <c r="A611" s="5" t="n">
        <f aca="false" ca="false" dt2D="false" dtr="false" t="normal">A610+1</f>
        <v>590</v>
      </c>
      <c r="B611" s="6" t="n">
        <f aca="false" ca="false" dt2D="false" dtr="false" t="normal">B610+1</f>
        <v>130</v>
      </c>
      <c r="C611" s="138" t="s">
        <v>309</v>
      </c>
      <c r="D611" s="138" t="s">
        <v>426</v>
      </c>
      <c r="E611" s="139" t="s">
        <v>427</v>
      </c>
      <c r="F611" s="139" t="n"/>
      <c r="G611" s="139" t="s">
        <v>4</v>
      </c>
      <c r="H611" s="139" t="s">
        <v>159</v>
      </c>
      <c r="I611" s="139" t="s">
        <v>159</v>
      </c>
      <c r="J611" s="17" t="n">
        <v>3906</v>
      </c>
      <c r="K611" s="17" t="n">
        <v>3421.4</v>
      </c>
      <c r="L611" s="17" t="n">
        <v>0</v>
      </c>
      <c r="M611" s="140" t="n">
        <v>129</v>
      </c>
      <c r="N611" s="16" t="n">
        <f aca="false" ca="false" dt2D="false" dtr="false" t="normal">P611+Q611+R611+S611+T611</f>
        <v>2811451.2</v>
      </c>
      <c r="O611" s="17" t="n"/>
      <c r="P611" s="18" t="n">
        <v>454992.63</v>
      </c>
      <c r="Q611" s="18" t="n"/>
      <c r="R611" s="27" t="n">
        <v>1794168.33</v>
      </c>
      <c r="S611" s="27" t="n">
        <v>0</v>
      </c>
      <c r="T611" s="27" t="n">
        <v>562290.24</v>
      </c>
      <c r="U611" s="18" t="n">
        <v>2605.498272</v>
      </c>
      <c r="V611" s="18" t="n">
        <v>1328.283020064</v>
      </c>
      <c r="W611" s="21" t="n">
        <v>2024</v>
      </c>
      <c r="X611" s="202" t="n">
        <v>1883712.58</v>
      </c>
      <c r="Y611" s="3" t="n">
        <f aca="false" ca="false" dt2D="false" dtr="false" t="normal">+(K611*10.5+L611*21)*12*0.85</f>
        <v>366431.94</v>
      </c>
      <c r="Z611" s="3" t="n">
        <f aca="false" ca="false" dt2D="false" dtr="false" t="normal">+(K611*11.55+L611*23.1)*12*30</f>
        <v>14226181.200000001</v>
      </c>
      <c r="AA611" s="3" t="n">
        <f aca="false" ca="false" dt2D="false" dtr="false" t="normal">+N611-AB611</f>
        <v>0</v>
      </c>
      <c r="AB611" s="27" t="n">
        <f aca="false" ca="true" dt2D="false" dtr="false" t="normal">SUBTOTAL(9, AC611:AQ611)</f>
        <v>2811451.2</v>
      </c>
      <c r="AC611" s="17" t="n"/>
      <c r="AD611" s="18" t="n"/>
      <c r="AE611" s="18" t="n"/>
      <c r="AF611" s="18" t="n"/>
      <c r="AG611" s="18" t="n"/>
      <c r="AH611" s="18" t="n"/>
      <c r="AI611" s="17" t="n"/>
      <c r="AJ611" s="18" t="n"/>
      <c r="AK611" s="18" t="n"/>
      <c r="AL611" s="18" t="n"/>
      <c r="AM611" s="18" t="n"/>
      <c r="AN611" s="18" t="n">
        <v>2811451.2</v>
      </c>
      <c r="AO611" s="189" t="n"/>
      <c r="AP611" s="189" t="n"/>
      <c r="AQ611" s="185" t="n"/>
      <c r="AR611" s="186" t="n">
        <f aca="false" ca="false" dt2D="false" dtr="false" t="normal">COUNTIF(AC611:AN611, "&gt;0")</f>
        <v>1</v>
      </c>
      <c r="AT611" s="187" t="n"/>
      <c r="AU611" s="3" t="n"/>
    </row>
    <row ht="15.75" outlineLevel="0" r="612">
      <c r="A612" s="5" t="n">
        <f aca="false" ca="false" dt2D="false" dtr="false" t="normal">A611+1</f>
        <v>591</v>
      </c>
      <c r="B612" s="6" t="n">
        <f aca="false" ca="false" dt2D="false" dtr="false" t="normal">B611+1</f>
        <v>131</v>
      </c>
      <c r="C612" s="6" t="s">
        <v>177</v>
      </c>
      <c r="D612" s="6" t="s">
        <v>429</v>
      </c>
      <c r="E612" s="164" t="n">
        <v>1976</v>
      </c>
      <c r="F612" s="164" t="n">
        <v>2013</v>
      </c>
      <c r="G612" s="164" t="s">
        <v>4</v>
      </c>
      <c r="H612" s="164" t="n">
        <v>4</v>
      </c>
      <c r="I612" s="164" t="n">
        <v>4</v>
      </c>
      <c r="J612" s="18" t="n">
        <v>2850.8</v>
      </c>
      <c r="K612" s="18" t="n">
        <v>2612.3</v>
      </c>
      <c r="L612" s="18" t="n">
        <v>0</v>
      </c>
      <c r="M612" s="165" t="n">
        <v>135</v>
      </c>
      <c r="N612" s="16" t="n">
        <f aca="false" ca="false" dt2D="false" dtr="false" t="normal">P612+Q612+R612+S612+T612</f>
        <v>989236.26</v>
      </c>
      <c r="O612" s="18" t="n"/>
      <c r="P612" s="18" t="n">
        <v>0</v>
      </c>
      <c r="Q612" s="18" t="n"/>
      <c r="R612" s="27" t="n">
        <v>989236.26</v>
      </c>
      <c r="S612" s="27" t="n">
        <v>0</v>
      </c>
      <c r="T612" s="27" t="n">
        <v>0</v>
      </c>
      <c r="U612" s="18" t="n">
        <v>392.067540981511</v>
      </c>
      <c r="V612" s="18" t="n">
        <v>392.067540981511</v>
      </c>
      <c r="W612" s="21" t="n">
        <v>2024</v>
      </c>
      <c r="X612" s="1" t="n">
        <f aca="false" ca="false" dt2D="false" dtr="false" t="normal">1147783.87-88084.66</f>
        <v>1059699.2100000002</v>
      </c>
      <c r="Y612" s="3" t="n">
        <f aca="false" ca="false" dt2D="false" dtr="false" t="normal">+(K612*10+L612*20)*12*0.85</f>
        <v>266454.6</v>
      </c>
      <c r="Z612" s="3" t="n">
        <f aca="false" ca="false" dt2D="false" dtr="false" t="normal">+(K612*11.55+L612*23.1)*12*30</f>
        <v>10861943.4</v>
      </c>
      <c r="AA612" s="3" t="n">
        <f aca="false" ca="false" dt2D="false" dtr="false" t="normal">+N612-AB612</f>
        <v>0</v>
      </c>
      <c r="AB612" s="27" t="n">
        <f aca="false" ca="true" dt2D="false" dtr="false" t="normal">SUBTOTAL(9, AC612:AQ612)</f>
        <v>989236.26</v>
      </c>
      <c r="AC612" s="17" t="n"/>
      <c r="AD612" s="18" t="n"/>
      <c r="AE612" s="18" t="n"/>
      <c r="AF612" s="18" t="n"/>
      <c r="AG612" s="18" t="n">
        <v>989236.26</v>
      </c>
      <c r="AH612" s="18" t="n"/>
      <c r="AI612" s="17" t="n"/>
      <c r="AJ612" s="18" t="n"/>
      <c r="AK612" s="18" t="n"/>
      <c r="AL612" s="18" t="n"/>
      <c r="AM612" s="18" t="n"/>
      <c r="AN612" s="18" t="n"/>
      <c r="AO612" s="18" t="n"/>
      <c r="AP612" s="18" t="n"/>
      <c r="AQ612" s="185" t="n"/>
      <c r="AR612" s="186" t="n">
        <f aca="false" ca="false" dt2D="false" dtr="false" t="normal">COUNTIF(AC612:AN612, "&gt;0")</f>
        <v>1</v>
      </c>
      <c r="AU612" s="3" t="n"/>
    </row>
    <row ht="15.75" outlineLevel="0" r="613">
      <c r="A613" s="5" t="n">
        <f aca="false" ca="false" dt2D="false" dtr="false" t="normal">A612+1</f>
        <v>592</v>
      </c>
      <c r="B613" s="6" t="n">
        <f aca="false" ca="false" dt2D="false" dtr="false" t="normal">B612+1</f>
        <v>132</v>
      </c>
      <c r="C613" s="138" t="s">
        <v>177</v>
      </c>
      <c r="D613" s="138" t="s">
        <v>314</v>
      </c>
      <c r="E613" s="139" t="n">
        <v>1986</v>
      </c>
      <c r="F613" s="139" t="n">
        <v>2013</v>
      </c>
      <c r="G613" s="139" t="s">
        <v>4</v>
      </c>
      <c r="H613" s="139" t="n">
        <v>12</v>
      </c>
      <c r="I613" s="139" t="n">
        <v>1</v>
      </c>
      <c r="J613" s="17" t="n">
        <v>5358.08</v>
      </c>
      <c r="K613" s="17" t="n">
        <v>4351.1</v>
      </c>
      <c r="L613" s="17" t="n">
        <v>75.1</v>
      </c>
      <c r="M613" s="140" t="n">
        <v>175</v>
      </c>
      <c r="N613" s="16" t="n">
        <f aca="false" ca="false" dt2D="false" dtr="false" t="normal">P613+Q613+R613+S613+T613</f>
        <v>630551.78</v>
      </c>
      <c r="O613" s="17" t="n"/>
      <c r="P613" s="18" t="n">
        <v>0</v>
      </c>
      <c r="Q613" s="18" t="n"/>
      <c r="R613" s="27" t="n">
        <v>0</v>
      </c>
      <c r="S613" s="27" t="n">
        <v>542862</v>
      </c>
      <c r="T613" s="27" t="n">
        <v>87689.78</v>
      </c>
      <c r="U613" s="18" t="n">
        <v>122.647417649451</v>
      </c>
      <c r="V613" s="18" t="n">
        <v>122.647417649451</v>
      </c>
      <c r="W613" s="21" t="n">
        <v>2024</v>
      </c>
      <c r="X613" s="1" t="n">
        <v>0</v>
      </c>
      <c r="Y613" s="3" t="n">
        <f aca="false" ca="false" dt2D="false" dtr="false" t="normal">+(K613*15.35+L613*26.02)*12*0.85</f>
        <v>701183.5674</v>
      </c>
      <c r="Z613" s="3" t="n">
        <f aca="false" ca="false" dt2D="false" dtr="false" t="normal">+(K613*15.35+L613*26.02)*12*30-'[1]Лист1'!$AQ$334</f>
        <v>10408367.5</v>
      </c>
      <c r="AA613" s="3" t="n">
        <f aca="false" ca="false" dt2D="false" dtr="false" t="normal">+N613-AB613</f>
        <v>0</v>
      </c>
      <c r="AB613" s="27" t="n">
        <f aca="false" ca="true" dt2D="false" dtr="false" t="normal">SUBTOTAL(9, AC613:AQ613)</f>
        <v>630551.78</v>
      </c>
      <c r="AC613" s="17" t="n"/>
      <c r="AD613" s="18" t="n"/>
      <c r="AE613" s="18" t="n"/>
      <c r="AF613" s="18" t="n"/>
      <c r="AG613" s="18" t="n"/>
      <c r="AH613" s="18" t="n"/>
      <c r="AI613" s="17" t="n"/>
      <c r="AJ613" s="18" t="n"/>
      <c r="AK613" s="18" t="n"/>
      <c r="AL613" s="18" t="n"/>
      <c r="AM613" s="18" t="n">
        <v>630551.78</v>
      </c>
      <c r="AN613" s="18" t="n"/>
      <c r="AO613" s="18" t="n"/>
      <c r="AP613" s="18" t="n"/>
      <c r="AQ613" s="191" t="n"/>
      <c r="AR613" s="186" t="n">
        <f aca="false" ca="false" dt2D="false" dtr="false" t="normal">COUNTIF(AC613:AN613, "&gt;0")</f>
        <v>1</v>
      </c>
      <c r="AU613" s="3" t="n"/>
    </row>
    <row customFormat="true" ht="15.75" outlineLevel="0" r="614" s="184">
      <c r="A614" s="5" t="n">
        <f aca="false" ca="false" dt2D="false" dtr="false" t="normal">A613+1</f>
        <v>593</v>
      </c>
      <c r="B614" s="6" t="n">
        <f aca="false" ca="false" dt2D="false" dtr="false" t="normal">B613+1</f>
        <v>133</v>
      </c>
      <c r="C614" s="6" t="s">
        <v>177</v>
      </c>
      <c r="D614" s="6" t="s">
        <v>316</v>
      </c>
      <c r="E614" s="164" t="s">
        <v>28</v>
      </c>
      <c r="F614" s="164" t="n"/>
      <c r="G614" s="164" t="s">
        <v>4</v>
      </c>
      <c r="H614" s="164" t="s">
        <v>159</v>
      </c>
      <c r="I614" s="164" t="s">
        <v>312</v>
      </c>
      <c r="J614" s="18" t="n">
        <v>5678.2</v>
      </c>
      <c r="K614" s="18" t="n">
        <v>4923.8</v>
      </c>
      <c r="L614" s="18" t="n">
        <v>69.9</v>
      </c>
      <c r="M614" s="165" t="n">
        <v>234</v>
      </c>
      <c r="N614" s="16" t="n">
        <f aca="false" ca="false" dt2D="false" dtr="false" t="normal">P614+Q614+R614+S614+T614</f>
        <v>2808289.4299999997</v>
      </c>
      <c r="O614" s="18" t="n">
        <v>0</v>
      </c>
      <c r="P614" s="18" t="n">
        <v>540390.94</v>
      </c>
      <c r="Q614" s="18" t="n"/>
      <c r="R614" s="27" t="n">
        <v>154853.49</v>
      </c>
      <c r="S614" s="27" t="n">
        <v>1711538.53</v>
      </c>
      <c r="T614" s="27" t="n">
        <v>401506.47</v>
      </c>
      <c r="U614" s="18" t="n">
        <v>2000.17354200408</v>
      </c>
      <c r="V614" s="18" t="n">
        <v>2000.17354200408</v>
      </c>
      <c r="W614" s="21" t="n">
        <v>2024</v>
      </c>
      <c r="X614" s="192" t="n"/>
      <c r="Y614" s="3" t="n">
        <f aca="false" ca="false" dt2D="false" dtr="false" t="normal">+(K614*11.55+L614*23.1)*12*0.85</f>
        <v>596542.716</v>
      </c>
      <c r="Z614" s="3" t="n">
        <f aca="false" ca="false" dt2D="false" dtr="false" t="normal">+(K614*11.55+L614*23.1)*12*30-'[1]Лист1'!$AQ$335</f>
        <v>1385446.9400000013</v>
      </c>
      <c r="AA614" s="3" t="n">
        <f aca="false" ca="false" dt2D="false" dtr="false" t="normal">+N614-AB614</f>
        <v>0</v>
      </c>
      <c r="AB614" s="27" t="n">
        <f aca="false" ca="true" dt2D="false" dtr="false" t="normal">SUBTOTAL(9, AC614:AQ614)</f>
        <v>2808289.43</v>
      </c>
      <c r="AC614" s="17" t="n"/>
      <c r="AD614" s="18" t="n"/>
      <c r="AE614" s="18" t="n"/>
      <c r="AF614" s="18" t="n"/>
      <c r="AG614" s="18" t="n">
        <v>2808289.43</v>
      </c>
      <c r="AH614" s="18" t="n"/>
      <c r="AI614" s="17" t="n"/>
      <c r="AJ614" s="18" t="n"/>
      <c r="AK614" s="18" t="n"/>
      <c r="AL614" s="18" t="n"/>
      <c r="AM614" s="18" t="n"/>
      <c r="AN614" s="18" t="n"/>
      <c r="AO614" s="18" t="n"/>
      <c r="AP614" s="18" t="n"/>
      <c r="AQ614" s="185" t="n"/>
      <c r="AR614" s="186" t="n">
        <f aca="false" ca="false" dt2D="false" dtr="false" t="normal">COUNTIF(AC614:AN614, "&gt;0")</f>
        <v>1</v>
      </c>
      <c r="AT614" s="187" t="n"/>
      <c r="AU614" s="3" t="n"/>
    </row>
    <row customFormat="true" ht="15.75" outlineLevel="0" r="615" s="184">
      <c r="A615" s="5" t="n">
        <f aca="false" ca="false" dt2D="false" dtr="false" t="normal">A614+1</f>
        <v>594</v>
      </c>
      <c r="B615" s="6" t="n">
        <f aca="false" ca="false" dt2D="false" dtr="false" t="normal">B614+1</f>
        <v>134</v>
      </c>
      <c r="C615" s="6" t="s">
        <v>177</v>
      </c>
      <c r="D615" s="6" t="s">
        <v>434</v>
      </c>
      <c r="E615" s="164" t="s">
        <v>28</v>
      </c>
      <c r="F615" s="164" t="n"/>
      <c r="G615" s="164" t="s">
        <v>4</v>
      </c>
      <c r="H615" s="164" t="s">
        <v>159</v>
      </c>
      <c r="I615" s="164" t="s">
        <v>312</v>
      </c>
      <c r="J615" s="18" t="n">
        <v>5563.5</v>
      </c>
      <c r="K615" s="18" t="n">
        <v>4878.9</v>
      </c>
      <c r="L615" s="18" t="n">
        <v>141.3</v>
      </c>
      <c r="M615" s="165" t="n">
        <v>240</v>
      </c>
      <c r="N615" s="16" t="n">
        <f aca="false" ca="false" dt2D="false" dtr="false" t="normal">P615+Q615+R615+S615+T615</f>
        <v>34019179.71</v>
      </c>
      <c r="O615" s="18" t="n">
        <v>0</v>
      </c>
      <c r="P615" s="18" t="n">
        <v>20305031.15</v>
      </c>
      <c r="Q615" s="18" t="n"/>
      <c r="R615" s="27" t="n">
        <v>1315650.73</v>
      </c>
      <c r="S615" s="27" t="n">
        <v>8591119.47</v>
      </c>
      <c r="T615" s="27" t="n">
        <v>3807378.36</v>
      </c>
      <c r="U615" s="18" t="n">
        <v>10763.8161162197</v>
      </c>
      <c r="V615" s="18" t="n">
        <v>10763.8161162197</v>
      </c>
      <c r="W615" s="21" t="n">
        <v>2024</v>
      </c>
      <c r="X615" s="192" t="n"/>
      <c r="Y615" s="3" t="n">
        <f aca="false" ca="false" dt2D="false" dtr="false" t="normal">+(K615*11.55+L615*23.1)*12*0.85</f>
        <v>608076.315</v>
      </c>
      <c r="Z615" s="3" t="n">
        <f aca="false" ca="false" dt2D="false" dtr="false" t="normal">+(K615*11.55+L615*23.1)*12*30-'[1]Лист1'!$AQ$336</f>
        <v>1455698.8499999978</v>
      </c>
      <c r="AA615" s="3" t="n">
        <f aca="false" ca="false" dt2D="false" dtr="false" t="normal">+N615-AB615</f>
        <v>0</v>
      </c>
      <c r="AB615" s="27" t="n">
        <f aca="false" ca="true" dt2D="false" dtr="false" t="normal">SUBTOTAL(9, AC615:AQ615)</f>
        <v>34019179.71</v>
      </c>
      <c r="AC615" s="17" t="n"/>
      <c r="AD615" s="18" t="n"/>
      <c r="AE615" s="18" t="n"/>
      <c r="AF615" s="18" t="n"/>
      <c r="AG615" s="18" t="n">
        <v>2752258.84</v>
      </c>
      <c r="AH615" s="18" t="n"/>
      <c r="AI615" s="17" t="n"/>
      <c r="AJ615" s="18" t="n"/>
      <c r="AK615" s="18" t="n"/>
      <c r="AL615" s="18" t="n"/>
      <c r="AM615" s="18" t="n">
        <v>31266920.87</v>
      </c>
      <c r="AN615" s="18" t="n"/>
      <c r="AO615" s="18" t="n"/>
      <c r="AP615" s="18" t="n"/>
      <c r="AQ615" s="185" t="n"/>
      <c r="AR615" s="186" t="n">
        <f aca="false" ca="false" dt2D="false" dtr="false" t="normal">COUNTIF(AC615:AN615, "&gt;0")</f>
        <v>2</v>
      </c>
      <c r="AT615" s="187" t="n"/>
      <c r="AU615" s="3" t="n"/>
    </row>
    <row customFormat="true" ht="15.75" outlineLevel="0" r="616" s="184">
      <c r="A616" s="5" t="n">
        <f aca="false" ca="false" dt2D="false" dtr="false" t="normal">A615+1</f>
        <v>595</v>
      </c>
      <c r="B616" s="6" t="n">
        <f aca="false" ca="false" dt2D="false" dtr="false" t="normal">B615+1</f>
        <v>135</v>
      </c>
      <c r="C616" s="6" t="s">
        <v>309</v>
      </c>
      <c r="D616" s="6" t="s">
        <v>436</v>
      </c>
      <c r="E616" s="164" t="s">
        <v>311</v>
      </c>
      <c r="F616" s="164" t="n"/>
      <c r="G616" s="164" t="s">
        <v>4</v>
      </c>
      <c r="H616" s="164" t="s">
        <v>159</v>
      </c>
      <c r="I616" s="164" t="s">
        <v>312</v>
      </c>
      <c r="J616" s="18" t="n">
        <v>5751.1</v>
      </c>
      <c r="K616" s="18" t="n">
        <v>4971.6</v>
      </c>
      <c r="L616" s="18" t="n">
        <v>0</v>
      </c>
      <c r="M616" s="165" t="n">
        <v>221</v>
      </c>
      <c r="N616" s="16" t="n">
        <f aca="false" ca="false" dt2D="false" dtr="false" t="normal">P616+Q616+R616+S616+T616</f>
        <v>20923158.340000004</v>
      </c>
      <c r="O616" s="18" t="n">
        <v>0</v>
      </c>
      <c r="P616" s="18" t="n">
        <v>13992879.62</v>
      </c>
      <c r="Q616" s="18" t="n"/>
      <c r="R616" s="27" t="n">
        <v>1012327.49</v>
      </c>
      <c r="S616" s="27" t="n">
        <v>3825635.4</v>
      </c>
      <c r="T616" s="27" t="n">
        <v>2092315.83</v>
      </c>
      <c r="U616" s="18" t="n">
        <v>7573.9732792899</v>
      </c>
      <c r="V616" s="18" t="n">
        <v>1330.283020064</v>
      </c>
      <c r="W616" s="21" t="n">
        <v>2024</v>
      </c>
      <c r="X616" s="103" t="n"/>
      <c r="Y616" s="3" t="n">
        <f aca="false" ca="false" dt2D="false" dtr="false" t="normal">+(K616*11.55+L616*23.1)*12*0.85</f>
        <v>585704.1960000001</v>
      </c>
      <c r="Z616" s="3" t="n">
        <f aca="false" ca="false" dt2D="false" dtr="false" t="normal">+(K616*11.55+L616*23.1)*12*30-'[1]Лист1'!$AQ$337</f>
        <v>780529.0000000037</v>
      </c>
      <c r="AA616" s="3" t="n">
        <f aca="false" ca="false" dt2D="false" dtr="false" t="normal">+N616-AB616</f>
        <v>0</v>
      </c>
      <c r="AB616" s="27" t="n">
        <f aca="false" ca="true" dt2D="false" dtr="false" t="normal">SUBTOTAL(9, AC616:AQ616)</f>
        <v>20923158.34</v>
      </c>
      <c r="AC616" s="17" t="n"/>
      <c r="AD616" s="18" t="n"/>
      <c r="AE616" s="18" t="n">
        <v>0</v>
      </c>
      <c r="AF616" s="18" t="n">
        <v>0</v>
      </c>
      <c r="AG616" s="18" t="n"/>
      <c r="AH616" s="18" t="n"/>
      <c r="AI616" s="17" t="n"/>
      <c r="AJ616" s="18" t="n">
        <v>0</v>
      </c>
      <c r="AK616" s="18" t="n"/>
      <c r="AL616" s="18" t="n">
        <v>0</v>
      </c>
      <c r="AM616" s="18" t="n">
        <v>20923158.34</v>
      </c>
      <c r="AN616" s="18" t="n"/>
      <c r="AO616" s="18" t="n"/>
      <c r="AP616" s="18" t="n"/>
      <c r="AQ616" s="185" t="n"/>
      <c r="AR616" s="186" t="n">
        <f aca="false" ca="false" dt2D="false" dtr="false" t="normal">COUNTIF(AC616:AN616, "&gt;0")</f>
        <v>1</v>
      </c>
      <c r="AT616" s="187" t="n"/>
      <c r="AU616" s="3" t="n"/>
    </row>
    <row ht="15.75" outlineLevel="0" r="617">
      <c r="A617" s="5" t="n">
        <f aca="false" ca="false" dt2D="false" dtr="false" t="normal">A616+1</f>
        <v>596</v>
      </c>
      <c r="B617" s="6" t="n">
        <f aca="false" ca="false" dt2D="false" dtr="false" t="normal">B616+1</f>
        <v>136</v>
      </c>
      <c r="C617" s="6" t="s">
        <v>177</v>
      </c>
      <c r="D617" s="6" t="s">
        <v>438</v>
      </c>
      <c r="E617" s="164" t="n">
        <v>1968</v>
      </c>
      <c r="F617" s="164" t="n">
        <v>2013</v>
      </c>
      <c r="G617" s="164" t="s">
        <v>4</v>
      </c>
      <c r="H617" s="164" t="n">
        <v>4</v>
      </c>
      <c r="I617" s="164" t="n">
        <v>3</v>
      </c>
      <c r="J617" s="18" t="n">
        <v>2488.5</v>
      </c>
      <c r="K617" s="18" t="n">
        <v>2348.2</v>
      </c>
      <c r="L617" s="18" t="n">
        <v>69.6</v>
      </c>
      <c r="M617" s="165" t="n">
        <v>64</v>
      </c>
      <c r="N617" s="16" t="n">
        <f aca="false" ca="false" dt2D="false" dtr="false" t="normal">P617+Q617+R617+S617+T617</f>
        <v>13354250.78</v>
      </c>
      <c r="O617" s="18" t="n"/>
      <c r="P617" s="18" t="n">
        <v>9152920.44</v>
      </c>
      <c r="Q617" s="18" t="n"/>
      <c r="R617" s="27" t="n">
        <v>330044.47</v>
      </c>
      <c r="S617" s="27" t="n">
        <v>2402318.28</v>
      </c>
      <c r="T617" s="27" t="n">
        <v>1468967.59</v>
      </c>
      <c r="U617" s="18" t="n">
        <v>8579.38926156066</v>
      </c>
      <c r="V617" s="18" t="n">
        <v>1333.283020064</v>
      </c>
      <c r="W617" s="21" t="n">
        <v>2024</v>
      </c>
      <c r="X617" s="103" t="n"/>
      <c r="Y617" s="3" t="n">
        <f aca="false" ca="false" dt2D="false" dtr="false" t="normal">+(K617*11.55+L617*23.1)*12*0.85</f>
        <v>293040.594</v>
      </c>
      <c r="Z617" s="3" t="n">
        <f aca="false" ca="false" dt2D="false" dtr="false" t="normal">+(K617*11.55+L617*23.1)*12*30-'[1]Лист1'!$AQ$339</f>
        <v>4774125.56</v>
      </c>
      <c r="AA617" s="3" t="n">
        <f aca="false" ca="false" dt2D="false" dtr="false" t="normal">+N617-AB617</f>
        <v>0</v>
      </c>
      <c r="AB617" s="203" t="n">
        <f aca="false" ca="true" dt2D="false" dtr="false" t="normal">SUBTOTAL(9, AC617:AQ617)</f>
        <v>13354250.780000001</v>
      </c>
      <c r="AC617" s="17" t="n">
        <v>0</v>
      </c>
      <c r="AD617" s="18" t="n">
        <v>1739799.32</v>
      </c>
      <c r="AE617" s="18" t="n">
        <v>0</v>
      </c>
      <c r="AF617" s="18" t="n">
        <v>956618.14</v>
      </c>
      <c r="AG617" s="18" t="n"/>
      <c r="AH617" s="18" t="n"/>
      <c r="AI617" s="17" t="n"/>
      <c r="AJ617" s="18" t="n">
        <v>0</v>
      </c>
      <c r="AK617" s="18" t="n">
        <v>0</v>
      </c>
      <c r="AL617" s="18" t="n">
        <v>0</v>
      </c>
      <c r="AM617" s="18" t="n">
        <v>10657833.32</v>
      </c>
      <c r="AN617" s="18" t="n"/>
      <c r="AO617" s="189" t="n"/>
      <c r="AP617" s="189" t="n"/>
      <c r="AQ617" s="185" t="n"/>
      <c r="AR617" s="186" t="n">
        <f aca="false" ca="false" dt2D="false" dtr="false" t="normal">COUNTIF(AC617:AN617, "&gt;0")</f>
        <v>3</v>
      </c>
      <c r="AU617" s="3" t="n"/>
    </row>
    <row customFormat="true" ht="15.75" outlineLevel="0" r="618" s="184">
      <c r="A618" s="5" t="n">
        <f aca="false" ca="false" dt2D="false" dtr="false" t="normal">A617+1</f>
        <v>597</v>
      </c>
      <c r="B618" s="6" t="n">
        <f aca="false" ca="false" dt2D="false" dtr="false" t="normal">B617+1</f>
        <v>137</v>
      </c>
      <c r="C618" s="6" t="s">
        <v>177</v>
      </c>
      <c r="D618" s="6" t="s">
        <v>440</v>
      </c>
      <c r="E618" s="164" t="s">
        <v>414</v>
      </c>
      <c r="F618" s="164" t="n"/>
      <c r="G618" s="164" t="s">
        <v>4</v>
      </c>
      <c r="H618" s="164" t="s">
        <v>165</v>
      </c>
      <c r="I618" s="164" t="s">
        <v>159</v>
      </c>
      <c r="J618" s="18" t="n">
        <v>4831.3</v>
      </c>
      <c r="K618" s="18" t="n">
        <v>4321.7</v>
      </c>
      <c r="L618" s="18" t="n">
        <v>0</v>
      </c>
      <c r="M618" s="165" t="n">
        <v>196</v>
      </c>
      <c r="N618" s="16" t="n">
        <f aca="false" ca="false" dt2D="false" dtr="false" t="normal">P618+Q618+R618+S618+T618</f>
        <v>1878920.4</v>
      </c>
      <c r="O618" s="18" t="n">
        <v>0</v>
      </c>
      <c r="P618" s="18" t="n">
        <v>35451.01</v>
      </c>
      <c r="Q618" s="18" t="n"/>
      <c r="R618" s="27" t="n">
        <v>1025076.65</v>
      </c>
      <c r="S618" s="27" t="n">
        <v>818392.74</v>
      </c>
      <c r="T618" s="27" t="n">
        <v>0</v>
      </c>
      <c r="U618" s="18" t="n">
        <v>497.832312984242</v>
      </c>
      <c r="V618" s="18" t="n">
        <v>497.832312984242</v>
      </c>
      <c r="W618" s="21" t="n">
        <v>2024</v>
      </c>
      <c r="X618" s="184" t="n">
        <f aca="false" ca="false" dt2D="false" dtr="false" t="normal">2071971.63-1179695.86</f>
        <v>892275.7699999998</v>
      </c>
      <c r="Y618" s="3" t="n">
        <f aca="false" ca="false" dt2D="false" dtr="false" t="normal">+(K618*10+L618*20)*12*0.85</f>
        <v>440813.39999999997</v>
      </c>
      <c r="Z618" s="3" t="n">
        <f aca="false" ca="false" dt2D="false" dtr="false" t="normal">+(K618*11.55+L618*23.1)*12*30</f>
        <v>17969628.6</v>
      </c>
      <c r="AA618" s="3" t="n">
        <f aca="false" ca="false" dt2D="false" dtr="false" t="normal">+N618-AB618</f>
        <v>0</v>
      </c>
      <c r="AB618" s="27" t="n">
        <f aca="false" ca="true" dt2D="false" dtr="false" t="normal">SUBTOTAL(9, AC618:AQ618)</f>
        <v>1878920.4</v>
      </c>
      <c r="AC618" s="17" t="n"/>
      <c r="AD618" s="18" t="n"/>
      <c r="AE618" s="18" t="n"/>
      <c r="AF618" s="18" t="n"/>
      <c r="AG618" s="18" t="n">
        <v>1878920.4</v>
      </c>
      <c r="AH618" s="18" t="n"/>
      <c r="AI618" s="17" t="n"/>
      <c r="AJ618" s="18" t="n"/>
      <c r="AK618" s="18" t="n"/>
      <c r="AL618" s="18" t="n"/>
      <c r="AM618" s="18" t="n"/>
      <c r="AN618" s="18" t="n"/>
      <c r="AO618" s="189" t="n"/>
      <c r="AP618" s="189" t="n"/>
      <c r="AQ618" s="185" t="n"/>
      <c r="AR618" s="186" t="n">
        <f aca="false" ca="false" dt2D="false" dtr="false" t="normal">COUNTIF(AC618:AN618, "&gt;0")</f>
        <v>1</v>
      </c>
      <c r="AT618" s="187" t="n"/>
      <c r="AU618" s="3" t="n"/>
    </row>
    <row customFormat="true" ht="15.75" outlineLevel="0" r="619" s="184">
      <c r="A619" s="5" t="n">
        <f aca="false" ca="false" dt2D="false" dtr="false" t="normal">A618+1</f>
        <v>598</v>
      </c>
      <c r="B619" s="6" t="n">
        <f aca="false" ca="false" dt2D="false" dtr="false" t="normal">B618+1</f>
        <v>138</v>
      </c>
      <c r="C619" s="6" t="s">
        <v>177</v>
      </c>
      <c r="D619" s="6" t="s">
        <v>442</v>
      </c>
      <c r="E619" s="164" t="s">
        <v>190</v>
      </c>
      <c r="F619" s="164" t="n"/>
      <c r="G619" s="164" t="s">
        <v>4</v>
      </c>
      <c r="H619" s="164" t="s">
        <v>165</v>
      </c>
      <c r="I619" s="164" t="s">
        <v>159</v>
      </c>
      <c r="J619" s="18" t="n">
        <v>4859.5</v>
      </c>
      <c r="K619" s="18" t="n">
        <v>4274.3</v>
      </c>
      <c r="L619" s="18" t="n">
        <v>0</v>
      </c>
      <c r="M619" s="165" t="n">
        <v>197</v>
      </c>
      <c r="N619" s="16" t="n">
        <f aca="false" ca="false" dt2D="false" dtr="false" t="normal">P619+Q619+R619+S619+T619</f>
        <v>1882425.6</v>
      </c>
      <c r="O619" s="18" t="n">
        <v>0</v>
      </c>
      <c r="P619" s="18" t="n">
        <v>0</v>
      </c>
      <c r="Q619" s="18" t="n"/>
      <c r="R619" s="27" t="n">
        <v>1882425.6</v>
      </c>
      <c r="S619" s="27" t="n">
        <v>0</v>
      </c>
      <c r="T619" s="27" t="n">
        <v>0</v>
      </c>
      <c r="U619" s="18" t="n">
        <v>504.050971179374</v>
      </c>
      <c r="V619" s="18" t="n">
        <v>504.050971179374</v>
      </c>
      <c r="W619" s="21" t="n">
        <v>2024</v>
      </c>
      <c r="X619" s="184" t="n">
        <v>2094059.07</v>
      </c>
      <c r="Y619" s="3" t="n">
        <f aca="false" ca="false" dt2D="false" dtr="false" t="normal">+(K619*10+L619*20)*12*0.85</f>
        <v>435978.6</v>
      </c>
      <c r="Z619" s="3" t="n">
        <f aca="false" ca="false" dt2D="false" dtr="false" t="normal">+(K619*11.55+L619*23.1)*12*30</f>
        <v>17772539.400000002</v>
      </c>
      <c r="AA619" s="3" t="n">
        <f aca="false" ca="false" dt2D="false" dtr="false" t="normal">+N619-AB619</f>
        <v>0</v>
      </c>
      <c r="AB619" s="27" t="n">
        <f aca="false" ca="true" dt2D="false" dtr="false" t="normal">SUBTOTAL(9, AC619:AQ619)</f>
        <v>1882425.6</v>
      </c>
      <c r="AC619" s="17" t="n"/>
      <c r="AD619" s="18" t="n"/>
      <c r="AE619" s="18" t="n"/>
      <c r="AF619" s="18" t="n"/>
      <c r="AG619" s="18" t="n">
        <v>1882425.6</v>
      </c>
      <c r="AH619" s="18" t="n"/>
      <c r="AI619" s="17" t="n"/>
      <c r="AJ619" s="18" t="n"/>
      <c r="AK619" s="18" t="n"/>
      <c r="AL619" s="18" t="n"/>
      <c r="AM619" s="18" t="n"/>
      <c r="AN619" s="18" t="n"/>
      <c r="AO619" s="189" t="n"/>
      <c r="AP619" s="189" t="n"/>
      <c r="AQ619" s="185" t="n"/>
      <c r="AR619" s="186" t="n">
        <f aca="false" ca="false" dt2D="false" dtr="false" t="normal">COUNTIF(AC619:AN619, "&gt;0")</f>
        <v>1</v>
      </c>
      <c r="AT619" s="187" t="n"/>
      <c r="AU619" s="3" t="n"/>
    </row>
    <row customFormat="true" ht="15.75" outlineLevel="0" r="620" s="184">
      <c r="A620" s="5" t="n">
        <f aca="false" ca="false" dt2D="false" dtr="false" t="normal">A619+1</f>
        <v>599</v>
      </c>
      <c r="B620" s="6" t="n">
        <f aca="false" ca="false" dt2D="false" dtr="false" t="normal">B619+1</f>
        <v>139</v>
      </c>
      <c r="C620" s="6" t="s">
        <v>177</v>
      </c>
      <c r="D620" s="6" t="s">
        <v>444</v>
      </c>
      <c r="E620" s="164" t="s">
        <v>340</v>
      </c>
      <c r="F620" s="164" t="n"/>
      <c r="G620" s="164" t="s">
        <v>4</v>
      </c>
      <c r="H620" s="164" t="s">
        <v>159</v>
      </c>
      <c r="I620" s="164" t="s">
        <v>159</v>
      </c>
      <c r="J620" s="18" t="n">
        <v>2960.3</v>
      </c>
      <c r="K620" s="18" t="n">
        <v>2725</v>
      </c>
      <c r="L620" s="18" t="n">
        <v>0</v>
      </c>
      <c r="M620" s="165" t="n">
        <v>144</v>
      </c>
      <c r="N620" s="16" t="n">
        <f aca="false" ca="false" dt2D="false" dtr="false" t="normal">P620+Q620+R620+S620+T620</f>
        <v>10207701.33</v>
      </c>
      <c r="O620" s="18" t="n">
        <v>0</v>
      </c>
      <c r="P620" s="18" t="n">
        <v>7977890.49</v>
      </c>
      <c r="Q620" s="18" t="n"/>
      <c r="R620" s="27" t="n">
        <v>0</v>
      </c>
      <c r="S620" s="27" t="n">
        <v>1004886.68</v>
      </c>
      <c r="T620" s="27" t="n">
        <v>1224924.16</v>
      </c>
      <c r="U620" s="18" t="n">
        <v>8362.46221489454</v>
      </c>
      <c r="V620" s="18" t="n">
        <v>8362.46221489454</v>
      </c>
      <c r="W620" s="21" t="n">
        <v>2024</v>
      </c>
      <c r="X620" s="192" t="e">
        <f aca="false" ca="false" dt2D="false" dtr="false" t="normal">1333137.2-#REF!</f>
        <v>#REF!</v>
      </c>
      <c r="Y620" s="3" t="n">
        <f aca="false" ca="false" dt2D="false" dtr="false" t="normal">+(K620*10+L620*20)*12*0.85</f>
        <v>277950</v>
      </c>
      <c r="Z620" s="3" t="n">
        <f aca="false" ca="false" dt2D="false" dtr="false" t="normal">+(K620*11.55+L620*23.1)*12*30</f>
        <v>11330550.000000002</v>
      </c>
      <c r="AA620" s="3" t="n">
        <f aca="false" ca="false" dt2D="false" dtr="false" t="normal">+N620-AB620</f>
        <v>0</v>
      </c>
      <c r="AB620" s="27" t="n">
        <f aca="false" ca="true" dt2D="false" dtr="false" t="normal">SUBTOTAL(9, AC620:AQ620)</f>
        <v>10207701.33</v>
      </c>
      <c r="AC620" s="17" t="n"/>
      <c r="AD620" s="18" t="n"/>
      <c r="AE620" s="18" t="n"/>
      <c r="AF620" s="18" t="n"/>
      <c r="AG620" s="18" t="n"/>
      <c r="AH620" s="18" t="n"/>
      <c r="AI620" s="17" t="n"/>
      <c r="AJ620" s="18" t="n"/>
      <c r="AK620" s="18" t="n"/>
      <c r="AL620" s="18" t="n"/>
      <c r="AM620" s="18" t="n">
        <v>10207701.33</v>
      </c>
      <c r="AN620" s="18" t="n"/>
      <c r="AO620" s="189" t="n"/>
      <c r="AP620" s="189" t="n"/>
      <c r="AQ620" s="185" t="n"/>
      <c r="AR620" s="186" t="n">
        <f aca="false" ca="false" dt2D="false" dtr="false" t="normal">COUNTIF(AC620:AN620, "&gt;0")</f>
        <v>1</v>
      </c>
      <c r="AT620" s="187" t="n"/>
      <c r="AU620" s="3" t="n"/>
    </row>
    <row ht="15.75" outlineLevel="0" r="621">
      <c r="A621" s="5" t="n">
        <f aca="false" ca="false" dt2D="false" dtr="false" t="normal">A620+1</f>
        <v>600</v>
      </c>
      <c r="B621" s="6" t="n">
        <f aca="false" ca="false" dt2D="false" dtr="false" t="normal">B620+1</f>
        <v>140</v>
      </c>
      <c r="C621" s="6" t="s">
        <v>177</v>
      </c>
      <c r="D621" s="6" t="s">
        <v>328</v>
      </c>
      <c r="E621" s="164" t="n">
        <v>1975</v>
      </c>
      <c r="F621" s="164" t="n">
        <v>2013</v>
      </c>
      <c r="G621" s="164" t="s">
        <v>4</v>
      </c>
      <c r="H621" s="164" t="n">
        <v>4</v>
      </c>
      <c r="I621" s="164" t="n">
        <v>6</v>
      </c>
      <c r="J621" s="18" t="n">
        <v>5531.3</v>
      </c>
      <c r="K621" s="18" t="n">
        <v>4842.7</v>
      </c>
      <c r="L621" s="18" t="n">
        <v>189.7</v>
      </c>
      <c r="M621" s="165" t="n">
        <v>235</v>
      </c>
      <c r="N621" s="16" t="n">
        <f aca="false" ca="false" dt2D="false" dtr="false" t="normal">P621+Q621+R621+S621+T621</f>
        <v>1228299.83</v>
      </c>
      <c r="O621" s="18" t="n"/>
      <c r="P621" s="18" t="n">
        <v>0</v>
      </c>
      <c r="Q621" s="18" t="n"/>
      <c r="R621" s="27" t="n">
        <v>139561.72</v>
      </c>
      <c r="S621" s="27" t="n">
        <v>843078.14</v>
      </c>
      <c r="T621" s="27" t="n">
        <v>245659.97</v>
      </c>
      <c r="U621" s="18" t="n">
        <v>2581.2418368051</v>
      </c>
      <c r="V621" s="18" t="n">
        <v>2581.2418368051</v>
      </c>
      <c r="W621" s="21" t="n">
        <v>2024</v>
      </c>
      <c r="X621" s="12" t="n"/>
      <c r="Y621" s="3" t="n">
        <f aca="false" ca="false" dt2D="false" dtr="false" t="normal">+(K621*11.55+L621*23.1)*12*0.85</f>
        <v>615215.601</v>
      </c>
      <c r="Z621" s="3" t="n">
        <f aca="false" ca="false" dt2D="false" dtr="false" t="normal">+(K621*11.55+L621*23.1)*12*30-'[1]Лист1'!$AQ$343</f>
        <v>18758084.53</v>
      </c>
      <c r="AA621" s="3" t="n">
        <f aca="false" ca="false" dt2D="false" dtr="false" t="normal">+N621-AB621</f>
        <v>0</v>
      </c>
      <c r="AB621" s="27" t="n">
        <f aca="false" ca="true" dt2D="false" dtr="false" t="normal">SUBTOTAL(9, AC621:AQ621)</f>
        <v>1228299.83</v>
      </c>
      <c r="AC621" s="17" t="n"/>
      <c r="AD621" s="18" t="n"/>
      <c r="AE621" s="18" t="n"/>
      <c r="AF621" s="18" t="n"/>
      <c r="AG621" s="18" t="n"/>
      <c r="AH621" s="18" t="n"/>
      <c r="AI621" s="17" t="n"/>
      <c r="AJ621" s="18" t="n">
        <v>0</v>
      </c>
      <c r="AK621" s="18" t="n"/>
      <c r="AL621" s="18" t="n">
        <v>0</v>
      </c>
      <c r="AM621" s="18" t="n"/>
      <c r="AN621" s="18" t="n">
        <v>1228299.83</v>
      </c>
      <c r="AO621" s="18" t="n"/>
      <c r="AP621" s="18" t="n"/>
      <c r="AQ621" s="191" t="n"/>
      <c r="AR621" s="186" t="n">
        <f aca="false" ca="false" dt2D="false" dtr="false" t="normal">COUNTIF(AC621:AN621, "&gt;0")</f>
        <v>1</v>
      </c>
      <c r="AU621" s="3" t="n"/>
    </row>
    <row ht="15.75" outlineLevel="0" r="622">
      <c r="A622" s="5" t="n">
        <f aca="false" ca="false" dt2D="false" dtr="false" t="normal">A621+1</f>
        <v>601</v>
      </c>
      <c r="B622" s="6" t="n">
        <f aca="false" ca="false" dt2D="false" dtr="false" t="normal">B621+1</f>
        <v>141</v>
      </c>
      <c r="C622" s="6" t="s">
        <v>177</v>
      </c>
      <c r="D622" s="6" t="s">
        <v>330</v>
      </c>
      <c r="E622" s="164" t="n">
        <v>1977</v>
      </c>
      <c r="F622" s="164" t="n">
        <v>2013</v>
      </c>
      <c r="G622" s="164" t="s">
        <v>4</v>
      </c>
      <c r="H622" s="164" t="n">
        <v>9</v>
      </c>
      <c r="I622" s="164" t="n">
        <v>1</v>
      </c>
      <c r="J622" s="18" t="n">
        <v>2362.6</v>
      </c>
      <c r="K622" s="18" t="n">
        <v>1902.4</v>
      </c>
      <c r="L622" s="18" t="n">
        <v>195.5</v>
      </c>
      <c r="M622" s="165" t="n">
        <v>72</v>
      </c>
      <c r="N622" s="16" t="n">
        <f aca="false" ca="false" dt2D="false" dtr="false" t="normal">P622+Q622+R622+S622+T622</f>
        <v>13021573.44</v>
      </c>
      <c r="O622" s="18" t="n"/>
      <c r="P622" s="18" t="n">
        <v>4263457.88</v>
      </c>
      <c r="Q622" s="18" t="n"/>
      <c r="R622" s="27" t="n">
        <v>2095840.3</v>
      </c>
      <c r="S622" s="27" t="n">
        <v>5498806.15</v>
      </c>
      <c r="T622" s="27" t="n">
        <v>1163469.11</v>
      </c>
      <c r="U622" s="18" t="n">
        <v>10664.5584199513</v>
      </c>
      <c r="V622" s="18" t="n">
        <v>1341.283020064</v>
      </c>
      <c r="W622" s="21" t="n">
        <v>2024</v>
      </c>
      <c r="X622" s="12" t="n"/>
      <c r="Y622" s="3" t="n">
        <f aca="false" ca="false" dt2D="false" dtr="false" t="normal">+(K622*15.35+L622*26.02)*12*0.85</f>
        <v>349745.25</v>
      </c>
      <c r="Z622" s="3" t="n">
        <f aca="false" ca="false" dt2D="false" dtr="false" t="normal">+(K622*15.35+L622*26.02)*12*30-'[1]Лист1'!$AQ$345</f>
        <v>7759275.7</v>
      </c>
      <c r="AA622" s="3" t="n">
        <f aca="false" ca="false" dt2D="false" dtr="false" t="normal">+N622-AB622</f>
        <v>0</v>
      </c>
      <c r="AB622" s="203" t="n">
        <f aca="false" ca="true" dt2D="false" dtr="false" t="normal">SUBTOTAL(9, AC622:AQ622)</f>
        <v>13021573.44</v>
      </c>
      <c r="AC622" s="17" t="n">
        <v>2578640.77</v>
      </c>
      <c r="AD622" s="18" t="n"/>
      <c r="AE622" s="18" t="n"/>
      <c r="AF622" s="18" t="n"/>
      <c r="AG622" s="18" t="n"/>
      <c r="AH622" s="18" t="n"/>
      <c r="AI622" s="17" t="n"/>
      <c r="AJ622" s="18" t="n">
        <v>0</v>
      </c>
      <c r="AK622" s="18" t="n">
        <v>0</v>
      </c>
      <c r="AL622" s="18" t="n">
        <v>0</v>
      </c>
      <c r="AM622" s="18" t="n">
        <v>10442932.67</v>
      </c>
      <c r="AN622" s="18" t="n">
        <v>0</v>
      </c>
      <c r="AO622" s="18" t="n"/>
      <c r="AP622" s="18" t="n"/>
      <c r="AQ622" s="185" t="n"/>
      <c r="AR622" s="186" t="n">
        <f aca="false" ca="false" dt2D="false" dtr="false" t="normal">COUNTIF(AC622:AN622, "&gt;0")</f>
        <v>2</v>
      </c>
      <c r="AU622" s="3" t="n"/>
    </row>
    <row ht="15.75" outlineLevel="0" r="623">
      <c r="A623" s="5" t="n">
        <f aca="false" ca="false" dt2D="false" dtr="false" t="normal">A622+1</f>
        <v>602</v>
      </c>
      <c r="B623" s="6" t="n">
        <f aca="false" ca="false" dt2D="false" dtr="false" t="normal">B622+1</f>
        <v>142</v>
      </c>
      <c r="C623" s="6" t="s">
        <v>177</v>
      </c>
      <c r="D623" s="6" t="s">
        <v>324</v>
      </c>
      <c r="E623" s="164" t="n">
        <v>1977</v>
      </c>
      <c r="F623" s="164" t="n">
        <v>2013</v>
      </c>
      <c r="G623" s="164" t="s">
        <v>4</v>
      </c>
      <c r="H623" s="164" t="n">
        <v>9</v>
      </c>
      <c r="I623" s="164" t="n">
        <v>1</v>
      </c>
      <c r="J623" s="18" t="n">
        <v>2365.99</v>
      </c>
      <c r="K623" s="18" t="n">
        <v>1903.5</v>
      </c>
      <c r="L623" s="18" t="n">
        <v>136</v>
      </c>
      <c r="M623" s="165" t="n">
        <v>71</v>
      </c>
      <c r="N623" s="16" t="n">
        <f aca="false" ca="false" dt2D="false" dtr="false" t="normal">P623+Q623+R623+S623+T623</f>
        <v>9486269.34</v>
      </c>
      <c r="O623" s="18" t="n"/>
      <c r="P623" s="18" t="n">
        <v>4403192.81</v>
      </c>
      <c r="Q623" s="18" t="n"/>
      <c r="R623" s="27" t="n">
        <v>1585958.1</v>
      </c>
      <c r="S623" s="27" t="n">
        <v>3497118.43</v>
      </c>
      <c r="T623" s="27" t="n">
        <v>0</v>
      </c>
      <c r="U623" s="18" t="n">
        <v>10343.4567487209</v>
      </c>
      <c r="V623" s="18" t="n">
        <v>1334.283020064</v>
      </c>
      <c r="W623" s="21" t="n">
        <v>2024</v>
      </c>
      <c r="X623" s="12" t="n"/>
      <c r="Y623" s="3" t="n">
        <f aca="false" ca="false" dt2D="false" dtr="false" t="normal">+(K623*15.35+L623*26.02)*12*0.85</f>
        <v>334125.93899999995</v>
      </c>
      <c r="Z623" s="3" t="n">
        <f aca="false" ca="false" dt2D="false" dtr="false" t="normal">+(K623*15.35+L623*26.02)*12*30-'[1]Лист1'!$AQ$346</f>
        <v>8539037.399999999</v>
      </c>
      <c r="AA623" s="3" t="n">
        <f aca="false" ca="false" dt2D="false" dtr="false" t="normal">+N623-AB623</f>
        <v>0</v>
      </c>
      <c r="AB623" s="203" t="n">
        <f aca="false" ca="true" dt2D="false" dtr="false" t="normal">SUBTOTAL(9, AC623:AQ623)</f>
        <v>9486269.34</v>
      </c>
      <c r="AC623" s="17" t="n"/>
      <c r="AD623" s="18" t="n"/>
      <c r="AE623" s="18" t="n">
        <v>0</v>
      </c>
      <c r="AF623" s="18" t="n"/>
      <c r="AG623" s="18" t="n"/>
      <c r="AH623" s="18" t="n"/>
      <c r="AI623" s="17" t="n"/>
      <c r="AJ623" s="18" t="n">
        <v>0</v>
      </c>
      <c r="AK623" s="18" t="n">
        <v>0</v>
      </c>
      <c r="AL623" s="18" t="n">
        <v>0</v>
      </c>
      <c r="AM623" s="18" t="n">
        <v>9486269.34</v>
      </c>
      <c r="AN623" s="18" t="n">
        <v>0</v>
      </c>
      <c r="AO623" s="18" t="n"/>
      <c r="AP623" s="18" t="n"/>
      <c r="AQ623" s="185" t="n"/>
      <c r="AR623" s="186" t="n">
        <f aca="false" ca="false" dt2D="false" dtr="false" t="normal">COUNTIF(AC623:AN623, "&gt;0")</f>
        <v>1</v>
      </c>
      <c r="AU623" s="3" t="n"/>
    </row>
    <row ht="15.75" outlineLevel="0" r="624">
      <c r="A624" s="5" t="n">
        <f aca="false" ca="false" dt2D="false" dtr="false" t="normal">A623+1</f>
        <v>603</v>
      </c>
      <c r="B624" s="6" t="n">
        <f aca="false" ca="false" dt2D="false" dtr="false" t="normal">B623+1</f>
        <v>143</v>
      </c>
      <c r="C624" s="6" t="s">
        <v>177</v>
      </c>
      <c r="D624" s="6" t="s">
        <v>450</v>
      </c>
      <c r="E624" s="164" t="n">
        <v>1977</v>
      </c>
      <c r="F624" s="164" t="n">
        <v>2013</v>
      </c>
      <c r="G624" s="164" t="s">
        <v>4</v>
      </c>
      <c r="H624" s="164" t="n">
        <v>9</v>
      </c>
      <c r="I624" s="164" t="n">
        <v>1</v>
      </c>
      <c r="J624" s="18" t="n">
        <v>2366.89</v>
      </c>
      <c r="K624" s="18" t="n">
        <v>1904.8</v>
      </c>
      <c r="L624" s="18" t="n">
        <v>41.8</v>
      </c>
      <c r="M624" s="165" t="n">
        <v>59</v>
      </c>
      <c r="N624" s="16" t="n">
        <f aca="false" ca="false" dt2D="false" dtr="false" t="normal">P624+Q624+R624+S624+T624</f>
        <v>17001494.14</v>
      </c>
      <c r="O624" s="18" t="n"/>
      <c r="P624" s="18" t="n">
        <v>6318609.46</v>
      </c>
      <c r="Q624" s="18" t="n"/>
      <c r="R624" s="27" t="n">
        <v>1515838.82</v>
      </c>
      <c r="S624" s="27" t="n">
        <v>7909133.28</v>
      </c>
      <c r="T624" s="27" t="n">
        <v>1257912.58</v>
      </c>
      <c r="U624" s="18" t="n">
        <v>9884.32031756091</v>
      </c>
      <c r="V624" s="18" t="n">
        <v>1335.283020064</v>
      </c>
      <c r="W624" s="21" t="n">
        <v>2024</v>
      </c>
      <c r="X624" s="12" t="n"/>
      <c r="Y624" s="3" t="n">
        <f aca="false" ca="false" dt2D="false" dtr="false" t="normal">+(K624*15.35+L624*26.02)*12*0.85</f>
        <v>309328.4232</v>
      </c>
      <c r="Z624" s="3" t="n">
        <f aca="false" ca="false" dt2D="false" dtr="false" t="normal">+(K624*15.35+L624*26.02)*12*30-'[1]Лист1'!$AQ$347</f>
        <v>7603756.56</v>
      </c>
      <c r="AA624" s="3" t="n">
        <f aca="false" ca="false" dt2D="false" dtr="false" t="normal">+N624-AB624</f>
        <v>0</v>
      </c>
      <c r="AB624" s="203" t="n">
        <f aca="false" ca="true" dt2D="false" dtr="false" t="normal">SUBTOTAL(9, AC624:AQ624)</f>
        <v>17001494.14</v>
      </c>
      <c r="AC624" s="17" t="n">
        <v>2591376.43</v>
      </c>
      <c r="AD624" s="18" t="n"/>
      <c r="AE624" s="18" t="n"/>
      <c r="AF624" s="18" t="n"/>
      <c r="AG624" s="18" t="n"/>
      <c r="AH624" s="18" t="n"/>
      <c r="AI624" s="17" t="n"/>
      <c r="AJ624" s="18" t="n">
        <v>0</v>
      </c>
      <c r="AK624" s="18" t="n">
        <v>0</v>
      </c>
      <c r="AL624" s="18" t="n">
        <v>0</v>
      </c>
      <c r="AM624" s="18" t="n">
        <v>14410117.71</v>
      </c>
      <c r="AN624" s="18" t="n">
        <v>0</v>
      </c>
      <c r="AO624" s="18" t="n"/>
      <c r="AP624" s="18" t="n"/>
      <c r="AQ624" s="185" t="n"/>
      <c r="AR624" s="186" t="n">
        <f aca="false" ca="false" dt2D="false" dtr="false" t="normal">COUNTIF(AC624:AN624, "&gt;0")</f>
        <v>2</v>
      </c>
      <c r="AU624" s="3" t="n"/>
    </row>
    <row ht="15.75" outlineLevel="0" r="625">
      <c r="A625" s="5" t="n">
        <f aca="false" ca="false" dt2D="false" dtr="false" t="normal">A624+1</f>
        <v>604</v>
      </c>
      <c r="B625" s="6" t="n">
        <f aca="false" ca="false" dt2D="false" dtr="false" t="normal">B624+1</f>
        <v>144</v>
      </c>
      <c r="C625" s="6" t="s">
        <v>177</v>
      </c>
      <c r="D625" s="6" t="s">
        <v>327</v>
      </c>
      <c r="E625" s="164" t="n">
        <v>1973</v>
      </c>
      <c r="F625" s="164" t="n">
        <v>2013</v>
      </c>
      <c r="G625" s="164" t="s">
        <v>4</v>
      </c>
      <c r="H625" s="164" t="n">
        <v>5</v>
      </c>
      <c r="I625" s="164" t="n">
        <v>8</v>
      </c>
      <c r="J625" s="18" t="n">
        <v>6624.9</v>
      </c>
      <c r="K625" s="18" t="n">
        <v>5826</v>
      </c>
      <c r="L625" s="18" t="n">
        <v>239.3</v>
      </c>
      <c r="M625" s="165" t="n">
        <v>272</v>
      </c>
      <c r="N625" s="16" t="n">
        <f aca="false" ca="false" dt2D="false" dtr="false" t="normal">P625+Q625+R625+S625+T625</f>
        <v>30628868.71</v>
      </c>
      <c r="O625" s="18" t="n"/>
      <c r="P625" s="18" t="n">
        <v>13570659.35</v>
      </c>
      <c r="Q625" s="18" t="n"/>
      <c r="R625" s="27" t="n">
        <v>1159274.78</v>
      </c>
      <c r="S625" s="27" t="n">
        <v>12900965.21</v>
      </c>
      <c r="T625" s="27" t="n">
        <v>2997969.37</v>
      </c>
      <c r="U625" s="18" t="n">
        <v>13987.9459760831</v>
      </c>
      <c r="V625" s="18" t="n">
        <v>1337.283020064</v>
      </c>
      <c r="W625" s="21" t="n">
        <v>2024</v>
      </c>
      <c r="X625" s="12" t="n"/>
      <c r="Y625" s="3" t="n">
        <f aca="false" ca="false" dt2D="false" dtr="false" t="normal">+(K625*11.55+L625*23.1)*12*0.85</f>
        <v>742744.926</v>
      </c>
      <c r="Z625" s="3" t="n">
        <f aca="false" ca="false" dt2D="false" dtr="false" t="normal">+(K625*11.55+L625*23.1)*12*30-'[1]Лист1'!$AQ$348</f>
        <v>25975063.5</v>
      </c>
      <c r="AA625" s="3" t="n">
        <f aca="false" ca="false" dt2D="false" dtr="false" t="normal">+N625-AB625</f>
        <v>0</v>
      </c>
      <c r="AB625" s="203" t="n">
        <f aca="false" ca="true" dt2D="false" dtr="false" t="normal">SUBTOTAL(9, AC625:AQ625)</f>
        <v>30628868.709999997</v>
      </c>
      <c r="AC625" s="17" t="n"/>
      <c r="AD625" s="18" t="n"/>
      <c r="AE625" s="18" t="n">
        <v>649174.99</v>
      </c>
      <c r="AF625" s="18" t="n"/>
      <c r="AG625" s="18" t="n"/>
      <c r="AH625" s="18" t="n"/>
      <c r="AI625" s="17" t="n"/>
      <c r="AJ625" s="18" t="n">
        <v>0</v>
      </c>
      <c r="AK625" s="18" t="n">
        <v>0</v>
      </c>
      <c r="AL625" s="18" t="n">
        <v>0</v>
      </c>
      <c r="AM625" s="18" t="n">
        <v>29979693.72</v>
      </c>
      <c r="AN625" s="18" t="n"/>
      <c r="AO625" s="189" t="n"/>
      <c r="AP625" s="18" t="n"/>
      <c r="AQ625" s="185" t="n"/>
      <c r="AR625" s="186" t="n">
        <f aca="false" ca="false" dt2D="false" dtr="false" t="normal">COUNTIF(AC625:AN625, "&gt;0")</f>
        <v>2</v>
      </c>
      <c r="AU625" s="3" t="n"/>
    </row>
    <row ht="15.75" outlineLevel="0" r="626">
      <c r="A626" s="5" t="n">
        <f aca="false" ca="false" dt2D="false" dtr="false" t="normal">A625+1</f>
        <v>605</v>
      </c>
      <c r="B626" s="6" t="n">
        <f aca="false" ca="false" dt2D="false" dtr="false" t="normal">B625+1</f>
        <v>145</v>
      </c>
      <c r="C626" s="6" t="s">
        <v>177</v>
      </c>
      <c r="D626" s="6" t="s">
        <v>453</v>
      </c>
      <c r="E626" s="164" t="n">
        <v>1995</v>
      </c>
      <c r="F626" s="164" t="n">
        <v>2013</v>
      </c>
      <c r="G626" s="164" t="s">
        <v>4</v>
      </c>
      <c r="H626" s="164" t="n">
        <v>4</v>
      </c>
      <c r="I626" s="164" t="n">
        <v>3</v>
      </c>
      <c r="J626" s="18" t="n">
        <v>1839</v>
      </c>
      <c r="K626" s="18" t="n">
        <v>1773.6</v>
      </c>
      <c r="L626" s="18" t="n">
        <v>0</v>
      </c>
      <c r="M626" s="165" t="n">
        <v>81</v>
      </c>
      <c r="N626" s="16" t="n">
        <f aca="false" ca="false" dt2D="false" dtr="false" t="normal">P626+Q626+R626+S626+T626</f>
        <v>5455796.6</v>
      </c>
      <c r="O626" s="18" t="n"/>
      <c r="P626" s="18" t="n">
        <v>373182.64</v>
      </c>
      <c r="Q626" s="18" t="n"/>
      <c r="R626" s="27" t="n">
        <v>934046.26</v>
      </c>
      <c r="S626" s="27" t="n">
        <v>3905187.82</v>
      </c>
      <c r="T626" s="27" t="n">
        <v>243379.88</v>
      </c>
      <c r="U626" s="18" t="n">
        <v>6733.3702283361</v>
      </c>
      <c r="V626" s="18" t="n">
        <v>1342.283020064</v>
      </c>
      <c r="W626" s="21" t="n">
        <v>2024</v>
      </c>
      <c r="X626" s="103" t="n">
        <v>590587.34</v>
      </c>
      <c r="Y626" s="3" t="n">
        <f aca="false" ca="false" dt2D="false" dtr="false" t="normal">+(K626*11.55+L626*23.1)*12*0.85</f>
        <v>208947.81600000002</v>
      </c>
      <c r="Z626" s="3" t="n">
        <f aca="false" ca="false" dt2D="false" dtr="false" t="normal">+(K626*11.55+L626*23.1)*12*30</f>
        <v>7374628.800000001</v>
      </c>
      <c r="AA626" s="3" t="n">
        <f aca="false" ca="false" dt2D="false" dtr="false" t="normal">+N626-AB626</f>
        <v>0</v>
      </c>
      <c r="AB626" s="203" t="n">
        <f aca="false" ca="true" dt2D="false" dtr="false" t="normal">SUBTOTAL(9, AC626:AQ626)</f>
        <v>5455796.6</v>
      </c>
      <c r="AC626" s="17" t="n">
        <v>4023823.57</v>
      </c>
      <c r="AD626" s="18" t="n"/>
      <c r="AE626" s="18" t="n">
        <v>1431973.03</v>
      </c>
      <c r="AF626" s="18" t="n"/>
      <c r="AG626" s="18" t="n">
        <v>0</v>
      </c>
      <c r="AH626" s="18" t="n"/>
      <c r="AI626" s="17" t="n"/>
      <c r="AJ626" s="18" t="n">
        <v>0</v>
      </c>
      <c r="AK626" s="18" t="n"/>
      <c r="AL626" s="18" t="n"/>
      <c r="AM626" s="18" t="n"/>
      <c r="AN626" s="18" t="n">
        <v>0</v>
      </c>
      <c r="AO626" s="18" t="n"/>
      <c r="AP626" s="18" t="n"/>
      <c r="AQ626" s="185" t="n"/>
      <c r="AR626" s="186" t="n">
        <f aca="false" ca="false" dt2D="false" dtr="false" t="normal">COUNTIF(AC626:AN626, "&gt;0")</f>
        <v>2</v>
      </c>
      <c r="AU626" s="3" t="n"/>
    </row>
    <row ht="15.75" outlineLevel="0" r="627">
      <c r="A627" s="5" t="n">
        <f aca="false" ca="false" dt2D="false" dtr="false" t="normal">A626+1</f>
        <v>606</v>
      </c>
      <c r="B627" s="6" t="n">
        <f aca="false" ca="false" dt2D="false" dtr="false" t="normal">B626+1</f>
        <v>146</v>
      </c>
      <c r="C627" s="6" t="s">
        <v>457</v>
      </c>
      <c r="D627" s="88" t="s">
        <v>458</v>
      </c>
      <c r="E627" s="204" t="s">
        <v>459</v>
      </c>
      <c r="F627" s="204" t="n"/>
      <c r="G627" s="204" t="s">
        <v>460</v>
      </c>
      <c r="H627" s="204" t="s">
        <v>5</v>
      </c>
      <c r="I627" s="204" t="s">
        <v>159</v>
      </c>
      <c r="J627" s="88" t="n">
        <v>1154.8</v>
      </c>
      <c r="K627" s="88" t="n">
        <v>1069.2</v>
      </c>
      <c r="L627" s="88" t="n">
        <v>0</v>
      </c>
      <c r="M627" s="95" t="n">
        <v>52</v>
      </c>
      <c r="N627" s="16" t="n">
        <f aca="false" ca="false" dt2D="false" dtr="false" t="normal">P627+Q627+R627+S627+T627</f>
        <v>8778997.04</v>
      </c>
      <c r="O627" s="88" t="n"/>
      <c r="P627" s="18" t="n">
        <v>6337698.52</v>
      </c>
      <c r="Q627" s="205" t="n">
        <v>750000</v>
      </c>
      <c r="R627" s="27" t="n">
        <v>277721.31</v>
      </c>
      <c r="S627" s="27" t="n">
        <v>806256.5</v>
      </c>
      <c r="T627" s="27" t="n">
        <v>607320.71</v>
      </c>
      <c r="U627" s="18" t="n">
        <v>11976.9912303912</v>
      </c>
      <c r="V627" s="18" t="n">
        <v>11976.9912303912</v>
      </c>
      <c r="W627" s="21" t="n">
        <v>2024</v>
      </c>
      <c r="X627" s="1" t="n">
        <v>367919.13</v>
      </c>
      <c r="Y627" s="3" t="n">
        <v>81357.5664</v>
      </c>
      <c r="Z627" s="3" t="n">
        <v>1347192</v>
      </c>
      <c r="AA627" s="3" t="n">
        <f aca="false" ca="false" dt2D="false" dtr="false" t="normal">+N627-AB627</f>
        <v>0</v>
      </c>
      <c r="AB627" s="203" t="n">
        <f aca="false" ca="true" dt2D="false" dtr="false" t="normal">SUBTOTAL(9, AC627:AQ627)</f>
        <v>8778997.04</v>
      </c>
      <c r="AC627" s="17" t="n"/>
      <c r="AD627" s="18" t="n"/>
      <c r="AE627" s="18" t="n"/>
      <c r="AF627" s="18" t="n"/>
      <c r="AG627" s="18" t="n"/>
      <c r="AH627" s="18" t="n"/>
      <c r="AI627" s="17" t="n"/>
      <c r="AJ627" s="18" t="n"/>
      <c r="AK627" s="18" t="n"/>
      <c r="AL627" s="18" t="n"/>
      <c r="AM627" s="18" t="n">
        <v>8778997.04</v>
      </c>
      <c r="AN627" s="18" t="n"/>
      <c r="AO627" s="18" t="n"/>
      <c r="AP627" s="189" t="n"/>
      <c r="AQ627" s="185" t="n"/>
      <c r="AR627" s="186" t="n">
        <f aca="false" ca="false" dt2D="false" dtr="false" t="normal">COUNTIF(AC627:AN627, "&gt;0")</f>
        <v>1</v>
      </c>
      <c r="AU627" s="3" t="n"/>
    </row>
    <row ht="15.75" outlineLevel="0" r="628">
      <c r="A628" s="5" t="n">
        <f aca="false" ca="false" dt2D="false" dtr="false" t="normal">A627+1</f>
        <v>607</v>
      </c>
      <c r="B628" s="6" t="n">
        <f aca="false" ca="false" dt2D="false" dtr="false" t="normal">B627+1</f>
        <v>147</v>
      </c>
      <c r="C628" s="6" t="s">
        <v>0</v>
      </c>
      <c r="D628" s="6" t="s">
        <v>463</v>
      </c>
      <c r="E628" s="164" t="n">
        <v>1964</v>
      </c>
      <c r="F628" s="164" t="n">
        <v>1964</v>
      </c>
      <c r="G628" s="164" t="s">
        <v>4</v>
      </c>
      <c r="H628" s="164" t="n">
        <v>2</v>
      </c>
      <c r="I628" s="164" t="n">
        <v>2</v>
      </c>
      <c r="J628" s="18" t="n">
        <v>660.09</v>
      </c>
      <c r="K628" s="18" t="n">
        <v>608.58</v>
      </c>
      <c r="L628" s="18" t="n">
        <v>0</v>
      </c>
      <c r="M628" s="165" t="n">
        <v>32</v>
      </c>
      <c r="N628" s="16" t="n">
        <f aca="false" ca="false" dt2D="false" dtr="false" t="normal">P628+Q628+R628+S628+T628</f>
        <v>356593.42</v>
      </c>
      <c r="O628" s="18" t="n"/>
      <c r="P628" s="18" t="n">
        <v>0</v>
      </c>
      <c r="Q628" s="18" t="n"/>
      <c r="R628" s="27" t="n">
        <v>142800.11</v>
      </c>
      <c r="S628" s="27" t="n">
        <v>213793.31</v>
      </c>
      <c r="T628" s="27" t="n">
        <v>0</v>
      </c>
      <c r="U628" s="18" t="n">
        <v>1019.39562469244</v>
      </c>
      <c r="V628" s="18" t="n">
        <v>1345.283020064</v>
      </c>
      <c r="W628" s="21" t="n">
        <v>2024</v>
      </c>
      <c r="X628" s="103" t="n">
        <v>71103.3</v>
      </c>
      <c r="Y628" s="3" t="n">
        <f aca="false" ca="false" dt2D="false" dtr="false" t="normal">+(K628*11.55+L628*23.1)*12*0.85</f>
        <v>71696.8098</v>
      </c>
      <c r="Z628" s="3" t="n">
        <f aca="false" ca="false" dt2D="false" dtr="false" t="normal">+(K628*11.55+L628*23.1)*12*30</f>
        <v>2530475.64</v>
      </c>
      <c r="AA628" s="3" t="n">
        <f aca="false" ca="false" dt2D="false" dtr="false" t="normal">+N628-AB628</f>
        <v>0</v>
      </c>
      <c r="AB628" s="203" t="n">
        <f aca="false" ca="true" dt2D="false" dtr="false" t="normal">SUBTOTAL(9, AC628:AQ628)</f>
        <v>356593.42</v>
      </c>
      <c r="AC628" s="17" t="n"/>
      <c r="AD628" s="18" t="n"/>
      <c r="AE628" s="18" t="n">
        <v>356593.42</v>
      </c>
      <c r="AF628" s="18" t="n"/>
      <c r="AG628" s="18" t="n"/>
      <c r="AH628" s="18" t="n"/>
      <c r="AI628" s="17" t="n"/>
      <c r="AJ628" s="18" t="n">
        <v>0</v>
      </c>
      <c r="AK628" s="18" t="n">
        <v>0</v>
      </c>
      <c r="AL628" s="18" t="n">
        <v>0</v>
      </c>
      <c r="AM628" s="18" t="n">
        <v>0</v>
      </c>
      <c r="AN628" s="18" t="n">
        <v>0</v>
      </c>
      <c r="AO628" s="18" t="n"/>
      <c r="AP628" s="18" t="n"/>
      <c r="AQ628" s="185" t="n"/>
      <c r="AR628" s="186" t="n">
        <f aca="false" ca="false" dt2D="false" dtr="false" t="normal">COUNTIF(AC628:AN628, "&gt;0")</f>
        <v>1</v>
      </c>
      <c r="AU628" s="3" t="n"/>
    </row>
    <row ht="15.75" outlineLevel="0" r="629">
      <c r="A629" s="5" t="n">
        <f aca="false" ca="false" dt2D="false" dtr="false" t="normal">A628+1</f>
        <v>608</v>
      </c>
      <c r="B629" s="6" t="n">
        <f aca="false" ca="false" dt2D="false" dtr="false" t="normal">B628+1</f>
        <v>148</v>
      </c>
      <c r="C629" s="6" t="s">
        <v>42</v>
      </c>
      <c r="D629" s="6" t="s">
        <v>464</v>
      </c>
      <c r="E629" s="164" t="n">
        <v>1981</v>
      </c>
      <c r="F629" s="164" t="n">
        <v>2010</v>
      </c>
      <c r="G629" s="164" t="s">
        <v>4</v>
      </c>
      <c r="H629" s="164" t="n">
        <v>2</v>
      </c>
      <c r="I629" s="164" t="n">
        <v>2</v>
      </c>
      <c r="J629" s="18" t="n">
        <v>774.6</v>
      </c>
      <c r="K629" s="18" t="n">
        <v>714.53</v>
      </c>
      <c r="L629" s="18" t="n">
        <v>0</v>
      </c>
      <c r="M629" s="165" t="n">
        <v>28</v>
      </c>
      <c r="N629" s="16" t="n">
        <f aca="false" ca="false" dt2D="false" dtr="false" t="normal">P629+Q629+R629+S629+T629</f>
        <v>930962.33</v>
      </c>
      <c r="O629" s="18" t="n"/>
      <c r="P629" s="18" t="n">
        <v>0</v>
      </c>
      <c r="Q629" s="18" t="n"/>
      <c r="R629" s="27" t="n">
        <v>172955.23</v>
      </c>
      <c r="S629" s="27" t="n">
        <v>758007.1</v>
      </c>
      <c r="T629" s="27" t="n">
        <v>0</v>
      </c>
      <c r="U629" s="18" t="n">
        <v>5821.40669592232</v>
      </c>
      <c r="V629" s="18" t="n">
        <v>1346.283020064</v>
      </c>
      <c r="W629" s="21" t="n">
        <v>2024</v>
      </c>
      <c r="X629" s="103" t="n">
        <v>468381.67</v>
      </c>
      <c r="Y629" s="3" t="n">
        <f aca="false" ca="false" dt2D="false" dtr="false" t="normal">+(K629*10.5+L629*21)*12*0.85</f>
        <v>76526.163</v>
      </c>
      <c r="Z629" s="3" t="n">
        <f aca="false" ca="false" dt2D="false" dtr="false" t="normal">+(K629*11.55+L629*23.1)*12*30</f>
        <v>2971015.74</v>
      </c>
      <c r="AA629" s="3" t="n">
        <f aca="false" ca="false" dt2D="false" dtr="false" t="normal">+N629-AB629</f>
        <v>0</v>
      </c>
      <c r="AB629" s="203" t="n">
        <f aca="false" ca="true" dt2D="false" dtr="false" t="normal">SUBTOTAL(9, AC629:AQ629)</f>
        <v>930962.3300000001</v>
      </c>
      <c r="AC629" s="17" t="n"/>
      <c r="AD629" s="18" t="n">
        <v>0</v>
      </c>
      <c r="AE629" s="18" t="n">
        <v>639862.65</v>
      </c>
      <c r="AF629" s="18" t="n">
        <v>291099.68</v>
      </c>
      <c r="AG629" s="18" t="n">
        <v>0</v>
      </c>
      <c r="AH629" s="18" t="n"/>
      <c r="AI629" s="17" t="n"/>
      <c r="AJ629" s="18" t="n">
        <v>0</v>
      </c>
      <c r="AK629" s="18" t="n">
        <v>0</v>
      </c>
      <c r="AL629" s="18" t="n">
        <v>0</v>
      </c>
      <c r="AM629" s="18" t="n">
        <v>0</v>
      </c>
      <c r="AN629" s="18" t="n">
        <v>0</v>
      </c>
      <c r="AO629" s="18" t="n"/>
      <c r="AP629" s="18" t="n"/>
      <c r="AQ629" s="185" t="n"/>
      <c r="AR629" s="186" t="n">
        <f aca="false" ca="false" dt2D="false" dtr="false" t="normal">COUNTIF(AC629:AN629, "&gt;0")</f>
        <v>2</v>
      </c>
      <c r="AU629" s="3" t="n"/>
    </row>
    <row ht="15.75" outlineLevel="0" r="630">
      <c r="A630" s="5" t="n">
        <f aca="false" ca="false" dt2D="false" dtr="false" t="normal">A629+1</f>
        <v>609</v>
      </c>
      <c r="B630" s="6" t="n">
        <f aca="false" ca="false" dt2D="false" dtr="false" t="normal">B629+1</f>
        <v>149</v>
      </c>
      <c r="C630" s="6" t="s">
        <v>42</v>
      </c>
      <c r="D630" s="6" t="s">
        <v>341</v>
      </c>
      <c r="E630" s="164" t="n">
        <v>1983</v>
      </c>
      <c r="F630" s="164" t="n">
        <v>1983</v>
      </c>
      <c r="G630" s="164" t="s">
        <v>4</v>
      </c>
      <c r="H630" s="164" t="n">
        <v>2</v>
      </c>
      <c r="I630" s="164" t="n">
        <v>2</v>
      </c>
      <c r="J630" s="18" t="n">
        <v>910.77</v>
      </c>
      <c r="K630" s="18" t="n">
        <v>841.26</v>
      </c>
      <c r="L630" s="18" t="n">
        <v>0</v>
      </c>
      <c r="M630" s="165" t="n">
        <v>34</v>
      </c>
      <c r="N630" s="16" t="n">
        <f aca="false" ca="false" dt2D="false" dtr="false" t="normal">P630+Q630+R630+S630+T630</f>
        <v>592995.98</v>
      </c>
      <c r="O630" s="18" t="n"/>
      <c r="P630" s="18" t="n">
        <v>46576.83</v>
      </c>
      <c r="Q630" s="18" t="n"/>
      <c r="R630" s="27" t="n">
        <v>187044.89</v>
      </c>
      <c r="S630" s="27" t="n">
        <v>359374.26</v>
      </c>
      <c r="T630" s="27" t="n">
        <v>0</v>
      </c>
      <c r="U630" s="18" t="n">
        <v>1019.39562469244</v>
      </c>
      <c r="V630" s="18" t="n">
        <v>1347.283020064</v>
      </c>
      <c r="W630" s="21" t="n">
        <v>2024</v>
      </c>
      <c r="X630" s="12" t="n"/>
      <c r="Y630" s="3" t="n">
        <f aca="false" ca="false" dt2D="false" dtr="false" t="normal">+(K630*11.55+L630*23.1)*12*0.85</f>
        <v>99108.8406</v>
      </c>
      <c r="Z630" s="3" t="n">
        <f aca="false" ca="false" dt2D="false" dtr="false" t="normal">+(K630*11.55+L630*23.1)*12*30-'[1]Лист1'!$AQ$11</f>
        <v>2070662.72</v>
      </c>
      <c r="AA630" s="3" t="n">
        <f aca="false" ca="false" dt2D="false" dtr="false" t="normal">+N630-AB630</f>
        <v>0</v>
      </c>
      <c r="AB630" s="203" t="n">
        <f aca="false" ca="true" dt2D="false" dtr="false" t="normal">SUBTOTAL(9, AC630:AQ630)</f>
        <v>592995.98</v>
      </c>
      <c r="AC630" s="17" t="n"/>
      <c r="AD630" s="18" t="n"/>
      <c r="AE630" s="18" t="n">
        <v>592995.98</v>
      </c>
      <c r="AF630" s="18" t="n"/>
      <c r="AG630" s="18" t="n">
        <v>0</v>
      </c>
      <c r="AH630" s="18" t="n"/>
      <c r="AI630" s="17" t="n"/>
      <c r="AJ630" s="18" t="n">
        <v>0</v>
      </c>
      <c r="AK630" s="18" t="n">
        <v>0</v>
      </c>
      <c r="AL630" s="18" t="n">
        <v>0</v>
      </c>
      <c r="AM630" s="18" t="n">
        <v>0</v>
      </c>
      <c r="AN630" s="18" t="n">
        <v>0</v>
      </c>
      <c r="AO630" s="18" t="n"/>
      <c r="AP630" s="18" t="n"/>
      <c r="AQ630" s="185" t="n"/>
      <c r="AR630" s="186" t="n">
        <f aca="false" ca="false" dt2D="false" dtr="false" t="normal">COUNTIF(AC630:AN630, "&gt;0")</f>
        <v>1</v>
      </c>
      <c r="AU630" s="3" t="n"/>
    </row>
    <row ht="15.75" outlineLevel="0" r="631">
      <c r="A631" s="5" t="n">
        <f aca="false" ca="false" dt2D="false" dtr="false" t="normal">A630+1</f>
        <v>610</v>
      </c>
      <c r="B631" s="6" t="n">
        <f aca="false" ca="false" dt2D="false" dtr="false" t="normal">B630+1</f>
        <v>150</v>
      </c>
      <c r="C631" s="7" t="s">
        <v>42</v>
      </c>
      <c r="D631" s="7" t="s">
        <v>65</v>
      </c>
      <c r="E631" s="9" t="n">
        <v>1985</v>
      </c>
      <c r="F631" s="9" t="n">
        <v>2009</v>
      </c>
      <c r="G631" s="9" t="s">
        <v>4</v>
      </c>
      <c r="H631" s="9" t="n">
        <v>2</v>
      </c>
      <c r="I631" s="9" t="n">
        <v>3</v>
      </c>
      <c r="J631" s="88" t="n">
        <v>1493.5</v>
      </c>
      <c r="K631" s="88" t="n">
        <v>1376.8</v>
      </c>
      <c r="L631" s="88" t="n">
        <v>0</v>
      </c>
      <c r="M631" s="95" t="n">
        <v>60</v>
      </c>
      <c r="N631" s="16" t="n">
        <f aca="false" ca="false" dt2D="false" dtr="false" t="normal">P631+Q631+R631+S631+T631</f>
        <v>994275.9299999999</v>
      </c>
      <c r="O631" s="88" t="n"/>
      <c r="P631" s="18" t="n">
        <v>192419.64</v>
      </c>
      <c r="Q631" s="18" t="n"/>
      <c r="R631" s="27" t="n">
        <v>102623.82</v>
      </c>
      <c r="S631" s="27" t="n">
        <v>699232.47</v>
      </c>
      <c r="T631" s="27" t="n">
        <v>0</v>
      </c>
      <c r="U631" s="18" t="n">
        <v>7465.96000145264</v>
      </c>
      <c r="V631" s="18" t="n">
        <v>1355.283020064</v>
      </c>
      <c r="W631" s="21" t="n">
        <v>2024</v>
      </c>
      <c r="X631" s="103" t="n">
        <v>707700.33</v>
      </c>
      <c r="Y631" s="3" t="n">
        <f aca="false" ca="false" dt2D="false" dtr="false" t="normal">+(K631*10+L631*20)*12*0.85</f>
        <v>140433.6</v>
      </c>
      <c r="Z631" s="3" t="n">
        <f aca="false" ca="false" dt2D="false" dtr="false" t="normal">+(K631*11.55+L631*23.1)*12*30</f>
        <v>5724734.4</v>
      </c>
      <c r="AA631" s="3" t="n">
        <f aca="false" ca="false" dt2D="false" dtr="false" t="normal">+N631-AB631</f>
        <v>0</v>
      </c>
      <c r="AB631" s="27" t="n">
        <f aca="false" ca="true" dt2D="false" dtr="false" t="normal">SUBTOTAL(9, AC631:AQ631)</f>
        <v>994275.93</v>
      </c>
      <c r="AC631" s="17" t="n"/>
      <c r="AD631" s="18" t="n"/>
      <c r="AE631" s="18" t="n">
        <v>994275.93</v>
      </c>
      <c r="AF631" s="18" t="n"/>
      <c r="AG631" s="18" t="n">
        <v>0</v>
      </c>
      <c r="AH631" s="18" t="n"/>
      <c r="AI631" s="17" t="n"/>
      <c r="AJ631" s="18" t="n">
        <v>0</v>
      </c>
      <c r="AK631" s="18" t="n">
        <v>0</v>
      </c>
      <c r="AL631" s="18" t="n">
        <v>0</v>
      </c>
      <c r="AM631" s="18" t="n">
        <v>0</v>
      </c>
      <c r="AN631" s="18" t="n">
        <v>0</v>
      </c>
      <c r="AO631" s="189" t="n"/>
      <c r="AP631" s="189" t="n"/>
      <c r="AQ631" s="185" t="n"/>
      <c r="AR631" s="186" t="n">
        <f aca="false" ca="false" dt2D="false" dtr="false" t="normal">COUNTIF(AC631:AN631, "&gt;0")</f>
        <v>1</v>
      </c>
      <c r="AU631" s="3" t="n"/>
    </row>
    <row ht="15.75" outlineLevel="0" r="632">
      <c r="A632" s="5" t="n">
        <f aca="false" ca="false" dt2D="false" dtr="false" t="normal">A631+1</f>
        <v>611</v>
      </c>
      <c r="B632" s="6" t="n">
        <f aca="false" ca="false" dt2D="false" dtr="false" t="normal">B631+1</f>
        <v>151</v>
      </c>
      <c r="C632" s="6" t="s">
        <v>467</v>
      </c>
      <c r="D632" s="6" t="s">
        <v>468</v>
      </c>
      <c r="E632" s="164" t="n">
        <v>1989</v>
      </c>
      <c r="F632" s="164" t="n">
        <v>1989</v>
      </c>
      <c r="G632" s="164" t="s">
        <v>4</v>
      </c>
      <c r="H632" s="164" t="n">
        <v>2</v>
      </c>
      <c r="I632" s="164" t="n">
        <v>1</v>
      </c>
      <c r="J632" s="18" t="n">
        <v>390.65</v>
      </c>
      <c r="K632" s="18" t="n">
        <v>349.25</v>
      </c>
      <c r="L632" s="18" t="n">
        <v>0</v>
      </c>
      <c r="M632" s="165" t="n">
        <v>20</v>
      </c>
      <c r="N632" s="16" t="n">
        <f aca="false" ca="false" dt2D="false" dtr="false" t="normal">P632+Q632+R632+S632+T632</f>
        <v>781118.1799999999</v>
      </c>
      <c r="O632" s="18" t="n"/>
      <c r="P632" s="18" t="n">
        <v>88416.05</v>
      </c>
      <c r="Q632" s="18" t="n"/>
      <c r="R632" s="27" t="n">
        <v>99574.29</v>
      </c>
      <c r="S632" s="27" t="n">
        <v>493105.53</v>
      </c>
      <c r="T632" s="27" t="n">
        <v>100022.31</v>
      </c>
      <c r="U632" s="18" t="n">
        <v>8878.94922191218</v>
      </c>
      <c r="V632" s="18" t="n">
        <v>1359.283020064</v>
      </c>
      <c r="W632" s="21" t="n">
        <v>2024</v>
      </c>
      <c r="X632" s="103" t="n"/>
      <c r="Y632" s="3" t="n">
        <f aca="false" ca="false" dt2D="false" dtr="false" t="normal">+(K632*11.55+L632*23.1)*12*0.85</f>
        <v>41145.1425</v>
      </c>
      <c r="Z632" s="3" t="n">
        <f aca="false" ca="false" dt2D="false" dtr="false" t="normal">+(K632*11.55+L632*23.1)*12*30-'[1]Лист1'!$AQ$13</f>
        <v>1121478.63</v>
      </c>
      <c r="AA632" s="3" t="n">
        <f aca="false" ca="false" dt2D="false" dtr="false" t="normal">+N632-AB632</f>
        <v>0</v>
      </c>
      <c r="AB632" s="203" t="n">
        <f aca="false" ca="true" dt2D="false" dtr="false" t="normal">SUBTOTAL(9, AC632:AQ632)</f>
        <v>781118.1799999999</v>
      </c>
      <c r="AC632" s="17" t="n"/>
      <c r="AD632" s="18" t="n">
        <v>176147.11</v>
      </c>
      <c r="AE632" s="18" t="n">
        <v>322870.37</v>
      </c>
      <c r="AF632" s="18" t="n">
        <v>282100.7</v>
      </c>
      <c r="AG632" s="18" t="n">
        <v>0</v>
      </c>
      <c r="AH632" s="18" t="n"/>
      <c r="AI632" s="17" t="n"/>
      <c r="AJ632" s="18" t="n">
        <v>0</v>
      </c>
      <c r="AK632" s="18" t="n">
        <v>0</v>
      </c>
      <c r="AL632" s="18" t="n">
        <v>0</v>
      </c>
      <c r="AM632" s="18" t="n">
        <v>0</v>
      </c>
      <c r="AN632" s="18" t="n">
        <v>0</v>
      </c>
      <c r="AO632" s="189" t="n"/>
      <c r="AP632" s="189" t="n"/>
      <c r="AQ632" s="185" t="n"/>
      <c r="AR632" s="186" t="n">
        <f aca="false" ca="false" dt2D="false" dtr="false" t="normal">COUNTIF(AC632:AN632, "&gt;0")</f>
        <v>3</v>
      </c>
      <c r="AU632" s="3" t="n"/>
    </row>
    <row ht="15.75" outlineLevel="0" r="633">
      <c r="A633" s="5" t="n">
        <f aca="false" ca="false" dt2D="false" dtr="false" t="normal">A632+1</f>
        <v>612</v>
      </c>
      <c r="B633" s="6" t="n">
        <f aca="false" ca="false" dt2D="false" dtr="false" t="normal">B632+1</f>
        <v>152</v>
      </c>
      <c r="C633" s="6" t="s">
        <v>467</v>
      </c>
      <c r="D633" s="6" t="s">
        <v>469</v>
      </c>
      <c r="E633" s="164" t="n">
        <v>1989</v>
      </c>
      <c r="F633" s="164" t="n">
        <v>1989</v>
      </c>
      <c r="G633" s="164" t="s">
        <v>4</v>
      </c>
      <c r="H633" s="164" t="n">
        <v>5</v>
      </c>
      <c r="I633" s="164" t="n">
        <v>2</v>
      </c>
      <c r="J633" s="18" t="n">
        <v>1113.04</v>
      </c>
      <c r="K633" s="18" t="n">
        <v>865.12</v>
      </c>
      <c r="L633" s="18" t="n">
        <v>0</v>
      </c>
      <c r="M633" s="165" t="n">
        <v>32</v>
      </c>
      <c r="N633" s="16" t="n">
        <f aca="false" ca="false" dt2D="false" dtr="false" t="normal">P633+Q633+R633+S633+T633</f>
        <v>739321.72</v>
      </c>
      <c r="O633" s="18" t="n"/>
      <c r="P633" s="18" t="n">
        <v>0</v>
      </c>
      <c r="Q633" s="18" t="n"/>
      <c r="R633" s="27" t="n">
        <v>143531.74</v>
      </c>
      <c r="S633" s="27" t="n">
        <v>595789.98</v>
      </c>
      <c r="T633" s="27" t="n">
        <v>0</v>
      </c>
      <c r="U633" s="18" t="n">
        <v>4445.00451545724</v>
      </c>
      <c r="V633" s="18" t="n">
        <v>1360.283020064</v>
      </c>
      <c r="W633" s="21" t="n">
        <v>2024</v>
      </c>
      <c r="X633" s="103" t="n">
        <v>507033.1</v>
      </c>
      <c r="Y633" s="3" t="n">
        <f aca="false" ca="false" dt2D="false" dtr="false" t="normal">+(K633*10.5+L633*21)*12*0.85</f>
        <v>92654.352</v>
      </c>
      <c r="Z633" s="3" t="n">
        <f aca="false" ca="false" dt2D="false" dtr="false" t="normal">+(K633*11.55+L633*23.1)*12*30</f>
        <v>3597168.9600000004</v>
      </c>
      <c r="AA633" s="3" t="n">
        <f aca="false" ca="false" dt2D="false" dtr="false" t="normal">+N633-AB633</f>
        <v>0</v>
      </c>
      <c r="AB633" s="203" t="n">
        <f aca="false" ca="true" dt2D="false" dtr="false" t="normal">SUBTOTAL(9, AC633:AQ633)</f>
        <v>739321.72</v>
      </c>
      <c r="AC633" s="17" t="n"/>
      <c r="AD633" s="18" t="n">
        <v>739321.72</v>
      </c>
      <c r="AE633" s="18" t="n">
        <v>0</v>
      </c>
      <c r="AF633" s="18" t="n">
        <v>0</v>
      </c>
      <c r="AG633" s="18" t="n">
        <v>0</v>
      </c>
      <c r="AH633" s="18" t="n"/>
      <c r="AI633" s="17" t="n"/>
      <c r="AJ633" s="18" t="n">
        <v>0</v>
      </c>
      <c r="AK633" s="18" t="n"/>
      <c r="AL633" s="18" t="n">
        <v>0</v>
      </c>
      <c r="AM633" s="18" t="n">
        <v>0</v>
      </c>
      <c r="AN633" s="18" t="n">
        <v>0</v>
      </c>
      <c r="AO633" s="189" t="n"/>
      <c r="AP633" s="189" t="n"/>
      <c r="AQ633" s="185" t="n"/>
      <c r="AR633" s="186" t="n">
        <f aca="false" ca="false" dt2D="false" dtr="false" t="normal">COUNTIF(AC633:AN633, "&gt;0")</f>
        <v>1</v>
      </c>
      <c r="AU633" s="3" t="n"/>
    </row>
    <row ht="15.75" outlineLevel="0" r="634">
      <c r="A634" s="5" t="n">
        <f aca="false" ca="false" dt2D="false" dtr="false" t="normal">A633+1</f>
        <v>613</v>
      </c>
      <c r="B634" s="6" t="n">
        <f aca="false" ca="false" dt2D="false" dtr="false" t="normal">B633+1</f>
        <v>153</v>
      </c>
      <c r="C634" s="6" t="s">
        <v>68</v>
      </c>
      <c r="D634" s="6" t="s">
        <v>470</v>
      </c>
      <c r="E634" s="164" t="n">
        <v>1961</v>
      </c>
      <c r="F634" s="164" t="n">
        <v>2009</v>
      </c>
      <c r="G634" s="164" t="s">
        <v>4</v>
      </c>
      <c r="H634" s="164" t="n">
        <v>2</v>
      </c>
      <c r="I634" s="164" t="n">
        <v>2</v>
      </c>
      <c r="J634" s="18" t="n">
        <v>1068.62</v>
      </c>
      <c r="K634" s="18" t="n">
        <v>637.97</v>
      </c>
      <c r="L634" s="18" t="n">
        <v>254.2</v>
      </c>
      <c r="M634" s="165" t="n">
        <v>30</v>
      </c>
      <c r="N634" s="16" t="n">
        <f aca="false" ca="false" dt2D="false" dtr="false" t="normal">P634+Q634+R634+S634+T634</f>
        <v>341993.54000000004</v>
      </c>
      <c r="O634" s="18" t="n"/>
      <c r="P634" s="18" t="n">
        <v>0</v>
      </c>
      <c r="Q634" s="18" t="n"/>
      <c r="R634" s="27" t="n">
        <v>161022.22</v>
      </c>
      <c r="S634" s="27" t="n">
        <v>180971.32</v>
      </c>
      <c r="T634" s="27" t="n">
        <v>0</v>
      </c>
      <c r="U634" s="18" t="n">
        <v>1174.28669391319</v>
      </c>
      <c r="V634" s="18" t="n">
        <v>1349.283020064</v>
      </c>
      <c r="W634" s="21" t="n">
        <v>2024</v>
      </c>
      <c r="Y634" s="3" t="n">
        <f aca="false" ca="false" dt2D="false" dtr="false" t="normal">+(K634*11.55+L634*23.1)*12*0.85</f>
        <v>135053.84970000002</v>
      </c>
      <c r="Z634" s="3" t="n">
        <f aca="false" ca="false" dt2D="false" dtr="false" t="normal">+(K634*11.55+L634*23.1)*12*30-'[1]Лист1'!$AQ$16</f>
        <v>3888616.000000001</v>
      </c>
      <c r="AA634" s="3" t="n">
        <f aca="false" ca="false" dt2D="false" dtr="false" t="normal">+N634-AB634</f>
        <v>0</v>
      </c>
      <c r="AB634" s="203" t="n">
        <f aca="false" ca="true" dt2D="false" dtr="false" t="normal">SUBTOTAL(9, AC634:AQ634)</f>
        <v>341993.54</v>
      </c>
      <c r="AC634" s="17" t="n">
        <v>0</v>
      </c>
      <c r="AD634" s="18" t="n">
        <v>0</v>
      </c>
      <c r="AE634" s="18" t="n">
        <v>341993.54</v>
      </c>
      <c r="AF634" s="18" t="n">
        <v>0</v>
      </c>
      <c r="AG634" s="18" t="n">
        <v>0</v>
      </c>
      <c r="AH634" s="18" t="n"/>
      <c r="AI634" s="17" t="n"/>
      <c r="AJ634" s="18" t="n">
        <v>0</v>
      </c>
      <c r="AK634" s="18" t="n">
        <v>0</v>
      </c>
      <c r="AL634" s="18" t="n">
        <v>0</v>
      </c>
      <c r="AM634" s="18" t="n">
        <v>0</v>
      </c>
      <c r="AN634" s="18" t="n">
        <v>0</v>
      </c>
      <c r="AO634" s="18" t="n"/>
      <c r="AP634" s="18" t="n"/>
      <c r="AQ634" s="185" t="n"/>
      <c r="AR634" s="186" t="n">
        <f aca="false" ca="false" dt2D="false" dtr="false" t="normal">COUNTIF(AC634:AN634, "&gt;0")</f>
        <v>1</v>
      </c>
      <c r="AU634" s="3" t="n"/>
    </row>
    <row ht="15.75" outlineLevel="0" r="635">
      <c r="A635" s="5" t="n">
        <f aca="false" ca="false" dt2D="false" dtr="false" t="normal">A634+1</f>
        <v>614</v>
      </c>
      <c r="B635" s="6" t="n">
        <f aca="false" ca="false" dt2D="false" dtr="false" t="normal">B634+1</f>
        <v>154</v>
      </c>
      <c r="C635" s="6" t="s">
        <v>68</v>
      </c>
      <c r="D635" s="6" t="s">
        <v>472</v>
      </c>
      <c r="E635" s="164" t="n">
        <v>1964</v>
      </c>
      <c r="F635" s="164" t="n">
        <v>2009</v>
      </c>
      <c r="G635" s="164" t="s">
        <v>4</v>
      </c>
      <c r="H635" s="164" t="n">
        <v>2</v>
      </c>
      <c r="I635" s="164" t="n">
        <v>2</v>
      </c>
      <c r="J635" s="18" t="n">
        <v>814.22</v>
      </c>
      <c r="K635" s="18" t="n">
        <v>596</v>
      </c>
      <c r="L635" s="18" t="n">
        <v>218.22</v>
      </c>
      <c r="M635" s="165" t="n">
        <v>23</v>
      </c>
      <c r="N635" s="16" t="n">
        <f aca="false" ca="false" dt2D="false" dtr="false" t="normal">P635+Q635+R635+S635+T635</f>
        <v>438775.95999999996</v>
      </c>
      <c r="O635" s="18" t="n"/>
      <c r="P635" s="18" t="n">
        <v>0</v>
      </c>
      <c r="Q635" s="18" t="n"/>
      <c r="R635" s="27" t="n">
        <v>174798.85</v>
      </c>
      <c r="S635" s="27" t="n">
        <v>263977.11</v>
      </c>
      <c r="T635" s="27" t="n">
        <v>0</v>
      </c>
      <c r="U635" s="18" t="n">
        <v>1147.15548834203</v>
      </c>
      <c r="V635" s="18" t="n">
        <v>1350.283020064</v>
      </c>
      <c r="W635" s="21" t="n">
        <v>2024</v>
      </c>
      <c r="Y635" s="3" t="n">
        <f aca="false" ca="false" dt2D="false" dtr="false" t="normal">+(K635*11.55+L635*23.1)*12*0.85</f>
        <v>121631.7564</v>
      </c>
      <c r="Z635" s="3" t="n">
        <f aca="false" ca="false" dt2D="false" dtr="false" t="normal">+(K635*11.55+L635*23.1)*12*30-'[1]Лист1'!$AQ$17</f>
        <v>4031038.8100000005</v>
      </c>
      <c r="AA635" s="3" t="n">
        <f aca="false" ca="false" dt2D="false" dtr="false" t="normal">+N635-AB635</f>
        <v>0</v>
      </c>
      <c r="AB635" s="203" t="n">
        <f aca="false" ca="true" dt2D="false" dtr="false" t="normal">SUBTOTAL(9, AC635:AQ635)</f>
        <v>438775.96</v>
      </c>
      <c r="AC635" s="17" t="n">
        <v>0</v>
      </c>
      <c r="AD635" s="18" t="n">
        <v>0</v>
      </c>
      <c r="AE635" s="18" t="n">
        <v>438775.96</v>
      </c>
      <c r="AF635" s="18" t="n">
        <v>0</v>
      </c>
      <c r="AG635" s="18" t="n">
        <v>0</v>
      </c>
      <c r="AH635" s="18" t="n"/>
      <c r="AI635" s="17" t="n"/>
      <c r="AJ635" s="18" t="n">
        <v>0</v>
      </c>
      <c r="AK635" s="18" t="n">
        <v>0</v>
      </c>
      <c r="AL635" s="18" t="n">
        <v>0</v>
      </c>
      <c r="AM635" s="18" t="n">
        <v>0</v>
      </c>
      <c r="AN635" s="18" t="n">
        <v>0</v>
      </c>
      <c r="AO635" s="18" t="n"/>
      <c r="AP635" s="18" t="n"/>
      <c r="AQ635" s="185" t="n"/>
      <c r="AR635" s="186" t="n">
        <f aca="false" ca="false" dt2D="false" dtr="false" t="normal">COUNTIF(AC635:AN635, "&gt;0")</f>
        <v>1</v>
      </c>
      <c r="AU635" s="3" t="n"/>
    </row>
    <row ht="15.75" outlineLevel="0" r="636">
      <c r="A636" s="5" t="n">
        <f aca="false" ca="false" dt2D="false" dtr="false" t="normal">A635+1</f>
        <v>615</v>
      </c>
      <c r="B636" s="6" t="n">
        <f aca="false" ca="false" dt2D="false" dtr="false" t="normal">B635+1</f>
        <v>155</v>
      </c>
      <c r="C636" s="6" t="s">
        <v>68</v>
      </c>
      <c r="D636" s="6" t="s">
        <v>73</v>
      </c>
      <c r="E636" s="164" t="n">
        <v>1984</v>
      </c>
      <c r="F636" s="164" t="n">
        <v>2009</v>
      </c>
      <c r="G636" s="164" t="s">
        <v>4</v>
      </c>
      <c r="H636" s="164" t="n">
        <v>2</v>
      </c>
      <c r="I636" s="164" t="n">
        <v>2</v>
      </c>
      <c r="J636" s="18" t="n">
        <v>1164.7</v>
      </c>
      <c r="K636" s="18" t="n">
        <v>745.9</v>
      </c>
      <c r="L636" s="18" t="n">
        <v>304.1</v>
      </c>
      <c r="M636" s="165" t="n">
        <v>37</v>
      </c>
      <c r="N636" s="16" t="n">
        <f aca="false" ca="false" dt2D="false" dtr="false" t="normal">P636+Q636+R636+S636+T636</f>
        <v>1652583.59</v>
      </c>
      <c r="O636" s="18" t="n"/>
      <c r="P636" s="18" t="n">
        <v>484864.94</v>
      </c>
      <c r="Q636" s="18" t="n"/>
      <c r="R636" s="27" t="n">
        <v>115647.13</v>
      </c>
      <c r="S636" s="27" t="n">
        <v>1052071.52</v>
      </c>
      <c r="T636" s="27" t="n">
        <v>0</v>
      </c>
      <c r="U636" s="18" t="n">
        <v>6750.03475726766</v>
      </c>
      <c r="V636" s="18" t="n">
        <v>6750.03475726766</v>
      </c>
      <c r="W636" s="21" t="n">
        <v>2024</v>
      </c>
      <c r="X636" s="12" t="e">
        <f aca="false" ca="false" dt2D="false" dtr="false" t="normal">397731.31-#REF!</f>
        <v>#REF!</v>
      </c>
      <c r="Y636" s="3" t="n">
        <f aca="false" ca="false" dt2D="false" dtr="false" t="normal">+(K636*10+L636*20)*12*0.85</f>
        <v>138118.19999999998</v>
      </c>
      <c r="Z636" s="3" t="n">
        <f aca="false" ca="false" dt2D="false" dtr="false" t="normal">+(K636*11.55+L636*23.1)*12*30</f>
        <v>5630347.800000001</v>
      </c>
      <c r="AA636" s="3" t="n">
        <f aca="false" ca="false" dt2D="false" dtr="false" t="normal">+N636-AB636</f>
        <v>0</v>
      </c>
      <c r="AB636" s="27" t="n">
        <f aca="false" ca="true" dt2D="false" dtr="false" t="normal">SUBTOTAL(9, AC636:AQ636)</f>
        <v>1652583.59</v>
      </c>
      <c r="AC636" s="17" t="n">
        <v>1652583.59</v>
      </c>
      <c r="AD636" s="18" t="n"/>
      <c r="AE636" s="18" t="n"/>
      <c r="AF636" s="18" t="n"/>
      <c r="AG636" s="18" t="n">
        <v>0</v>
      </c>
      <c r="AH636" s="18" t="n"/>
      <c r="AI636" s="17" t="n"/>
      <c r="AJ636" s="18" t="n">
        <v>0</v>
      </c>
      <c r="AK636" s="18" t="n"/>
      <c r="AL636" s="18" t="n">
        <v>0</v>
      </c>
      <c r="AM636" s="18" t="n">
        <v>0</v>
      </c>
      <c r="AN636" s="18" t="n">
        <v>0</v>
      </c>
      <c r="AO636" s="189" t="n"/>
      <c r="AP636" s="189" t="n"/>
      <c r="AQ636" s="185" t="n"/>
      <c r="AR636" s="186" t="n">
        <f aca="false" ca="false" dt2D="false" dtr="false" t="normal">COUNTIF(AC636:AN636, "&gt;0")</f>
        <v>1</v>
      </c>
      <c r="AU636" s="3" t="n"/>
    </row>
    <row ht="15.75" outlineLevel="0" r="637">
      <c r="A637" s="5" t="n">
        <f aca="false" ca="false" dt2D="false" dtr="false" t="normal">A636+1</f>
        <v>616</v>
      </c>
      <c r="B637" s="6" t="n">
        <f aca="false" ca="false" dt2D="false" dtr="false" t="normal">B636+1</f>
        <v>156</v>
      </c>
      <c r="C637" s="6" t="s">
        <v>68</v>
      </c>
      <c r="D637" s="6" t="s">
        <v>474</v>
      </c>
      <c r="E637" s="164" t="n">
        <v>1969</v>
      </c>
      <c r="F637" s="164" t="n">
        <v>1969</v>
      </c>
      <c r="G637" s="164" t="s">
        <v>4</v>
      </c>
      <c r="H637" s="164" t="n">
        <v>2</v>
      </c>
      <c r="I637" s="164" t="n">
        <v>2</v>
      </c>
      <c r="J637" s="18" t="n">
        <v>842.59</v>
      </c>
      <c r="K637" s="18" t="n">
        <v>626.4</v>
      </c>
      <c r="L637" s="18" t="n">
        <v>216.19</v>
      </c>
      <c r="M637" s="165" t="n">
        <v>30</v>
      </c>
      <c r="N637" s="16" t="n">
        <f aca="false" ca="false" dt2D="false" dtr="false" t="normal">P637+Q637+R637+S637+T637</f>
        <v>432298.63</v>
      </c>
      <c r="O637" s="18" t="n"/>
      <c r="P637" s="18" t="n">
        <v>0</v>
      </c>
      <c r="Q637" s="18" t="n"/>
      <c r="R637" s="27" t="n">
        <v>195852.44</v>
      </c>
      <c r="S637" s="27" t="n">
        <v>236446.19</v>
      </c>
      <c r="T637" s="27" t="n">
        <v>0</v>
      </c>
      <c r="U637" s="18" t="n">
        <v>1129.51325702398</v>
      </c>
      <c r="V637" s="18" t="n">
        <v>1351.283020064</v>
      </c>
      <c r="W637" s="21" t="n">
        <v>2024</v>
      </c>
      <c r="Y637" s="3" t="n">
        <f aca="false" ca="false" dt2D="false" dtr="false" t="normal">+(K637*11.55+L637*23.1)*12*0.85</f>
        <v>124734.8718</v>
      </c>
      <c r="Z637" s="3" t="n">
        <f aca="false" ca="false" dt2D="false" dtr="false" t="normal">+(K637*11.55+L637*23.1)*12*30-'[1]Лист1'!$AQ$19</f>
        <v>3391337.4200000004</v>
      </c>
      <c r="AA637" s="3" t="n">
        <f aca="false" ca="false" dt2D="false" dtr="false" t="normal">+N637-AB637</f>
        <v>0</v>
      </c>
      <c r="AB637" s="203" t="n">
        <f aca="false" ca="true" dt2D="false" dtr="false" t="normal">SUBTOTAL(9, AC637:AQ637)</f>
        <v>432298.63</v>
      </c>
      <c r="AC637" s="17" t="n">
        <v>0</v>
      </c>
      <c r="AD637" s="18" t="n">
        <v>0</v>
      </c>
      <c r="AE637" s="18" t="n">
        <v>432298.63</v>
      </c>
      <c r="AF637" s="18" t="n">
        <v>0</v>
      </c>
      <c r="AG637" s="18" t="n">
        <v>0</v>
      </c>
      <c r="AH637" s="18" t="n"/>
      <c r="AI637" s="17" t="n"/>
      <c r="AJ637" s="18" t="n">
        <v>0</v>
      </c>
      <c r="AK637" s="18" t="n">
        <v>0</v>
      </c>
      <c r="AL637" s="18" t="n">
        <v>0</v>
      </c>
      <c r="AM637" s="18" t="n">
        <v>0</v>
      </c>
      <c r="AN637" s="18" t="n">
        <v>0</v>
      </c>
      <c r="AO637" s="18" t="n"/>
      <c r="AP637" s="18" t="n"/>
      <c r="AQ637" s="185" t="n"/>
      <c r="AR637" s="186" t="n">
        <f aca="false" ca="false" dt2D="false" dtr="false" t="normal">COUNTIF(AC637:AN637, "&gt;0")</f>
        <v>1</v>
      </c>
      <c r="AU637" s="3" t="n"/>
    </row>
    <row ht="15.75" outlineLevel="0" r="638">
      <c r="A638" s="5" t="n">
        <f aca="false" ca="false" dt2D="false" dtr="false" t="normal">A637+1</f>
        <v>617</v>
      </c>
      <c r="B638" s="6" t="n">
        <f aca="false" ca="false" dt2D="false" dtr="false" t="normal">B637+1</f>
        <v>157</v>
      </c>
      <c r="C638" s="6" t="s">
        <v>68</v>
      </c>
      <c r="D638" s="6" t="s">
        <v>476</v>
      </c>
      <c r="E638" s="164" t="n">
        <v>1963</v>
      </c>
      <c r="F638" s="164" t="n">
        <v>2008</v>
      </c>
      <c r="G638" s="164" t="s">
        <v>4</v>
      </c>
      <c r="H638" s="164" t="n">
        <v>2</v>
      </c>
      <c r="I638" s="164" t="n">
        <v>2</v>
      </c>
      <c r="J638" s="18" t="n">
        <v>815.23</v>
      </c>
      <c r="K638" s="18" t="n">
        <v>621.87</v>
      </c>
      <c r="L638" s="18" t="n">
        <v>0</v>
      </c>
      <c r="M638" s="165" t="n">
        <v>50</v>
      </c>
      <c r="N638" s="16" t="n">
        <f aca="false" ca="false" dt2D="false" dtr="false" t="normal">P638+Q638+R638+S638+T638</f>
        <v>2297434.79</v>
      </c>
      <c r="O638" s="18" t="n"/>
      <c r="P638" s="18" t="n">
        <v>0</v>
      </c>
      <c r="Q638" s="18" t="n"/>
      <c r="R638" s="27" t="n">
        <v>359794.98</v>
      </c>
      <c r="S638" s="27" t="n">
        <v>1724832.58</v>
      </c>
      <c r="T638" s="27" t="n">
        <v>212807.23</v>
      </c>
      <c r="U638" s="18" t="n">
        <v>3425.49751346696</v>
      </c>
      <c r="V638" s="18" t="n">
        <v>1352.283020064</v>
      </c>
      <c r="W638" s="21" t="n">
        <v>2024</v>
      </c>
      <c r="X638" s="103" t="n"/>
      <c r="Y638" s="3" t="n">
        <f aca="false" ca="false" dt2D="false" dtr="false" t="normal">+(K638*11.55+L638*23.1)*12*0.85</f>
        <v>73262.5047</v>
      </c>
      <c r="Z638" s="3" t="n">
        <f aca="false" ca="false" dt2D="false" dtr="false" t="normal">+(K638*11.55+L638*23.1)*12*30-'[1]Лист1'!$AP$20</f>
        <v>1611494.73</v>
      </c>
      <c r="AA638" s="3" t="n">
        <f aca="false" ca="false" dt2D="false" dtr="false" t="normal">+N638-AB638</f>
        <v>0</v>
      </c>
      <c r="AB638" s="203" t="n">
        <f aca="false" ca="true" dt2D="false" dtr="false" t="normal">SUBTOTAL(9, AC638:AQ638)</f>
        <v>2297434.79</v>
      </c>
      <c r="AC638" s="17" t="n">
        <v>0</v>
      </c>
      <c r="AD638" s="18" t="n">
        <v>0</v>
      </c>
      <c r="AE638" s="18" t="n"/>
      <c r="AF638" s="18" t="n">
        <v>0</v>
      </c>
      <c r="AG638" s="18" t="n">
        <v>0</v>
      </c>
      <c r="AH638" s="18" t="n"/>
      <c r="AI638" s="17" t="n"/>
      <c r="AJ638" s="18" t="n">
        <v>0</v>
      </c>
      <c r="AK638" s="18" t="n">
        <v>0</v>
      </c>
      <c r="AL638" s="18" t="n">
        <v>0</v>
      </c>
      <c r="AM638" s="18" t="n">
        <v>0</v>
      </c>
      <c r="AN638" s="18" t="n">
        <v>2297434.79</v>
      </c>
      <c r="AO638" s="18" t="n"/>
      <c r="AP638" s="18" t="n"/>
      <c r="AQ638" s="185" t="n"/>
      <c r="AR638" s="186" t="n">
        <f aca="false" ca="false" dt2D="false" dtr="false" t="normal">COUNTIF(AC638:AN638, "&gt;0")</f>
        <v>1</v>
      </c>
      <c r="AU638" s="3" t="n"/>
    </row>
    <row ht="15.75" outlineLevel="0" r="639">
      <c r="A639" s="5" t="n">
        <f aca="false" ca="false" dt2D="false" dtr="false" t="normal">A638+1</f>
        <v>618</v>
      </c>
      <c r="B639" s="6" t="n">
        <f aca="false" ca="false" dt2D="false" dtr="false" t="normal">B638+1</f>
        <v>158</v>
      </c>
      <c r="C639" s="6" t="s">
        <v>68</v>
      </c>
      <c r="D639" s="6" t="s">
        <v>477</v>
      </c>
      <c r="E639" s="164" t="n">
        <v>1971</v>
      </c>
      <c r="F639" s="164" t="n">
        <v>2009</v>
      </c>
      <c r="G639" s="164" t="s">
        <v>4</v>
      </c>
      <c r="H639" s="164" t="n">
        <v>4</v>
      </c>
      <c r="I639" s="164" t="n">
        <v>4</v>
      </c>
      <c r="J639" s="18" t="n">
        <v>3316.04</v>
      </c>
      <c r="K639" s="18" t="n">
        <v>2384.75</v>
      </c>
      <c r="L639" s="18" t="n">
        <v>776.54</v>
      </c>
      <c r="M639" s="165" t="n">
        <v>114</v>
      </c>
      <c r="N639" s="16" t="n">
        <f aca="false" ca="false" dt2D="false" dtr="false" t="normal">P639+Q639+R639+S639+T639</f>
        <v>2013106.51</v>
      </c>
      <c r="O639" s="18" t="n"/>
      <c r="P639" s="18" t="n">
        <v>0</v>
      </c>
      <c r="Q639" s="18" t="n"/>
      <c r="R639" s="27" t="n">
        <v>2013106.51</v>
      </c>
      <c r="S639" s="27" t="n">
        <v>0</v>
      </c>
      <c r="T639" s="27" t="n">
        <v>0</v>
      </c>
      <c r="U639" s="18" t="n">
        <v>1309.56648633892</v>
      </c>
      <c r="V639" s="18" t="n">
        <v>1353.283020064</v>
      </c>
      <c r="W639" s="21" t="n">
        <v>2024</v>
      </c>
      <c r="X639" s="103" t="n"/>
      <c r="Y639" s="3" t="n">
        <f aca="false" ca="false" dt2D="false" dtr="false" t="normal">+(K639*11.55+L639*23.1)*12*0.85</f>
        <v>463915.7523</v>
      </c>
      <c r="Z639" s="3" t="n">
        <f aca="false" ca="false" dt2D="false" dtr="false" t="normal">+(K639*11.55+L639*23.1)*12*30-'[1]Лист1'!$AQ$21</f>
        <v>14022568.850000001</v>
      </c>
      <c r="AA639" s="3" t="n">
        <f aca="false" ca="false" dt2D="false" dtr="false" t="normal">+N639-AB639</f>
        <v>0</v>
      </c>
      <c r="AB639" s="203" t="n">
        <f aca="false" ca="true" dt2D="false" dtr="false" t="normal">SUBTOTAL(9, AC639:AQ639)</f>
        <v>2013106.51</v>
      </c>
      <c r="AC639" s="17" t="n">
        <v>0</v>
      </c>
      <c r="AD639" s="18" t="n">
        <v>0</v>
      </c>
      <c r="AE639" s="18" t="n">
        <v>2013106.51</v>
      </c>
      <c r="AF639" s="18" t="n">
        <v>0</v>
      </c>
      <c r="AG639" s="18" t="n">
        <v>0</v>
      </c>
      <c r="AH639" s="18" t="n"/>
      <c r="AI639" s="17" t="n"/>
      <c r="AJ639" s="18" t="n">
        <v>0</v>
      </c>
      <c r="AK639" s="18" t="n">
        <v>0</v>
      </c>
      <c r="AL639" s="18" t="n">
        <v>0</v>
      </c>
      <c r="AM639" s="18" t="n">
        <v>0</v>
      </c>
      <c r="AN639" s="18" t="n">
        <v>0</v>
      </c>
      <c r="AO639" s="18" t="n"/>
      <c r="AP639" s="18" t="n"/>
      <c r="AQ639" s="191" t="n"/>
      <c r="AR639" s="186" t="n">
        <f aca="false" ca="false" dt2D="false" dtr="false" t="normal">COUNTIF(AC639:AN639, "&gt;0")</f>
        <v>1</v>
      </c>
      <c r="AU639" s="3" t="n"/>
    </row>
    <row ht="15.75" outlineLevel="0" r="640">
      <c r="A640" s="5" t="n">
        <f aca="false" ca="false" dt2D="false" dtr="false" t="normal">A639+1</f>
        <v>619</v>
      </c>
      <c r="B640" s="6" t="n">
        <f aca="false" ca="false" dt2D="false" dtr="false" t="normal">B639+1</f>
        <v>159</v>
      </c>
      <c r="C640" s="6" t="s">
        <v>68</v>
      </c>
      <c r="D640" s="6" t="s">
        <v>479</v>
      </c>
      <c r="E640" s="164" t="n">
        <v>1962</v>
      </c>
      <c r="F640" s="164" t="n">
        <v>2003</v>
      </c>
      <c r="G640" s="164" t="s">
        <v>4</v>
      </c>
      <c r="H640" s="164" t="n">
        <v>2</v>
      </c>
      <c r="I640" s="164" t="n">
        <v>2</v>
      </c>
      <c r="J640" s="18" t="n">
        <v>1001.33</v>
      </c>
      <c r="K640" s="18" t="n">
        <v>596.02</v>
      </c>
      <c r="L640" s="18" t="n">
        <v>0</v>
      </c>
      <c r="M640" s="165" t="n">
        <v>24</v>
      </c>
      <c r="N640" s="16" t="n">
        <f aca="false" ca="false" dt2D="false" dtr="false" t="normal">P640+Q640+R640+S640+T640</f>
        <v>426037.94</v>
      </c>
      <c r="O640" s="18" t="n"/>
      <c r="P640" s="18" t="n">
        <v>0</v>
      </c>
      <c r="Q640" s="18" t="n"/>
      <c r="R640" s="27" t="n">
        <v>157058.32</v>
      </c>
      <c r="S640" s="27" t="n">
        <v>268979.62</v>
      </c>
      <c r="T640" s="27" t="n">
        <v>0</v>
      </c>
      <c r="U640" s="18" t="n">
        <v>839.705081000034</v>
      </c>
      <c r="V640" s="18" t="n">
        <v>1355.283020064</v>
      </c>
      <c r="W640" s="21" t="n">
        <v>2024</v>
      </c>
      <c r="Y640" s="3" t="n">
        <f aca="false" ca="false" dt2D="false" dtr="false" t="normal">+(K640*11.55+L640*23.1)*12*0.85</f>
        <v>70217.1162</v>
      </c>
      <c r="Z640" s="3" t="n">
        <f aca="false" ca="false" dt2D="false" dtr="false" t="normal">+(K640*11.55+L640*23.1)*12*30-'[1]Лист1'!$AQ$22</f>
        <v>1339944.29</v>
      </c>
      <c r="AA640" s="3" t="n">
        <f aca="false" ca="false" dt2D="false" dtr="false" t="normal">+N640-AB640</f>
        <v>0</v>
      </c>
      <c r="AB640" s="203" t="n">
        <f aca="false" ca="true" dt2D="false" dtr="false" t="normal">SUBTOTAL(9, AC640:AQ640)</f>
        <v>426037.94</v>
      </c>
      <c r="AC640" s="17" t="n">
        <v>0</v>
      </c>
      <c r="AD640" s="18" t="n">
        <v>0</v>
      </c>
      <c r="AE640" s="18" t="n">
        <v>426037.94</v>
      </c>
      <c r="AF640" s="18" t="n">
        <v>0</v>
      </c>
      <c r="AG640" s="18" t="n">
        <v>0</v>
      </c>
      <c r="AH640" s="18" t="n"/>
      <c r="AI640" s="17" t="n"/>
      <c r="AJ640" s="18" t="n">
        <v>0</v>
      </c>
      <c r="AK640" s="18" t="n">
        <v>0</v>
      </c>
      <c r="AL640" s="18" t="n">
        <v>0</v>
      </c>
      <c r="AM640" s="18" t="n">
        <v>0</v>
      </c>
      <c r="AN640" s="18" t="n">
        <v>0</v>
      </c>
      <c r="AO640" s="18" t="n"/>
      <c r="AP640" s="18" t="n"/>
      <c r="AQ640" s="185" t="n"/>
      <c r="AR640" s="186" t="n">
        <f aca="false" ca="false" dt2D="false" dtr="false" t="normal">COUNTIF(AC640:AN640, "&gt;0")</f>
        <v>1</v>
      </c>
      <c r="AU640" s="3" t="n"/>
    </row>
    <row ht="15.75" outlineLevel="0" r="641">
      <c r="A641" s="5" t="n">
        <f aca="false" ca="false" dt2D="false" dtr="false" t="normal">A640+1</f>
        <v>620</v>
      </c>
      <c r="B641" s="6" t="n">
        <f aca="false" ca="false" dt2D="false" dtr="false" t="normal">B640+1</f>
        <v>160</v>
      </c>
      <c r="C641" s="6" t="s">
        <v>68</v>
      </c>
      <c r="D641" s="6" t="s">
        <v>480</v>
      </c>
      <c r="E641" s="164" t="n">
        <v>1962</v>
      </c>
      <c r="F641" s="164" t="n">
        <v>2004</v>
      </c>
      <c r="G641" s="164" t="s">
        <v>4</v>
      </c>
      <c r="H641" s="164" t="n">
        <v>2</v>
      </c>
      <c r="I641" s="164" t="n">
        <v>2</v>
      </c>
      <c r="J641" s="18" t="n">
        <v>1037.76</v>
      </c>
      <c r="K641" s="18" t="n">
        <v>623.46</v>
      </c>
      <c r="L641" s="18" t="n">
        <v>0</v>
      </c>
      <c r="M641" s="165" t="n">
        <v>19</v>
      </c>
      <c r="N641" s="16" t="n">
        <f aca="false" ca="false" dt2D="false" dtr="false" t="normal">P641+Q641+R641+S641+T641</f>
        <v>337207.15</v>
      </c>
      <c r="O641" s="18" t="n"/>
      <c r="P641" s="18" t="n">
        <v>0</v>
      </c>
      <c r="Q641" s="18" t="n"/>
      <c r="R641" s="27" t="n">
        <v>153627.75</v>
      </c>
      <c r="S641" s="27" t="n">
        <v>183579.4</v>
      </c>
      <c r="T641" s="27" t="n">
        <v>0</v>
      </c>
      <c r="U641" s="18" t="n">
        <v>839.705081000034</v>
      </c>
      <c r="V641" s="18" t="n">
        <v>1356.283020064</v>
      </c>
      <c r="W641" s="21" t="n">
        <v>2024</v>
      </c>
      <c r="Y641" s="3" t="n">
        <f aca="false" ca="false" dt2D="false" dtr="false" t="normal">+(K641*11.55+L641*23.1)*12*0.85</f>
        <v>73449.82260000001</v>
      </c>
      <c r="Z641" s="3" t="n">
        <f aca="false" ca="false" dt2D="false" dtr="false" t="normal">+(K641*11.55+L641*23.1)*12*30-'[1]Лист1'!$AQ$23</f>
        <v>1879715.9500000002</v>
      </c>
      <c r="AA641" s="3" t="n">
        <f aca="false" ca="false" dt2D="false" dtr="false" t="normal">+N641-AB641</f>
        <v>0</v>
      </c>
      <c r="AB641" s="203" t="n">
        <f aca="false" ca="true" dt2D="false" dtr="false" t="normal">SUBTOTAL(9, AC641:AQ641)</f>
        <v>337207.15</v>
      </c>
      <c r="AC641" s="17" t="n">
        <v>0</v>
      </c>
      <c r="AD641" s="18" t="n">
        <v>0</v>
      </c>
      <c r="AE641" s="18" t="n">
        <v>337207.15</v>
      </c>
      <c r="AF641" s="18" t="n">
        <v>0</v>
      </c>
      <c r="AG641" s="18" t="n">
        <v>0</v>
      </c>
      <c r="AH641" s="18" t="n"/>
      <c r="AI641" s="17" t="n"/>
      <c r="AJ641" s="18" t="n">
        <v>0</v>
      </c>
      <c r="AK641" s="18" t="n">
        <v>0</v>
      </c>
      <c r="AL641" s="18" t="n">
        <v>0</v>
      </c>
      <c r="AM641" s="18" t="n">
        <v>0</v>
      </c>
      <c r="AN641" s="18" t="n">
        <v>0</v>
      </c>
      <c r="AO641" s="18" t="n"/>
      <c r="AP641" s="18" t="n"/>
      <c r="AQ641" s="185" t="n"/>
      <c r="AR641" s="186" t="n">
        <f aca="false" ca="false" dt2D="false" dtr="false" t="normal">COUNTIF(AC641:AN641, "&gt;0")</f>
        <v>1</v>
      </c>
      <c r="AU641" s="3" t="n"/>
    </row>
    <row ht="15.75" outlineLevel="0" r="642">
      <c r="A642" s="5" t="n">
        <f aca="false" ca="false" dt2D="false" dtr="false" t="normal">A641+1</f>
        <v>621</v>
      </c>
      <c r="B642" s="6" t="n">
        <f aca="false" ca="false" dt2D="false" dtr="false" t="normal">B641+1</f>
        <v>161</v>
      </c>
      <c r="C642" s="6" t="s">
        <v>68</v>
      </c>
      <c r="D642" s="6" t="s">
        <v>481</v>
      </c>
      <c r="E642" s="164" t="n">
        <v>1961</v>
      </c>
      <c r="F642" s="164" t="n">
        <v>2004</v>
      </c>
      <c r="G642" s="164" t="s">
        <v>4</v>
      </c>
      <c r="H642" s="164" t="n">
        <v>2</v>
      </c>
      <c r="I642" s="164" t="n">
        <v>2</v>
      </c>
      <c r="J642" s="18" t="n">
        <v>1023.9</v>
      </c>
      <c r="K642" s="18" t="n">
        <v>621.22</v>
      </c>
      <c r="L642" s="18" t="n">
        <v>0</v>
      </c>
      <c r="M642" s="165" t="n">
        <v>19</v>
      </c>
      <c r="N642" s="16" t="n">
        <f aca="false" ca="false" dt2D="false" dtr="false" t="normal">P642+Q642+R642+S642+T642</f>
        <v>472025.63</v>
      </c>
      <c r="O642" s="18" t="n"/>
      <c r="P642" s="18" t="n">
        <v>0</v>
      </c>
      <c r="Q642" s="18" t="n"/>
      <c r="R642" s="27" t="n">
        <v>218338.99</v>
      </c>
      <c r="S642" s="27" t="n">
        <v>253686.64</v>
      </c>
      <c r="T642" s="27" t="n">
        <v>0</v>
      </c>
      <c r="U642" s="18" t="n">
        <v>839.705081000034</v>
      </c>
      <c r="V642" s="18" t="n">
        <v>1357.283020064</v>
      </c>
      <c r="W642" s="21" t="n">
        <v>2024</v>
      </c>
      <c r="Y642" s="3" t="n">
        <f aca="false" ca="false" dt2D="false" dtr="false" t="normal">+(K642*11.55+L642*23.1)*12*0.85</f>
        <v>73185.9282</v>
      </c>
      <c r="Z642" s="3" t="n">
        <f aca="false" ca="false" dt2D="false" dtr="false" t="normal">+(K642*11.55+L642*23.1)*12*30-'[1]Лист1'!$AQ$24</f>
        <v>1501091.8000000003</v>
      </c>
      <c r="AA642" s="3" t="n">
        <f aca="false" ca="false" dt2D="false" dtr="false" t="normal">+N642-AB642</f>
        <v>0</v>
      </c>
      <c r="AB642" s="203" t="n">
        <f aca="false" ca="true" dt2D="false" dtr="false" t="normal">SUBTOTAL(9, AC642:AQ642)</f>
        <v>472025.63</v>
      </c>
      <c r="AC642" s="17" t="n">
        <v>0</v>
      </c>
      <c r="AD642" s="18" t="n">
        <v>0</v>
      </c>
      <c r="AE642" s="18" t="n">
        <v>472025.63</v>
      </c>
      <c r="AF642" s="18" t="n">
        <v>0</v>
      </c>
      <c r="AG642" s="18" t="n">
        <v>0</v>
      </c>
      <c r="AH642" s="18" t="n"/>
      <c r="AI642" s="17" t="n"/>
      <c r="AJ642" s="18" t="n">
        <v>0</v>
      </c>
      <c r="AK642" s="18" t="n">
        <v>0</v>
      </c>
      <c r="AL642" s="18" t="n">
        <v>0</v>
      </c>
      <c r="AM642" s="18" t="n">
        <v>0</v>
      </c>
      <c r="AN642" s="18" t="n">
        <v>0</v>
      </c>
      <c r="AO642" s="18" t="n"/>
      <c r="AP642" s="18" t="n"/>
      <c r="AQ642" s="185" t="n"/>
      <c r="AR642" s="186" t="n">
        <f aca="false" ca="false" dt2D="false" dtr="false" t="normal">COUNTIF(AC642:AN642, "&gt;0")</f>
        <v>1</v>
      </c>
      <c r="AU642" s="3" t="n"/>
    </row>
    <row ht="15.75" outlineLevel="0" r="643">
      <c r="A643" s="5" t="n">
        <f aca="false" ca="false" dt2D="false" dtr="false" t="normal">A642+1</f>
        <v>622</v>
      </c>
      <c r="B643" s="6" t="n">
        <f aca="false" ca="false" dt2D="false" dtr="false" t="normal">B642+1</f>
        <v>162</v>
      </c>
      <c r="C643" s="6" t="s">
        <v>82</v>
      </c>
      <c r="D643" s="6" t="s">
        <v>482</v>
      </c>
      <c r="E643" s="164" t="n">
        <v>1980</v>
      </c>
      <c r="F643" s="164" t="n">
        <v>2000</v>
      </c>
      <c r="G643" s="164" t="s">
        <v>4</v>
      </c>
      <c r="H643" s="164" t="n">
        <v>4</v>
      </c>
      <c r="I643" s="164" t="n">
        <v>2</v>
      </c>
      <c r="J643" s="18" t="n">
        <v>1287.7</v>
      </c>
      <c r="K643" s="18" t="n">
        <v>1277.9</v>
      </c>
      <c r="L643" s="18" t="n">
        <v>0</v>
      </c>
      <c r="M643" s="165" t="n">
        <v>40</v>
      </c>
      <c r="N643" s="16" t="n">
        <f aca="false" ca="false" dt2D="false" dtr="false" t="normal">P643+Q643+R643+S643+T643</f>
        <v>4711950.83</v>
      </c>
      <c r="O643" s="18" t="n"/>
      <c r="P643" s="18" t="n">
        <v>3047218.77</v>
      </c>
      <c r="Q643" s="18" t="n"/>
      <c r="R643" s="27" t="n">
        <v>114904.46</v>
      </c>
      <c r="S643" s="27" t="n">
        <v>1078632.52</v>
      </c>
      <c r="T643" s="27" t="n">
        <v>471195.08</v>
      </c>
      <c r="U643" s="18" t="n">
        <v>3157.71868823727</v>
      </c>
      <c r="V643" s="18" t="n">
        <v>3157.71868823727</v>
      </c>
      <c r="W643" s="21" t="n">
        <v>2024</v>
      </c>
      <c r="X643" s="1" t="n">
        <v>585442.08</v>
      </c>
      <c r="Y643" s="3" t="n">
        <f aca="false" ca="false" dt2D="false" dtr="false" t="normal">+(K643*10+L643*20)*12*0.85</f>
        <v>130345.8</v>
      </c>
      <c r="Z643" s="3" t="n">
        <f aca="false" ca="false" dt2D="false" dtr="false" t="normal">+(K643*11.55+L643*23.1)*12*30</f>
        <v>5313508.200000001</v>
      </c>
      <c r="AA643" s="3" t="n">
        <f aca="false" ca="false" dt2D="false" dtr="false" t="normal">+N643-AB643</f>
        <v>0</v>
      </c>
      <c r="AB643" s="27" t="n">
        <f aca="false" ca="true" dt2D="false" dtr="false" t="normal">SUBTOTAL(9, AC643:AQ643)</f>
        <v>4711950.83</v>
      </c>
      <c r="AC643" s="17" t="n">
        <v>4711950.83</v>
      </c>
      <c r="AD643" s="18" t="n"/>
      <c r="AE643" s="18" t="n"/>
      <c r="AF643" s="18" t="n"/>
      <c r="AG643" s="18" t="n">
        <v>0</v>
      </c>
      <c r="AH643" s="18" t="n"/>
      <c r="AI643" s="17" t="n"/>
      <c r="AJ643" s="18" t="n">
        <v>0</v>
      </c>
      <c r="AK643" s="18" t="n">
        <v>0</v>
      </c>
      <c r="AL643" s="18" t="n">
        <v>0</v>
      </c>
      <c r="AM643" s="18" t="n">
        <v>0</v>
      </c>
      <c r="AN643" s="18" t="n">
        <v>0</v>
      </c>
      <c r="AO643" s="18" t="n"/>
      <c r="AP643" s="18" t="n"/>
      <c r="AQ643" s="185" t="n"/>
      <c r="AR643" s="186" t="n">
        <f aca="false" ca="false" dt2D="false" dtr="false" t="normal">COUNTIF(AC643:AN643, "&gt;0")</f>
        <v>1</v>
      </c>
      <c r="AU643" s="3" t="n"/>
    </row>
    <row ht="15.75" outlineLevel="0" r="644">
      <c r="A644" s="5" t="n">
        <f aca="false" ca="false" dt2D="false" dtr="false" t="normal">A643+1</f>
        <v>623</v>
      </c>
      <c r="B644" s="6" t="n">
        <f aca="false" ca="false" dt2D="false" dtr="false" t="normal">B643+1</f>
        <v>163</v>
      </c>
      <c r="C644" s="138" t="s">
        <v>82</v>
      </c>
      <c r="D644" s="138" t="s">
        <v>483</v>
      </c>
      <c r="E644" s="139" t="n">
        <v>1993</v>
      </c>
      <c r="F644" s="139" t="n">
        <v>2013</v>
      </c>
      <c r="G644" s="139" t="s">
        <v>4</v>
      </c>
      <c r="H644" s="139" t="n">
        <v>5</v>
      </c>
      <c r="I644" s="139" t="n">
        <v>4</v>
      </c>
      <c r="J644" s="17" t="n">
        <v>3395.5</v>
      </c>
      <c r="K644" s="17" t="n">
        <v>2227.23</v>
      </c>
      <c r="L644" s="17" t="n">
        <v>0</v>
      </c>
      <c r="M644" s="140" t="n">
        <v>37</v>
      </c>
      <c r="N644" s="16" t="n">
        <f aca="false" ca="false" dt2D="false" dtr="false" t="normal">P644+Q644+R644+S644+T644</f>
        <v>2252096.81</v>
      </c>
      <c r="O644" s="17" t="n"/>
      <c r="P644" s="18" t="n">
        <v>0</v>
      </c>
      <c r="Q644" s="18" t="n"/>
      <c r="R644" s="27" t="n">
        <v>600253.38</v>
      </c>
      <c r="S644" s="27" t="n">
        <v>1651843.43</v>
      </c>
      <c r="T644" s="27" t="n">
        <v>0</v>
      </c>
      <c r="U644" s="17" t="n">
        <v>2851.08924296104</v>
      </c>
      <c r="V644" s="17" t="n">
        <v>2851.08924296104</v>
      </c>
      <c r="W644" s="21" t="n">
        <v>2024</v>
      </c>
      <c r="X644" s="1" t="n">
        <v>77200.68</v>
      </c>
      <c r="Y644" s="3" t="n">
        <f aca="false" ca="false" dt2D="false" dtr="false" t="normal">+(K644*11.55+L644*23.1)*12*0.85</f>
        <v>262389.96630000003</v>
      </c>
      <c r="Z644" s="3" t="n">
        <f aca="false" ca="false" dt2D="false" dtr="false" t="normal">+(K644*11.55+L644*23.1)*12*30</f>
        <v>9260822.340000002</v>
      </c>
      <c r="AA644" s="3" t="n">
        <f aca="false" ca="false" dt2D="false" dtr="false" t="normal">+N644-AB644</f>
        <v>0</v>
      </c>
      <c r="AB644" s="27" t="n">
        <f aca="false" ca="true" dt2D="false" dtr="false" t="normal">SUBTOTAL(9, AC644:AQ644)</f>
        <v>2252096.81</v>
      </c>
      <c r="AC644" s="17" t="n">
        <v>0</v>
      </c>
      <c r="AD644" s="18" t="n">
        <v>0</v>
      </c>
      <c r="AE644" s="18" t="n">
        <v>2252096.81</v>
      </c>
      <c r="AF644" s="18" t="n"/>
      <c r="AG644" s="18" t="n">
        <v>0</v>
      </c>
      <c r="AH644" s="18" t="n"/>
      <c r="AI644" s="17" t="n"/>
      <c r="AJ644" s="18" t="n">
        <v>0</v>
      </c>
      <c r="AK644" s="18" t="n">
        <v>0</v>
      </c>
      <c r="AL644" s="18" t="n">
        <v>0</v>
      </c>
      <c r="AM644" s="18" t="n">
        <v>0</v>
      </c>
      <c r="AN644" s="18" t="n">
        <v>0</v>
      </c>
      <c r="AO644" s="18" t="n"/>
      <c r="AP644" s="18" t="n"/>
      <c r="AQ644" s="185" t="n"/>
      <c r="AR644" s="186" t="n">
        <f aca="false" ca="false" dt2D="false" dtr="false" t="normal">COUNTIF(AC644:AN644, "&gt;0")</f>
        <v>1</v>
      </c>
      <c r="AU644" s="3" t="n"/>
    </row>
    <row ht="15.75" outlineLevel="0" r="645">
      <c r="A645" s="5" t="n">
        <f aca="false" ca="false" dt2D="false" dtr="false" t="normal">A644+1</f>
        <v>624</v>
      </c>
      <c r="B645" s="6" t="n">
        <f aca="false" ca="false" dt2D="false" dtr="false" t="normal">B644+1</f>
        <v>164</v>
      </c>
      <c r="C645" s="138" t="s">
        <v>82</v>
      </c>
      <c r="D645" s="138" t="s">
        <v>485</v>
      </c>
      <c r="E645" s="139" t="n">
        <v>1971</v>
      </c>
      <c r="F645" s="139" t="n">
        <v>2013</v>
      </c>
      <c r="G645" s="139" t="s">
        <v>4</v>
      </c>
      <c r="H645" s="139" t="n">
        <v>3</v>
      </c>
      <c r="I645" s="139" t="n">
        <v>1</v>
      </c>
      <c r="J645" s="17" t="n">
        <v>536</v>
      </c>
      <c r="K645" s="17" t="n">
        <v>489.9</v>
      </c>
      <c r="L645" s="17" t="n">
        <v>0</v>
      </c>
      <c r="M645" s="140" t="n">
        <v>16</v>
      </c>
      <c r="N645" s="16" t="n">
        <f aca="false" ca="false" dt2D="false" dtr="false" t="normal">P645+Q645+R645+S645+T645</f>
        <v>887392.74</v>
      </c>
      <c r="O645" s="17" t="n"/>
      <c r="P645" s="18" t="n">
        <v>767049.14</v>
      </c>
      <c r="Q645" s="18" t="n"/>
      <c r="R645" s="27" t="n">
        <v>37182.6</v>
      </c>
      <c r="S645" s="27" t="n">
        <v>83161</v>
      </c>
      <c r="T645" s="27" t="n">
        <v>0</v>
      </c>
      <c r="U645" s="17" t="n">
        <v>1472.95621244051</v>
      </c>
      <c r="V645" s="17" t="n">
        <v>1472.95621244051</v>
      </c>
      <c r="W645" s="21" t="n">
        <v>2024</v>
      </c>
      <c r="X645" s="1" t="n">
        <v>126164.38</v>
      </c>
      <c r="Y645" s="3" t="n">
        <f aca="false" ca="false" dt2D="false" dtr="false" t="normal">+(K645*10+L645*20)*12*0.85</f>
        <v>49969.799999999996</v>
      </c>
      <c r="Z645" s="3" t="n">
        <f aca="false" ca="false" dt2D="false" dtr="false" t="normal">+(K645*11.55+L645*23.1)*12*30</f>
        <v>2037004.2</v>
      </c>
      <c r="AA645" s="3" t="n">
        <f aca="false" ca="false" dt2D="false" dtr="false" t="normal">+N645-AB645</f>
        <v>0</v>
      </c>
      <c r="AB645" s="27" t="n">
        <f aca="false" ca="true" dt2D="false" dtr="false" t="normal">SUBTOTAL(9, AC645:AQ645)</f>
        <v>887392.74</v>
      </c>
      <c r="AC645" s="17" t="n">
        <v>0</v>
      </c>
      <c r="AD645" s="18" t="n">
        <v>0</v>
      </c>
      <c r="AE645" s="18" t="n">
        <v>887392.74</v>
      </c>
      <c r="AF645" s="18" t="n">
        <v>0</v>
      </c>
      <c r="AG645" s="18" t="n">
        <v>0</v>
      </c>
      <c r="AH645" s="18" t="n"/>
      <c r="AI645" s="17" t="n"/>
      <c r="AJ645" s="18" t="n">
        <v>0</v>
      </c>
      <c r="AK645" s="18" t="n">
        <v>0</v>
      </c>
      <c r="AL645" s="18" t="n">
        <v>0</v>
      </c>
      <c r="AM645" s="18" t="n">
        <v>0</v>
      </c>
      <c r="AN645" s="18" t="n">
        <v>0</v>
      </c>
      <c r="AO645" s="18" t="n"/>
      <c r="AP645" s="18" t="n"/>
      <c r="AQ645" s="185" t="n"/>
      <c r="AR645" s="186" t="n">
        <f aca="false" ca="false" dt2D="false" dtr="false" t="normal">COUNTIF(AC645:AN645, "&gt;0")</f>
        <v>1</v>
      </c>
      <c r="AU645" s="3" t="n"/>
    </row>
    <row ht="15.75" outlineLevel="0" r="646">
      <c r="A646" s="5" t="n">
        <f aca="false" ca="false" dt2D="false" dtr="false" t="normal">A645+1</f>
        <v>625</v>
      </c>
      <c r="B646" s="6" t="n">
        <f aca="false" ca="false" dt2D="false" dtr="false" t="normal">B645+1</f>
        <v>165</v>
      </c>
      <c r="C646" s="6" t="s">
        <v>82</v>
      </c>
      <c r="D646" s="6" t="s">
        <v>486</v>
      </c>
      <c r="E646" s="164" t="n">
        <v>1967</v>
      </c>
      <c r="F646" s="164" t="n">
        <v>2013</v>
      </c>
      <c r="G646" s="164" t="s">
        <v>4</v>
      </c>
      <c r="H646" s="164" t="n">
        <v>3</v>
      </c>
      <c r="I646" s="164" t="n">
        <v>2</v>
      </c>
      <c r="J646" s="18" t="n">
        <v>1043.9</v>
      </c>
      <c r="K646" s="18" t="n">
        <v>633.5</v>
      </c>
      <c r="L646" s="18" t="n">
        <v>326.8</v>
      </c>
      <c r="M646" s="165" t="n">
        <v>24</v>
      </c>
      <c r="N646" s="16" t="n">
        <f aca="false" ca="false" dt2D="false" dtr="false" t="normal">P646+Q646+R646+S646+T646</f>
        <v>1097208.8900000001</v>
      </c>
      <c r="O646" s="18" t="n"/>
      <c r="P646" s="18" t="n">
        <v>164325.02</v>
      </c>
      <c r="Q646" s="18" t="n"/>
      <c r="R646" s="27" t="n">
        <v>721179.51</v>
      </c>
      <c r="S646" s="27" t="n">
        <v>211704.36</v>
      </c>
      <c r="T646" s="27" t="n">
        <v>0</v>
      </c>
      <c r="U646" s="18" t="n">
        <v>987.788192478906</v>
      </c>
      <c r="V646" s="18" t="n">
        <v>987.788192478906</v>
      </c>
      <c r="W646" s="21" t="n">
        <v>2024</v>
      </c>
      <c r="X646" s="1" t="n">
        <v>589895.31</v>
      </c>
      <c r="Y646" s="3" t="n">
        <f aca="false" ca="false" dt2D="false" dtr="false" t="normal">+(K646*10+L646*20)*12*0.85</f>
        <v>131284.19999999998</v>
      </c>
      <c r="Z646" s="3" t="n">
        <f aca="false" ca="false" dt2D="false" dtr="false" t="normal">+(K646*11.55+L646*23.1)*12*30</f>
        <v>5351761.8</v>
      </c>
      <c r="AA646" s="3" t="n">
        <f aca="false" ca="false" dt2D="false" dtr="false" t="normal">+N646-AB646</f>
        <v>0</v>
      </c>
      <c r="AB646" s="27" t="n">
        <f aca="false" ca="true" dt2D="false" dtr="false" t="normal">SUBTOTAL(9, AC646:AQ646)</f>
        <v>1097208.89</v>
      </c>
      <c r="AC646" s="17" t="n">
        <v>0</v>
      </c>
      <c r="AD646" s="18" t="n">
        <v>0</v>
      </c>
      <c r="AE646" s="18" t="n">
        <v>1097208.89</v>
      </c>
      <c r="AF646" s="18" t="n">
        <v>0</v>
      </c>
      <c r="AG646" s="18" t="n">
        <v>0</v>
      </c>
      <c r="AH646" s="18" t="n"/>
      <c r="AI646" s="17" t="n"/>
      <c r="AJ646" s="18" t="n">
        <v>0</v>
      </c>
      <c r="AK646" s="18" t="n">
        <v>0</v>
      </c>
      <c r="AL646" s="18" t="n">
        <v>0</v>
      </c>
      <c r="AM646" s="18" t="n">
        <v>0</v>
      </c>
      <c r="AN646" s="18" t="n">
        <v>0</v>
      </c>
      <c r="AO646" s="18" t="n"/>
      <c r="AP646" s="18" t="n"/>
      <c r="AQ646" s="185" t="n"/>
      <c r="AR646" s="186" t="n">
        <f aca="false" ca="false" dt2D="false" dtr="false" t="normal">COUNTIF(AC646:AN646, "&gt;0")</f>
        <v>1</v>
      </c>
      <c r="AU646" s="3" t="n"/>
    </row>
    <row ht="15.75" outlineLevel="0" r="647">
      <c r="A647" s="5" t="n">
        <f aca="false" ca="false" dt2D="false" dtr="false" t="normal">A646+1</f>
        <v>626</v>
      </c>
      <c r="B647" s="6" t="n">
        <f aca="false" ca="false" dt2D="false" dtr="false" t="normal">B646+1</f>
        <v>166</v>
      </c>
      <c r="C647" s="6" t="s">
        <v>82</v>
      </c>
      <c r="D647" s="6" t="s">
        <v>487</v>
      </c>
      <c r="E647" s="164" t="n">
        <v>1990</v>
      </c>
      <c r="F647" s="164" t="n">
        <v>2012</v>
      </c>
      <c r="G647" s="164" t="s">
        <v>4</v>
      </c>
      <c r="H647" s="164" t="n">
        <v>5</v>
      </c>
      <c r="I647" s="164" t="n">
        <v>4</v>
      </c>
      <c r="J647" s="18" t="n">
        <v>3306.7</v>
      </c>
      <c r="K647" s="18" t="n">
        <v>2787.1</v>
      </c>
      <c r="L647" s="18" t="n">
        <v>0</v>
      </c>
      <c r="M647" s="165" t="n">
        <v>110</v>
      </c>
      <c r="N647" s="16" t="n">
        <f aca="false" ca="false" dt2D="false" dtr="false" t="normal">P647+Q647+R647+S647+T647</f>
        <v>6459939.38</v>
      </c>
      <c r="O647" s="18" t="n"/>
      <c r="P647" s="18" t="n">
        <v>0</v>
      </c>
      <c r="Q647" s="18" t="n"/>
      <c r="R647" s="27" t="n">
        <v>744887.38</v>
      </c>
      <c r="S647" s="27" t="n">
        <v>5715052</v>
      </c>
      <c r="T647" s="27" t="n">
        <v>0</v>
      </c>
      <c r="U647" s="18" t="n">
        <v>7568.1764471154</v>
      </c>
      <c r="V647" s="18" t="n">
        <v>7568.1764471154</v>
      </c>
      <c r="W647" s="21" t="n">
        <v>2024</v>
      </c>
      <c r="X647" s="3" t="n">
        <f aca="false" ca="false" dt2D="false" dtr="false" t="normal">+'[1]Лист1'!$BC$32</f>
        <v>646471.07</v>
      </c>
      <c r="Y647" s="3" t="n">
        <f aca="false" ca="false" dt2D="false" dtr="false" t="normal">+(K647*11.55+L647*23.1)*12*0.85</f>
        <v>328348.251</v>
      </c>
      <c r="Z647" s="3" t="n">
        <f aca="false" ca="false" dt2D="false" dtr="false" t="normal">+(K647*11.55+L647*23.1)*12*30</f>
        <v>11588761.8</v>
      </c>
      <c r="AA647" s="3" t="n">
        <f aca="false" ca="false" dt2D="false" dtr="false" t="normal">+N647-AB647</f>
        <v>0</v>
      </c>
      <c r="AB647" s="27" t="n">
        <f aca="false" ca="true" dt2D="false" dtr="false" t="normal">SUBTOTAL(9, AC647:AQ647)</f>
        <v>6459939.38</v>
      </c>
      <c r="AC647" s="17" t="n">
        <v>0</v>
      </c>
      <c r="AD647" s="18" t="n">
        <v>0</v>
      </c>
      <c r="AE647" s="18" t="n">
        <v>0</v>
      </c>
      <c r="AF647" s="18" t="n">
        <v>0</v>
      </c>
      <c r="AG647" s="18" t="n">
        <v>0</v>
      </c>
      <c r="AH647" s="18" t="n"/>
      <c r="AI647" s="17" t="n"/>
      <c r="AJ647" s="18" t="n">
        <v>0</v>
      </c>
      <c r="AK647" s="18" t="n">
        <v>6459939.38</v>
      </c>
      <c r="AL647" s="18" t="n">
        <v>0</v>
      </c>
      <c r="AM647" s="18" t="n">
        <v>0</v>
      </c>
      <c r="AN647" s="18" t="n">
        <v>0</v>
      </c>
      <c r="AO647" s="18" t="n"/>
      <c r="AP647" s="18" t="n"/>
      <c r="AQ647" s="185" t="n"/>
      <c r="AR647" s="186" t="n">
        <f aca="false" ca="false" dt2D="false" dtr="false" t="normal">COUNTIF(AC647:AN647, "&gt;0")</f>
        <v>1</v>
      </c>
      <c r="AU647" s="3" t="n"/>
    </row>
    <row ht="15.75" outlineLevel="0" r="648">
      <c r="A648" s="5" t="n">
        <f aca="false" ca="false" dt2D="false" dtr="false" t="normal">A647+1</f>
        <v>627</v>
      </c>
      <c r="B648" s="6" t="n">
        <f aca="false" ca="false" dt2D="false" dtr="false" t="normal">B647+1</f>
        <v>167</v>
      </c>
      <c r="C648" s="6" t="s">
        <v>82</v>
      </c>
      <c r="D648" s="6" t="s">
        <v>488</v>
      </c>
      <c r="E648" s="164" t="n">
        <v>1970</v>
      </c>
      <c r="F648" s="164" t="n">
        <v>2013</v>
      </c>
      <c r="G648" s="164" t="s">
        <v>4</v>
      </c>
      <c r="H648" s="164" t="n">
        <v>3</v>
      </c>
      <c r="I648" s="164" t="n">
        <v>2</v>
      </c>
      <c r="J648" s="18" t="n">
        <v>1053.5</v>
      </c>
      <c r="K648" s="18" t="n">
        <v>637.8</v>
      </c>
      <c r="L648" s="18" t="n">
        <v>0</v>
      </c>
      <c r="M648" s="165" t="n">
        <v>23</v>
      </c>
      <c r="N648" s="16" t="n">
        <f aca="false" ca="false" dt2D="false" dtr="false" t="normal">P648+Q648+R648+S648+T648</f>
        <v>1247379.54</v>
      </c>
      <c r="O648" s="18" t="n"/>
      <c r="P648" s="18" t="n">
        <v>311514.43</v>
      </c>
      <c r="Q648" s="18" t="n"/>
      <c r="R648" s="27" t="n">
        <v>204100.88</v>
      </c>
      <c r="S648" s="27" t="n">
        <v>731764.23</v>
      </c>
      <c r="T648" s="27" t="n">
        <v>0</v>
      </c>
      <c r="U648" s="18" t="n">
        <v>1491.8017034933</v>
      </c>
      <c r="V648" s="18" t="n">
        <v>1491.8017034933</v>
      </c>
      <c r="W648" s="21" t="n">
        <v>2024</v>
      </c>
      <c r="X648" s="1" t="n">
        <v>262986.55</v>
      </c>
      <c r="Y648" s="3" t="n">
        <f aca="false" ca="false" dt2D="false" dtr="false" t="normal">+(K648*10+L648*20)*12*0.85</f>
        <v>65055.6</v>
      </c>
      <c r="Z648" s="3" t="n">
        <f aca="false" ca="false" dt2D="false" dtr="false" t="normal">+(K648*11.55+L648*23.1)*12*30</f>
        <v>2651972.4</v>
      </c>
      <c r="AA648" s="3" t="n">
        <f aca="false" ca="false" dt2D="false" dtr="false" t="normal">+N648-AB648</f>
        <v>0</v>
      </c>
      <c r="AB648" s="27" t="n">
        <f aca="false" ca="true" dt2D="false" dtr="false" t="normal">SUBTOTAL(9, AC648:AQ648)</f>
        <v>1247379.54</v>
      </c>
      <c r="AC648" s="17" t="n"/>
      <c r="AD648" s="18" t="n"/>
      <c r="AE648" s="18" t="n">
        <v>1247379.54</v>
      </c>
      <c r="AF648" s="18" t="n">
        <v>0</v>
      </c>
      <c r="AG648" s="18" t="n">
        <v>0</v>
      </c>
      <c r="AH648" s="18" t="n"/>
      <c r="AI648" s="17" t="n"/>
      <c r="AJ648" s="18" t="n">
        <v>0</v>
      </c>
      <c r="AK648" s="18" t="n">
        <v>0</v>
      </c>
      <c r="AL648" s="18" t="n">
        <v>0</v>
      </c>
      <c r="AM648" s="18" t="n"/>
      <c r="AN648" s="18" t="n">
        <v>0</v>
      </c>
      <c r="AO648" s="18" t="n"/>
      <c r="AP648" s="18" t="n"/>
      <c r="AQ648" s="185" t="n"/>
      <c r="AR648" s="186" t="n">
        <f aca="false" ca="false" dt2D="false" dtr="false" t="normal">COUNTIF(AC648:AN648, "&gt;0")</f>
        <v>1</v>
      </c>
      <c r="AU648" s="3" t="n"/>
    </row>
    <row ht="15.75" outlineLevel="0" r="649">
      <c r="A649" s="5" t="n">
        <f aca="false" ca="false" dt2D="false" dtr="false" t="normal">A648+1</f>
        <v>628</v>
      </c>
      <c r="B649" s="6" t="n">
        <f aca="false" ca="false" dt2D="false" dtr="false" t="normal">B648+1</f>
        <v>168</v>
      </c>
      <c r="C649" s="138" t="s">
        <v>82</v>
      </c>
      <c r="D649" s="138" t="s">
        <v>490</v>
      </c>
      <c r="E649" s="139" t="n">
        <v>1965</v>
      </c>
      <c r="F649" s="139" t="n">
        <v>2006</v>
      </c>
      <c r="G649" s="139" t="s">
        <v>4</v>
      </c>
      <c r="H649" s="139" t="n">
        <v>3</v>
      </c>
      <c r="I649" s="139" t="n">
        <v>2</v>
      </c>
      <c r="J649" s="17" t="n">
        <v>1034.1</v>
      </c>
      <c r="K649" s="17" t="n">
        <v>959.8</v>
      </c>
      <c r="L649" s="17" t="n">
        <v>0</v>
      </c>
      <c r="M649" s="140" t="n">
        <v>25</v>
      </c>
      <c r="N649" s="16" t="n">
        <f aca="false" ca="false" dt2D="false" dtr="false" t="normal">P649+Q649+R649+S649+T649</f>
        <v>3161258.83</v>
      </c>
      <c r="O649" s="17" t="n"/>
      <c r="P649" s="18" t="n">
        <v>2072446.98</v>
      </c>
      <c r="Q649" s="18" t="n"/>
      <c r="R649" s="27" t="n">
        <v>270902.37</v>
      </c>
      <c r="S649" s="27" t="n">
        <v>817909.48</v>
      </c>
      <c r="T649" s="27" t="n">
        <v>0</v>
      </c>
      <c r="U649" s="17" t="n">
        <v>7746.6906716509</v>
      </c>
      <c r="V649" s="17" t="n">
        <v>7746.6906716509</v>
      </c>
      <c r="W649" s="21" t="n">
        <v>2024</v>
      </c>
      <c r="Y649" s="3" t="n">
        <f aca="false" ca="false" dt2D="false" dtr="false" t="normal">+(K649*11.55+L649*23.1)*12*0.85</f>
        <v>113074.038</v>
      </c>
      <c r="Z649" s="3" t="n">
        <f aca="false" ca="false" dt2D="false" dtr="false" t="normal">+(K649*11.55+L649*23.1)*12*30-'[1]Лист1'!$AQ$34</f>
        <v>3236252.96</v>
      </c>
      <c r="AA649" s="3" t="n">
        <f aca="false" ca="false" dt2D="false" dtr="false" t="normal">+N649-AB649</f>
        <v>0</v>
      </c>
      <c r="AB649" s="27" t="n">
        <f aca="false" ca="true" dt2D="false" dtr="false" t="normal">SUBTOTAL(9, AC649:AQ649)</f>
        <v>3161258.83</v>
      </c>
      <c r="AC649" s="17" t="n"/>
      <c r="AD649" s="18" t="n"/>
      <c r="AE649" s="18" t="n"/>
      <c r="AF649" s="18" t="n">
        <v>0</v>
      </c>
      <c r="AG649" s="18" t="n">
        <v>0</v>
      </c>
      <c r="AH649" s="18" t="n"/>
      <c r="AI649" s="17" t="n"/>
      <c r="AJ649" s="18" t="n">
        <v>0</v>
      </c>
      <c r="AK649" s="18" t="n">
        <v>3161258.83</v>
      </c>
      <c r="AL649" s="18" t="n">
        <v>0</v>
      </c>
      <c r="AM649" s="18" t="n"/>
      <c r="AN649" s="18" t="n">
        <v>0</v>
      </c>
      <c r="AO649" s="18" t="n"/>
      <c r="AP649" s="18" t="n"/>
      <c r="AQ649" s="185" t="n"/>
      <c r="AR649" s="186" t="n">
        <f aca="false" ca="false" dt2D="false" dtr="false" t="normal">COUNTIF(AC649:AN649, "&gt;0")</f>
        <v>1</v>
      </c>
      <c r="AU649" s="3" t="n"/>
    </row>
    <row ht="15.75" outlineLevel="0" r="650">
      <c r="A650" s="5" t="n">
        <f aca="false" ca="false" dt2D="false" dtr="false" t="normal">A649+1</f>
        <v>629</v>
      </c>
      <c r="B650" s="6" t="n">
        <f aca="false" ca="false" dt2D="false" dtr="false" t="normal">B649+1</f>
        <v>169</v>
      </c>
      <c r="C650" s="138" t="s">
        <v>82</v>
      </c>
      <c r="D650" s="138" t="s">
        <v>87</v>
      </c>
      <c r="E650" s="139" t="n">
        <v>1983</v>
      </c>
      <c r="F650" s="139" t="n">
        <v>2013</v>
      </c>
      <c r="G650" s="139" t="s">
        <v>4</v>
      </c>
      <c r="H650" s="139" t="n">
        <v>5</v>
      </c>
      <c r="I650" s="139" t="n">
        <v>4</v>
      </c>
      <c r="J650" s="17" t="n">
        <v>3317.4</v>
      </c>
      <c r="K650" s="17" t="n">
        <v>2427.1</v>
      </c>
      <c r="L650" s="17" t="n">
        <v>0</v>
      </c>
      <c r="M650" s="140" t="n">
        <v>71</v>
      </c>
      <c r="N650" s="16" t="n">
        <f aca="false" ca="false" dt2D="false" dtr="false" t="normal">P650+Q650+R650+S650+T650</f>
        <v>2425802.77</v>
      </c>
      <c r="O650" s="17" t="n"/>
      <c r="P650" s="18" t="n">
        <v>0</v>
      </c>
      <c r="Q650" s="18" t="n"/>
      <c r="R650" s="27" t="n">
        <v>226216.11</v>
      </c>
      <c r="S650" s="27" t="n">
        <v>2199586.66</v>
      </c>
      <c r="T650" s="27" t="n">
        <v>0</v>
      </c>
      <c r="U650" s="17" t="n">
        <v>1644.38630481231</v>
      </c>
      <c r="V650" s="17" t="n">
        <v>1644.38630481231</v>
      </c>
      <c r="W650" s="21" t="n">
        <v>2024</v>
      </c>
      <c r="X650" s="12" t="n">
        <f aca="false" ca="false" dt2D="false" dtr="false" t="normal">701008.17</f>
        <v>701008.17</v>
      </c>
      <c r="Y650" s="3" t="n">
        <f aca="false" ca="false" dt2D="false" dtr="false" t="normal">+(K650*10+L650*20)*12*0.85</f>
        <v>247564.19999999998</v>
      </c>
      <c r="Z650" s="3" t="n">
        <f aca="false" ca="false" dt2D="false" dtr="false" t="normal">+(K650*11.55+L650*23.1)*12*30</f>
        <v>10091881.8</v>
      </c>
      <c r="AA650" s="3" t="n">
        <f aca="false" ca="false" dt2D="false" dtr="false" t="normal">+N650-AB650</f>
        <v>0</v>
      </c>
      <c r="AB650" s="27" t="n">
        <f aca="false" ca="true" dt2D="false" dtr="false" t="normal">SUBTOTAL(9, AC650:AQ650)</f>
        <v>2425802.77</v>
      </c>
      <c r="AC650" s="17" t="n">
        <v>0</v>
      </c>
      <c r="AD650" s="18" t="n">
        <v>0</v>
      </c>
      <c r="AE650" s="18" t="n">
        <v>2425802.77</v>
      </c>
      <c r="AF650" s="18" t="n"/>
      <c r="AG650" s="18" t="n">
        <v>0</v>
      </c>
      <c r="AH650" s="18" t="n"/>
      <c r="AI650" s="17" t="n"/>
      <c r="AJ650" s="18" t="n">
        <v>0</v>
      </c>
      <c r="AK650" s="18" t="n">
        <v>0</v>
      </c>
      <c r="AL650" s="18" t="n">
        <v>0</v>
      </c>
      <c r="AM650" s="18" t="n">
        <v>0</v>
      </c>
      <c r="AN650" s="18" t="n">
        <v>0</v>
      </c>
      <c r="AO650" s="18" t="n"/>
      <c r="AP650" s="18" t="n"/>
      <c r="AQ650" s="185" t="n"/>
      <c r="AR650" s="186" t="n">
        <f aca="false" ca="false" dt2D="false" dtr="false" t="normal">COUNTIF(AC650:AN650, "&gt;0")</f>
        <v>1</v>
      </c>
      <c r="AU650" s="3" t="n"/>
    </row>
    <row ht="15.75" outlineLevel="0" r="651">
      <c r="A651" s="5" t="n">
        <f aca="false" ca="false" dt2D="false" dtr="false" t="normal">A650+1</f>
        <v>630</v>
      </c>
      <c r="B651" s="6" t="n">
        <f aca="false" ca="false" dt2D="false" dtr="false" t="normal">B650+1</f>
        <v>170</v>
      </c>
      <c r="C651" s="6" t="s">
        <v>82</v>
      </c>
      <c r="D651" s="6" t="s">
        <v>492</v>
      </c>
      <c r="E651" s="164" t="n">
        <v>1982</v>
      </c>
      <c r="F651" s="164" t="n">
        <v>2013</v>
      </c>
      <c r="G651" s="164" t="s">
        <v>4</v>
      </c>
      <c r="H651" s="164" t="n">
        <v>5</v>
      </c>
      <c r="I651" s="164" t="n">
        <v>4</v>
      </c>
      <c r="J651" s="18" t="n">
        <v>3426.4</v>
      </c>
      <c r="K651" s="18" t="n">
        <v>2421.7</v>
      </c>
      <c r="L651" s="18" t="n">
        <v>483.1</v>
      </c>
      <c r="M651" s="165" t="n">
        <v>77</v>
      </c>
      <c r="N651" s="16" t="n">
        <f aca="false" ca="false" dt2D="false" dtr="false" t="normal">P651+Q651+R651+S651+T651</f>
        <v>2477308.49</v>
      </c>
      <c r="O651" s="18" t="n"/>
      <c r="P651" s="18" t="n">
        <v>0</v>
      </c>
      <c r="Q651" s="18" t="n"/>
      <c r="R651" s="27" t="n">
        <v>1583472.99</v>
      </c>
      <c r="S651" s="27" t="n">
        <v>893835.5</v>
      </c>
      <c r="T651" s="27" t="n">
        <v>0</v>
      </c>
      <c r="U651" s="18" t="n">
        <v>1236.76803007372</v>
      </c>
      <c r="V651" s="18" t="n">
        <v>1236.76803007372</v>
      </c>
      <c r="W651" s="21" t="n">
        <v>2024</v>
      </c>
      <c r="X651" s="1" t="n">
        <v>1309402.75</v>
      </c>
      <c r="Y651" s="3" t="n">
        <f aca="false" ca="false" dt2D="false" dtr="false" t="normal">+(K651*10+L651*20)*12*0.85</f>
        <v>345565.8</v>
      </c>
      <c r="Z651" s="3" t="n">
        <f aca="false" ca="false" dt2D="false" dtr="false" t="normal">+(K651*11.55+L651*23.1)*12*30</f>
        <v>14086888.2</v>
      </c>
      <c r="AA651" s="3" t="n">
        <f aca="false" ca="false" dt2D="false" dtr="false" t="normal">+N651-AB651</f>
        <v>0</v>
      </c>
      <c r="AB651" s="27" t="n">
        <f aca="false" ca="true" dt2D="false" dtr="false" t="normal">SUBTOTAL(9, AC651:AQ651)</f>
        <v>2477308.49</v>
      </c>
      <c r="AC651" s="17" t="n">
        <v>0</v>
      </c>
      <c r="AD651" s="18" t="n">
        <v>0</v>
      </c>
      <c r="AE651" s="18" t="n">
        <v>2477308.49</v>
      </c>
      <c r="AF651" s="18" t="n">
        <v>0</v>
      </c>
      <c r="AG651" s="18" t="n">
        <v>0</v>
      </c>
      <c r="AH651" s="18" t="n"/>
      <c r="AI651" s="17" t="n"/>
      <c r="AJ651" s="18" t="n">
        <v>0</v>
      </c>
      <c r="AK651" s="18" t="n">
        <v>0</v>
      </c>
      <c r="AL651" s="18" t="n">
        <v>0</v>
      </c>
      <c r="AM651" s="18" t="n">
        <v>0</v>
      </c>
      <c r="AN651" s="18" t="n">
        <v>0</v>
      </c>
      <c r="AO651" s="18" t="n"/>
      <c r="AP651" s="18" t="n"/>
      <c r="AQ651" s="185" t="n"/>
      <c r="AR651" s="186" t="n">
        <f aca="false" ca="false" dt2D="false" dtr="false" t="normal">COUNTIF(AC651:AN651, "&gt;0")</f>
        <v>1</v>
      </c>
      <c r="AU651" s="3" t="n"/>
    </row>
    <row ht="15.75" outlineLevel="0" r="652">
      <c r="A652" s="5" t="n">
        <f aca="false" ca="false" dt2D="false" dtr="false" t="normal">A651+1</f>
        <v>631</v>
      </c>
      <c r="B652" s="6" t="n">
        <f aca="false" ca="false" dt2D="false" dtr="false" t="normal">B651+1</f>
        <v>171</v>
      </c>
      <c r="C652" s="6" t="s">
        <v>356</v>
      </c>
      <c r="D652" s="6" t="s">
        <v>494</v>
      </c>
      <c r="E652" s="164" t="n">
        <v>1972</v>
      </c>
      <c r="F652" s="164" t="n">
        <v>2013</v>
      </c>
      <c r="G652" s="164" t="s">
        <v>4</v>
      </c>
      <c r="H652" s="164" t="n">
        <v>4</v>
      </c>
      <c r="I652" s="164" t="n">
        <v>1</v>
      </c>
      <c r="J652" s="18" t="n">
        <v>1401</v>
      </c>
      <c r="K652" s="18" t="n">
        <v>1155.6</v>
      </c>
      <c r="L652" s="18" t="n">
        <v>81.1</v>
      </c>
      <c r="M652" s="165" t="n">
        <v>60</v>
      </c>
      <c r="N652" s="16" t="n">
        <f aca="false" ca="false" dt2D="false" dtr="false" t="normal">P652+Q652+R652+S652+T652</f>
        <v>1437591.45</v>
      </c>
      <c r="O652" s="18" t="n"/>
      <c r="P652" s="18" t="n">
        <v>12859.56</v>
      </c>
      <c r="Q652" s="18" t="n"/>
      <c r="R652" s="27" t="n">
        <v>236152.16</v>
      </c>
      <c r="S652" s="27" t="n">
        <v>1052200.79</v>
      </c>
      <c r="T652" s="27" t="n">
        <v>136378.94</v>
      </c>
      <c r="U652" s="18" t="n">
        <v>5399.27263390571</v>
      </c>
      <c r="V652" s="18" t="n">
        <v>1363.283020064</v>
      </c>
      <c r="W652" s="21" t="n">
        <v>2024</v>
      </c>
      <c r="X652" s="103" t="n">
        <v>590250.21</v>
      </c>
      <c r="Y652" s="3" t="n">
        <f aca="false" ca="false" dt2D="false" dtr="false" t="normal">+(K652*11.55+L652*23.1)*12*0.85</f>
        <v>155250.018</v>
      </c>
      <c r="Z652" s="3" t="n">
        <f aca="false" ca="false" dt2D="false" dtr="false" t="normal">+(K652*11.55+L652*23.1)*12*30</f>
        <v>5479412.4</v>
      </c>
      <c r="AA652" s="3" t="n">
        <f aca="false" ca="false" dt2D="false" dtr="false" t="normal">+N652-AB652</f>
        <v>0</v>
      </c>
      <c r="AB652" s="203" t="n">
        <f aca="false" ca="true" dt2D="false" dtr="false" t="normal">SUBTOTAL(9, AC652:AQ652)</f>
        <v>1437591.4500000002</v>
      </c>
      <c r="AC652" s="17" t="n">
        <v>0</v>
      </c>
      <c r="AD652" s="18" t="n">
        <v>0</v>
      </c>
      <c r="AE652" s="18" t="n">
        <v>1349826.58</v>
      </c>
      <c r="AF652" s="18" t="n">
        <v>0</v>
      </c>
      <c r="AG652" s="18" t="n">
        <v>0</v>
      </c>
      <c r="AH652" s="18" t="n"/>
      <c r="AI652" s="17" t="n"/>
      <c r="AJ652" s="18" t="n">
        <v>0</v>
      </c>
      <c r="AK652" s="18" t="n">
        <v>0</v>
      </c>
      <c r="AL652" s="18" t="n"/>
      <c r="AM652" s="18" t="n">
        <v>0</v>
      </c>
      <c r="AN652" s="18" t="n">
        <v>87764.87</v>
      </c>
      <c r="AO652" s="18" t="n"/>
      <c r="AP652" s="18" t="n"/>
      <c r="AQ652" s="185" t="n"/>
      <c r="AR652" s="186" t="n">
        <f aca="false" ca="false" dt2D="false" dtr="false" t="normal">COUNTIF(AC652:AN652, "&gt;0")</f>
        <v>2</v>
      </c>
      <c r="AU652" s="3" t="n"/>
    </row>
    <row ht="15.75" outlineLevel="0" r="653">
      <c r="A653" s="5" t="n">
        <f aca="false" ca="false" dt2D="false" dtr="false" t="normal">A652+1</f>
        <v>632</v>
      </c>
      <c r="B653" s="6" t="n">
        <f aca="false" ca="false" dt2D="false" dtr="false" t="normal">B652+1</f>
        <v>172</v>
      </c>
      <c r="C653" s="138" t="s">
        <v>356</v>
      </c>
      <c r="D653" s="138" t="s">
        <v>495</v>
      </c>
      <c r="E653" s="139" t="n">
        <v>1975</v>
      </c>
      <c r="F653" s="139" t="n">
        <v>1975</v>
      </c>
      <c r="G653" s="139" t="s">
        <v>4</v>
      </c>
      <c r="H653" s="139" t="n">
        <v>5</v>
      </c>
      <c r="I653" s="139" t="n">
        <v>5</v>
      </c>
      <c r="J653" s="17" t="n">
        <v>3670.4</v>
      </c>
      <c r="K653" s="17" t="n">
        <v>2958</v>
      </c>
      <c r="L653" s="17" t="n">
        <v>417.2</v>
      </c>
      <c r="M653" s="140" t="n">
        <v>116</v>
      </c>
      <c r="N653" s="16" t="n">
        <f aca="false" ca="false" dt2D="false" dtr="false" t="normal">P653+Q653+R653+S653+T653</f>
        <v>22620358.73</v>
      </c>
      <c r="O653" s="17" t="n"/>
      <c r="P653" s="18" t="n">
        <v>14612939.53</v>
      </c>
      <c r="Q653" s="18" t="n"/>
      <c r="R653" s="27" t="n">
        <v>1000927.4</v>
      </c>
      <c r="S653" s="27" t="n">
        <v>7006491.8</v>
      </c>
      <c r="T653" s="27" t="n">
        <v>0</v>
      </c>
      <c r="U653" s="18" t="n">
        <v>17616.2217731655</v>
      </c>
      <c r="V653" s="18" t="n">
        <v>1375.283020064</v>
      </c>
      <c r="W653" s="21" t="n">
        <v>2024</v>
      </c>
      <c r="X653" s="103" t="n">
        <v>1791489.77</v>
      </c>
      <c r="Y653" s="3" t="n">
        <f aca="false" ca="false" dt2D="false" dtr="false" t="normal">+(K653*10.5+L653*21)*12*0.85</f>
        <v>406166.04</v>
      </c>
      <c r="Z653" s="3" t="n">
        <f aca="false" ca="false" dt2D="false" dtr="false" t="normal">+(K653*11.55+L653*23.1)*12*30</f>
        <v>15768799.200000001</v>
      </c>
      <c r="AA653" s="3" t="n">
        <f aca="false" ca="false" dt2D="false" dtr="false" t="normal">+N653-AB653</f>
        <v>0</v>
      </c>
      <c r="AB653" s="203" t="n">
        <f aca="false" ca="true" dt2D="false" dtr="false" t="normal">SUBTOTAL(9, AC653:AQ653)</f>
        <v>22620358.73</v>
      </c>
      <c r="AC653" s="17" t="n"/>
      <c r="AD653" s="18" t="n">
        <v>4985424.9</v>
      </c>
      <c r="AE653" s="18" t="n"/>
      <c r="AF653" s="18" t="n">
        <v>1839863.46</v>
      </c>
      <c r="AG653" s="18" t="n">
        <v>0</v>
      </c>
      <c r="AH653" s="18" t="n"/>
      <c r="AI653" s="17" t="n"/>
      <c r="AJ653" s="18" t="n">
        <v>0</v>
      </c>
      <c r="AK653" s="18" t="n">
        <v>15795070.37</v>
      </c>
      <c r="AL653" s="18" t="n">
        <v>0</v>
      </c>
      <c r="AM653" s="18" t="n"/>
      <c r="AN653" s="18" t="n"/>
      <c r="AO653" s="18" t="n"/>
      <c r="AP653" s="18" t="n"/>
      <c r="AQ653" s="185" t="n"/>
      <c r="AR653" s="186" t="n">
        <f aca="false" ca="false" dt2D="false" dtr="false" t="normal">COUNTIF(AC653:AN653, "&gt;0")</f>
        <v>3</v>
      </c>
      <c r="AU653" s="3" t="n"/>
    </row>
    <row ht="15.75" outlineLevel="0" r="654">
      <c r="A654" s="5" t="n">
        <f aca="false" ca="false" dt2D="false" dtr="false" t="normal">A653+1</f>
        <v>633</v>
      </c>
      <c r="B654" s="6" t="n">
        <f aca="false" ca="false" dt2D="false" dtr="false" t="normal">B653+1</f>
        <v>173</v>
      </c>
      <c r="C654" s="6" t="s">
        <v>356</v>
      </c>
      <c r="D654" s="6" t="s">
        <v>360</v>
      </c>
      <c r="E654" s="164" t="n">
        <v>1969</v>
      </c>
      <c r="F654" s="164" t="n">
        <v>1969</v>
      </c>
      <c r="G654" s="164" t="s">
        <v>4</v>
      </c>
      <c r="H654" s="164" t="n">
        <v>4</v>
      </c>
      <c r="I654" s="164" t="n">
        <v>4</v>
      </c>
      <c r="J654" s="18" t="n">
        <v>1301.1</v>
      </c>
      <c r="K654" s="18" t="n">
        <v>1206.1</v>
      </c>
      <c r="L654" s="18" t="n">
        <v>0</v>
      </c>
      <c r="M654" s="165" t="n">
        <v>55</v>
      </c>
      <c r="N654" s="16" t="n">
        <f aca="false" ca="false" dt2D="false" dtr="false" t="normal">P654+Q654+R654+S654+T654</f>
        <v>11157588.459999999</v>
      </c>
      <c r="O654" s="18" t="n"/>
      <c r="P654" s="18" t="n">
        <v>7070817.1</v>
      </c>
      <c r="Q654" s="18" t="n"/>
      <c r="R654" s="27" t="n">
        <v>71045.32</v>
      </c>
      <c r="S654" s="27" t="n">
        <v>2899967.19</v>
      </c>
      <c r="T654" s="27" t="n">
        <v>1115758.85</v>
      </c>
      <c r="U654" s="18" t="n">
        <v>6767.50786872611</v>
      </c>
      <c r="V654" s="18" t="n">
        <v>1365.283020064</v>
      </c>
      <c r="W654" s="21" t="n">
        <v>2024</v>
      </c>
      <c r="X654" s="12" t="n"/>
      <c r="Y654" s="3" t="n">
        <f aca="false" ca="false" dt2D="false" dtr="false" t="normal">+(K654*11.55+L654*23.1)*12*0.85</f>
        <v>142090.641</v>
      </c>
      <c r="Z654" s="3" t="n">
        <f aca="false" ca="false" dt2D="false" dtr="false" t="normal">+(K654*11.55+L654*23.1)*12*30-'[1]Лист1'!$AQ$49</f>
        <v>4293576.01</v>
      </c>
      <c r="AA654" s="3" t="n">
        <f aca="false" ca="false" dt2D="false" dtr="false" t="normal">+N654-AB654</f>
        <v>0</v>
      </c>
      <c r="AB654" s="203" t="n">
        <f aca="false" ca="true" dt2D="false" dtr="false" t="normal">SUBTOTAL(9, AC654:AQ654)</f>
        <v>11157588.46</v>
      </c>
      <c r="AC654" s="17" t="n"/>
      <c r="AD654" s="18" t="n"/>
      <c r="AE654" s="18" t="n"/>
      <c r="AF654" s="18" t="n"/>
      <c r="AG654" s="18" t="n"/>
      <c r="AH654" s="18" t="n"/>
      <c r="AI654" s="17" t="n"/>
      <c r="AJ654" s="18" t="n">
        <v>0</v>
      </c>
      <c r="AK654" s="18" t="n">
        <v>11157588.46</v>
      </c>
      <c r="AL654" s="18" t="n">
        <v>0</v>
      </c>
      <c r="AM654" s="18" t="n"/>
      <c r="AN654" s="18" t="n"/>
      <c r="AO654" s="18" t="n"/>
      <c r="AP654" s="18" t="n"/>
      <c r="AQ654" s="185" t="n"/>
      <c r="AR654" s="186" t="n">
        <f aca="false" ca="false" dt2D="false" dtr="false" t="normal">COUNTIF(AC654:AN654, "&gt;0")</f>
        <v>1</v>
      </c>
      <c r="AU654" s="3" t="n"/>
    </row>
    <row ht="15.75" outlineLevel="0" r="655">
      <c r="A655" s="5" t="n">
        <f aca="false" ca="false" dt2D="false" dtr="false" t="normal">A654+1</f>
        <v>634</v>
      </c>
      <c r="B655" s="6" t="n">
        <f aca="false" ca="false" dt2D="false" dtr="false" t="normal">B654+1</f>
        <v>174</v>
      </c>
      <c r="C655" s="6" t="s">
        <v>356</v>
      </c>
      <c r="D655" s="6" t="s">
        <v>498</v>
      </c>
      <c r="E655" s="164" t="n">
        <v>1970</v>
      </c>
      <c r="F655" s="164" t="n">
        <v>1970</v>
      </c>
      <c r="G655" s="164" t="s">
        <v>4</v>
      </c>
      <c r="H655" s="164" t="n">
        <v>4</v>
      </c>
      <c r="I655" s="164" t="n">
        <v>4</v>
      </c>
      <c r="J655" s="18" t="n">
        <v>1365.1</v>
      </c>
      <c r="K655" s="18" t="n">
        <v>1195.16</v>
      </c>
      <c r="L655" s="18" t="n">
        <v>66.4</v>
      </c>
      <c r="M655" s="165" t="n">
        <v>42</v>
      </c>
      <c r="N655" s="16" t="n">
        <f aca="false" ca="false" dt2D="false" dtr="false" t="normal">P655+Q655+R655+S655+T655</f>
        <v>3750729.1100000003</v>
      </c>
      <c r="O655" s="18" t="n"/>
      <c r="P655" s="18" t="n">
        <v>3129920.79</v>
      </c>
      <c r="Q655" s="18" t="n"/>
      <c r="R655" s="27" t="n">
        <v>142224.52</v>
      </c>
      <c r="S655" s="27" t="n">
        <v>103510.89</v>
      </c>
      <c r="T655" s="27" t="n">
        <v>375072.91</v>
      </c>
      <c r="U655" s="18" t="n">
        <v>5482.30010451123</v>
      </c>
      <c r="V655" s="18" t="n">
        <v>1366.283020064</v>
      </c>
      <c r="W655" s="21" t="n">
        <v>2024</v>
      </c>
      <c r="X655" s="12" t="n"/>
      <c r="Y655" s="3" t="n">
        <f aca="false" ca="false" dt2D="false" dtr="false" t="normal">+(K655*11.55+L655*23.1)*12*0.85</f>
        <v>156446.9676</v>
      </c>
      <c r="Z655" s="3" t="n">
        <f aca="false" ca="false" dt2D="false" dtr="false" t="normal">+(K655*11.55+L655*23.1)*12*30-'[1]Лист1'!$AQ$50</f>
        <v>867665.1300000008</v>
      </c>
      <c r="AA655" s="3" t="n">
        <f aca="false" ca="false" dt2D="false" dtr="false" t="normal">+N655-AB655</f>
        <v>0</v>
      </c>
      <c r="AB655" s="203" t="n">
        <f aca="false" ca="true" dt2D="false" dtr="false" t="normal">SUBTOTAL(9, AC655:AQ655)</f>
        <v>3750729.11</v>
      </c>
      <c r="AC655" s="17" t="n">
        <v>3750729.11</v>
      </c>
      <c r="AD655" s="18" t="n"/>
      <c r="AE655" s="18" t="n"/>
      <c r="AF655" s="18" t="n"/>
      <c r="AG655" s="18" t="n">
        <v>0</v>
      </c>
      <c r="AH655" s="18" t="n"/>
      <c r="AI655" s="17" t="n"/>
      <c r="AJ655" s="18" t="n">
        <v>0</v>
      </c>
      <c r="AK655" s="18" t="n"/>
      <c r="AL655" s="18" t="n">
        <v>0</v>
      </c>
      <c r="AM655" s="18" t="n"/>
      <c r="AN655" s="18" t="n"/>
      <c r="AO655" s="18" t="n"/>
      <c r="AP655" s="18" t="n"/>
      <c r="AQ655" s="185" t="n"/>
      <c r="AR655" s="186" t="n">
        <f aca="false" ca="false" dt2D="false" dtr="false" t="normal">COUNTIF(AC655:AN655, "&gt;0")</f>
        <v>1</v>
      </c>
      <c r="AU655" s="3" t="n"/>
    </row>
    <row ht="15.75" outlineLevel="0" r="656">
      <c r="A656" s="5" t="n">
        <f aca="false" ca="false" dt2D="false" dtr="false" t="normal">A655+1</f>
        <v>635</v>
      </c>
      <c r="B656" s="6" t="n">
        <f aca="false" ca="false" dt2D="false" dtr="false" t="normal">B655+1</f>
        <v>175</v>
      </c>
      <c r="C656" s="6" t="s">
        <v>356</v>
      </c>
      <c r="D656" s="6" t="s">
        <v>500</v>
      </c>
      <c r="E656" s="164" t="n">
        <v>1965</v>
      </c>
      <c r="F656" s="164" t="n">
        <v>1965</v>
      </c>
      <c r="G656" s="164" t="s">
        <v>4</v>
      </c>
      <c r="H656" s="164" t="n">
        <v>3</v>
      </c>
      <c r="I656" s="164" t="n">
        <v>2</v>
      </c>
      <c r="J656" s="18" t="n">
        <v>987.3</v>
      </c>
      <c r="K656" s="18" t="n">
        <v>918.1</v>
      </c>
      <c r="L656" s="18" t="n">
        <v>68.1</v>
      </c>
      <c r="M656" s="165" t="n">
        <v>38</v>
      </c>
      <c r="N656" s="16" t="n">
        <f aca="false" ca="false" dt2D="false" dtr="false" t="normal">P656+Q656+R656+S656+T656</f>
        <v>7999221.25</v>
      </c>
      <c r="O656" s="18" t="n"/>
      <c r="P656" s="18" t="n">
        <v>5649300.79</v>
      </c>
      <c r="Q656" s="18" t="n"/>
      <c r="R656" s="27" t="n">
        <v>159552.44</v>
      </c>
      <c r="S656" s="27" t="n">
        <v>1230461.47</v>
      </c>
      <c r="T656" s="27" t="n">
        <v>959906.55</v>
      </c>
      <c r="U656" s="18" t="n">
        <v>9623.12427325564</v>
      </c>
      <c r="V656" s="18" t="n">
        <v>1367.283020064</v>
      </c>
      <c r="W656" s="21" t="n">
        <v>2024</v>
      </c>
      <c r="X656" s="103" t="n">
        <f aca="false" ca="false" dt2D="false" dtr="false" t="normal">403863.49-R341</f>
        <v>-112915.53000000003</v>
      </c>
      <c r="Y656" s="3" t="n">
        <f aca="false" ca="false" dt2D="false" dtr="false" t="normal">+(K656*10.5+L656*21)*12*0.85</f>
        <v>112915.53000000001</v>
      </c>
      <c r="Z656" s="3" t="n">
        <f aca="false" ca="false" dt2D="false" dtr="false" t="normal">+(K656*11.55+L656*23.1)*12*30</f>
        <v>4383779.4</v>
      </c>
      <c r="AA656" s="3" t="n">
        <f aca="false" ca="false" dt2D="false" dtr="false" t="normal">+N656-AB656</f>
        <v>0</v>
      </c>
      <c r="AB656" s="203" t="n">
        <f aca="false" ca="true" dt2D="false" dtr="false" t="normal">SUBTOTAL(9, AC656:AQ656)</f>
        <v>7999221.25</v>
      </c>
      <c r="AC656" s="17" t="n"/>
      <c r="AD656" s="18" t="n"/>
      <c r="AE656" s="18" t="n"/>
      <c r="AF656" s="18" t="n"/>
      <c r="AG656" s="18" t="n">
        <v>0</v>
      </c>
      <c r="AH656" s="18" t="n"/>
      <c r="AI656" s="17" t="n"/>
      <c r="AJ656" s="18" t="n">
        <v>0</v>
      </c>
      <c r="AK656" s="18" t="n"/>
      <c r="AL656" s="18" t="n">
        <v>0</v>
      </c>
      <c r="AM656" s="18" t="n">
        <v>7999221.25</v>
      </c>
      <c r="AN656" s="18" t="n"/>
      <c r="AO656" s="18" t="n"/>
      <c r="AP656" s="18" t="n"/>
      <c r="AQ656" s="185" t="n"/>
      <c r="AR656" s="186" t="n">
        <f aca="false" ca="false" dt2D="false" dtr="false" t="normal">COUNTIF(AC656:AN656, "&gt;0")</f>
        <v>1</v>
      </c>
      <c r="AU656" s="3" t="n"/>
    </row>
    <row ht="15.75" outlineLevel="0" r="657">
      <c r="A657" s="5" t="n">
        <f aca="false" ca="false" dt2D="false" dtr="false" t="normal">A656+1</f>
        <v>636</v>
      </c>
      <c r="B657" s="6" t="n">
        <f aca="false" ca="false" dt2D="false" dtr="false" t="normal">B656+1</f>
        <v>176</v>
      </c>
      <c r="C657" s="6" t="s">
        <v>356</v>
      </c>
      <c r="D657" s="6" t="s">
        <v>502</v>
      </c>
      <c r="E657" s="164" t="n">
        <v>1964</v>
      </c>
      <c r="F657" s="164" t="n">
        <v>1964</v>
      </c>
      <c r="G657" s="164" t="s">
        <v>4</v>
      </c>
      <c r="H657" s="164" t="n">
        <v>3</v>
      </c>
      <c r="I657" s="164" t="n">
        <v>1</v>
      </c>
      <c r="J657" s="18" t="n">
        <v>998.5</v>
      </c>
      <c r="K657" s="18" t="n">
        <v>928.6</v>
      </c>
      <c r="L657" s="18" t="n">
        <v>69.9</v>
      </c>
      <c r="M657" s="165" t="n">
        <v>43</v>
      </c>
      <c r="N657" s="16" t="n">
        <f aca="false" ca="false" dt2D="false" dtr="false" t="normal">P657+Q657+R657+S657+T657</f>
        <v>8347771.7</v>
      </c>
      <c r="O657" s="18" t="n"/>
      <c r="P657" s="18" t="n">
        <v>6293742.07</v>
      </c>
      <c r="Q657" s="18" t="n"/>
      <c r="R657" s="27" t="n">
        <v>87691.42</v>
      </c>
      <c r="S657" s="27" t="n">
        <v>964605.61</v>
      </c>
      <c r="T657" s="27" t="n">
        <v>1001732.6</v>
      </c>
      <c r="U657" s="18" t="n">
        <v>9594.93235121904</v>
      </c>
      <c r="V657" s="18" t="n">
        <v>1368.283020064</v>
      </c>
      <c r="W657" s="21" t="n">
        <v>2024</v>
      </c>
      <c r="X657" s="103" t="n">
        <f aca="false" ca="false" dt2D="false" dtr="false" t="normal">483296.11-R342</f>
        <v>-114425.64000000001</v>
      </c>
      <c r="Y657" s="3" t="n">
        <f aca="false" ca="false" dt2D="false" dtr="false" t="normal">+(K657*10.5+L657*21)*12*0.85</f>
        <v>114425.64000000001</v>
      </c>
      <c r="Z657" s="3" t="n">
        <f aca="false" ca="false" dt2D="false" dtr="false" t="normal">+(K657*11.55+L657*23.1)*12*30</f>
        <v>4442407.2</v>
      </c>
      <c r="AA657" s="3" t="n">
        <f aca="false" ca="false" dt2D="false" dtr="false" t="normal">+N657-AB657</f>
        <v>0</v>
      </c>
      <c r="AB657" s="203" t="n">
        <f aca="false" ca="true" dt2D="false" dtr="false" t="normal">SUBTOTAL(9, AC657:AQ657)</f>
        <v>8347771.7</v>
      </c>
      <c r="AC657" s="17" t="n"/>
      <c r="AD657" s="18" t="n"/>
      <c r="AE657" s="18" t="n"/>
      <c r="AF657" s="18" t="n"/>
      <c r="AG657" s="18" t="n">
        <v>0</v>
      </c>
      <c r="AH657" s="18" t="n"/>
      <c r="AI657" s="17" t="n"/>
      <c r="AJ657" s="18" t="n">
        <v>0</v>
      </c>
      <c r="AK657" s="18" t="n"/>
      <c r="AL657" s="18" t="n">
        <v>0</v>
      </c>
      <c r="AM657" s="18" t="n">
        <v>8347771.7</v>
      </c>
      <c r="AN657" s="18" t="n"/>
      <c r="AO657" s="18" t="n"/>
      <c r="AP657" s="18" t="n"/>
      <c r="AQ657" s="185" t="n"/>
      <c r="AR657" s="186" t="n">
        <f aca="false" ca="false" dt2D="false" dtr="false" t="normal">COUNTIF(AC657:AN657, "&gt;0")</f>
        <v>1</v>
      </c>
      <c r="AU657" s="3" t="n"/>
    </row>
    <row ht="15.75" outlineLevel="0" r="658">
      <c r="A658" s="5" t="n">
        <f aca="false" ca="false" dt2D="false" dtr="false" t="normal">A657+1</f>
        <v>637</v>
      </c>
      <c r="B658" s="6" t="n">
        <f aca="false" ca="false" dt2D="false" dtr="false" t="normal">B657+1</f>
        <v>177</v>
      </c>
      <c r="C658" s="6" t="s">
        <v>356</v>
      </c>
      <c r="D658" s="6" t="s">
        <v>504</v>
      </c>
      <c r="E658" s="164" t="n">
        <v>1977</v>
      </c>
      <c r="F658" s="164" t="n">
        <v>1977</v>
      </c>
      <c r="G658" s="164" t="s">
        <v>4</v>
      </c>
      <c r="H658" s="164" t="n">
        <v>4</v>
      </c>
      <c r="I658" s="164" t="n">
        <v>1</v>
      </c>
      <c r="J658" s="18" t="n">
        <v>1491.2</v>
      </c>
      <c r="K658" s="18" t="n">
        <v>1247.2</v>
      </c>
      <c r="L658" s="18" t="n">
        <v>130.5</v>
      </c>
      <c r="M658" s="165" t="n">
        <v>31</v>
      </c>
      <c r="N658" s="16" t="n">
        <f aca="false" ca="false" dt2D="false" dtr="false" t="normal">P658+Q658+R658+S658+T658</f>
        <v>18936926.61</v>
      </c>
      <c r="O658" s="18" t="n"/>
      <c r="P658" s="18" t="n">
        <v>9857878.78</v>
      </c>
      <c r="Q658" s="18" t="n"/>
      <c r="R658" s="27" t="n">
        <v>703673.06</v>
      </c>
      <c r="S658" s="27" t="n">
        <v>6972661.94</v>
      </c>
      <c r="T658" s="27" t="n">
        <v>1402712.83</v>
      </c>
      <c r="U658" s="18" t="n">
        <v>15485.3380153853</v>
      </c>
      <c r="V658" s="18" t="n">
        <v>1377.283020064</v>
      </c>
      <c r="W658" s="21" t="n">
        <v>2024</v>
      </c>
      <c r="X658" s="103" t="e">
        <f aca="false" ca="false" dt2D="false" dtr="false" t="normal">549697.6-#REF!</f>
        <v>#REF!</v>
      </c>
      <c r="Y658" s="3" t="n">
        <f aca="false" ca="false" dt2D="false" dtr="false" t="normal">+(K658*10.5+L658*21)*12*0.85</f>
        <v>161528.22</v>
      </c>
      <c r="Z658" s="3" t="n">
        <f aca="false" ca="false" dt2D="false" dtr="false" t="normal">+(K658*11.55+L658*23.1)*12*30</f>
        <v>6271095.600000001</v>
      </c>
      <c r="AA658" s="3" t="n">
        <f aca="false" ca="false" dt2D="false" dtr="false" t="normal">+N658-AB658</f>
        <v>0</v>
      </c>
      <c r="AB658" s="203" t="n">
        <f aca="false" ca="true" dt2D="false" dtr="false" t="normal">SUBTOTAL(9, AC658:AQ658)</f>
        <v>18936926.61</v>
      </c>
      <c r="AC658" s="17" t="n">
        <v>4930681.49</v>
      </c>
      <c r="AD658" s="18" t="n">
        <v>2500963.51</v>
      </c>
      <c r="AE658" s="18" t="n">
        <v>1299925.64</v>
      </c>
      <c r="AF658" s="18" t="n">
        <v>946486.4</v>
      </c>
      <c r="AG658" s="18" t="n">
        <v>0</v>
      </c>
      <c r="AH658" s="18" t="n"/>
      <c r="AI658" s="17" t="n"/>
      <c r="AJ658" s="18" t="n">
        <v>0</v>
      </c>
      <c r="AK658" s="18" t="n">
        <v>8641835.74</v>
      </c>
      <c r="AL658" s="18" t="n"/>
      <c r="AM658" s="18" t="n"/>
      <c r="AN658" s="18" t="n">
        <v>617033.83</v>
      </c>
      <c r="AO658" s="18" t="n"/>
      <c r="AP658" s="18" t="n"/>
      <c r="AQ658" s="185" t="n"/>
      <c r="AR658" s="186" t="n">
        <f aca="false" ca="false" dt2D="false" dtr="false" t="normal">COUNTIF(AC658:AN658, "&gt;0")</f>
        <v>6</v>
      </c>
      <c r="AU658" s="3" t="n"/>
    </row>
    <row ht="15.75" outlineLevel="0" r="659">
      <c r="A659" s="5" t="n">
        <f aca="false" ca="false" dt2D="false" dtr="false" t="normal">A658+1</f>
        <v>638</v>
      </c>
      <c r="B659" s="6" t="n">
        <f aca="false" ca="false" dt2D="false" dtr="false" t="normal">B658+1</f>
        <v>178</v>
      </c>
      <c r="C659" s="6" t="s">
        <v>356</v>
      </c>
      <c r="D659" s="6" t="s">
        <v>507</v>
      </c>
      <c r="E659" s="164" t="n">
        <v>1979</v>
      </c>
      <c r="F659" s="164" t="n">
        <v>1979</v>
      </c>
      <c r="G659" s="164" t="s">
        <v>4</v>
      </c>
      <c r="H659" s="164" t="n">
        <v>5</v>
      </c>
      <c r="I659" s="164" t="n">
        <v>4</v>
      </c>
      <c r="J659" s="18" t="n">
        <v>3568.8</v>
      </c>
      <c r="K659" s="18" t="n">
        <v>2956.3</v>
      </c>
      <c r="L659" s="18" t="n">
        <v>398.4</v>
      </c>
      <c r="M659" s="165" t="n">
        <v>89</v>
      </c>
      <c r="N659" s="16" t="n">
        <f aca="false" ca="false" dt2D="false" dtr="false" t="normal">P659+Q659+R659+S659+T659</f>
        <v>24133734.93</v>
      </c>
      <c r="O659" s="18" t="n"/>
      <c r="P659" s="18" t="n">
        <v>7010637.04</v>
      </c>
      <c r="Q659" s="18" t="n"/>
      <c r="R659" s="27" t="n">
        <v>2046209.08</v>
      </c>
      <c r="S659" s="27" t="n">
        <v>14186718</v>
      </c>
      <c r="T659" s="27" t="n">
        <v>890170.81</v>
      </c>
      <c r="U659" s="18" t="n">
        <v>15637.8507161458</v>
      </c>
      <c r="V659" s="18" t="n">
        <v>1378.283020064</v>
      </c>
      <c r="W659" s="21" t="n">
        <v>2024</v>
      </c>
      <c r="X659" s="103" t="n">
        <v>1644252.07</v>
      </c>
      <c r="Y659" s="3" t="n">
        <f aca="false" ca="false" dt2D="false" dtr="false" t="normal">+(K659*10.5+L659*21)*12*0.85</f>
        <v>401957.01</v>
      </c>
      <c r="Z659" s="3" t="n">
        <f aca="false" ca="false" dt2D="false" dtr="false" t="normal">+(K659*11.55+L659*23.1)*12*30</f>
        <v>15605389.800000003</v>
      </c>
      <c r="AA659" s="3" t="n">
        <f aca="false" ca="false" dt2D="false" dtr="false" t="normal">+N659-AB659</f>
        <v>0</v>
      </c>
      <c r="AB659" s="203" t="n">
        <f aca="false" ca="true" dt2D="false" dtr="false" t="normal">SUBTOTAL(9, AC659:AQ659)</f>
        <v>24133734.93</v>
      </c>
      <c r="AC659" s="17" t="n">
        <v>6570890.96</v>
      </c>
      <c r="AD659" s="18" t="n">
        <v>4107289.9</v>
      </c>
      <c r="AE659" s="18" t="n">
        <v>2761050.92</v>
      </c>
      <c r="AF659" s="18" t="n">
        <v>1607542.18</v>
      </c>
      <c r="AG659" s="18" t="n">
        <v>0</v>
      </c>
      <c r="AH659" s="18" t="n"/>
      <c r="AI659" s="17" t="n"/>
      <c r="AJ659" s="18" t="n">
        <v>0</v>
      </c>
      <c r="AK659" s="18" t="n">
        <v>8901708.08</v>
      </c>
      <c r="AL659" s="18" t="n"/>
      <c r="AM659" s="18" t="n"/>
      <c r="AN659" s="18" t="n">
        <v>185252.89</v>
      </c>
      <c r="AO659" s="18" t="n"/>
      <c r="AP659" s="18" t="n"/>
      <c r="AQ659" s="185" t="n"/>
      <c r="AR659" s="186" t="n">
        <f aca="false" ca="false" dt2D="false" dtr="false" t="normal">COUNTIF(AC659:AN659, "&gt;0")</f>
        <v>6</v>
      </c>
      <c r="AU659" s="3" t="n"/>
    </row>
    <row ht="15.75" outlineLevel="0" r="660">
      <c r="A660" s="5" t="n">
        <f aca="false" ca="false" dt2D="false" dtr="false" t="normal">A659+1</f>
        <v>639</v>
      </c>
      <c r="B660" s="6" t="n">
        <f aca="false" ca="false" dt2D="false" dtr="false" t="normal">B659+1</f>
        <v>179</v>
      </c>
      <c r="C660" s="6" t="s">
        <v>356</v>
      </c>
      <c r="D660" s="6" t="s">
        <v>509</v>
      </c>
      <c r="E660" s="164" t="n">
        <v>1967</v>
      </c>
      <c r="F660" s="164" t="n">
        <v>1967</v>
      </c>
      <c r="G660" s="164" t="s">
        <v>4</v>
      </c>
      <c r="H660" s="164" t="n">
        <v>3</v>
      </c>
      <c r="I660" s="164" t="n">
        <v>2</v>
      </c>
      <c r="J660" s="18" t="n">
        <v>994.3</v>
      </c>
      <c r="K660" s="18" t="n">
        <v>775.2</v>
      </c>
      <c r="L660" s="18" t="n">
        <v>168.7</v>
      </c>
      <c r="M660" s="165" t="n">
        <v>26</v>
      </c>
      <c r="N660" s="16" t="n">
        <f aca="false" ca="false" dt2D="false" dtr="false" t="normal">P660+Q660+R660+S660+T660</f>
        <v>1288380.9</v>
      </c>
      <c r="O660" s="18" t="n"/>
      <c r="P660" s="18" t="n">
        <v>0</v>
      </c>
      <c r="Q660" s="18" t="n"/>
      <c r="R660" s="27" t="n">
        <v>131075.41</v>
      </c>
      <c r="S660" s="27" t="n">
        <v>889730.27</v>
      </c>
      <c r="T660" s="27" t="n">
        <v>267575.22</v>
      </c>
      <c r="U660" s="18" t="n">
        <v>1325.78203196453</v>
      </c>
      <c r="V660" s="18" t="n">
        <v>1325.78203196453</v>
      </c>
      <c r="W660" s="21" t="n">
        <v>2024</v>
      </c>
      <c r="Y660" s="3" t="n">
        <f aca="false" ca="false" dt2D="false" dtr="false" t="normal">+(K660*11.55+L660*23.1)*12*0.85</f>
        <v>131075.40600000002</v>
      </c>
      <c r="Z660" s="3" t="n">
        <f aca="false" ca="false" dt2D="false" dtr="false" t="normal">+(K660*11.55+L660*23.1)*12*30-'[1]Лист1'!$AQ$56</f>
        <v>611387.4200000009</v>
      </c>
      <c r="AA660" s="3" t="n">
        <f aca="false" ca="false" dt2D="false" dtr="false" t="normal">+N660-AB660</f>
        <v>0</v>
      </c>
      <c r="AB660" s="27" t="n">
        <f aca="false" ca="true" dt2D="false" dtr="false" t="normal">SUBTOTAL(9, AC660:AQ660)</f>
        <v>1288380.9</v>
      </c>
      <c r="AC660" s="17" t="n"/>
      <c r="AD660" s="18" t="n"/>
      <c r="AE660" s="18" t="n">
        <v>1288380.9</v>
      </c>
      <c r="AF660" s="18" t="n"/>
      <c r="AG660" s="18" t="n">
        <v>0</v>
      </c>
      <c r="AH660" s="18" t="n"/>
      <c r="AI660" s="17" t="n"/>
      <c r="AJ660" s="18" t="n">
        <v>0</v>
      </c>
      <c r="AK660" s="18" t="n"/>
      <c r="AL660" s="18" t="n">
        <v>0</v>
      </c>
      <c r="AM660" s="18" t="n"/>
      <c r="AN660" s="18" t="n"/>
      <c r="AO660" s="18" t="n"/>
      <c r="AP660" s="18" t="n"/>
      <c r="AQ660" s="185" t="n"/>
      <c r="AR660" s="186" t="n">
        <f aca="false" ca="false" dt2D="false" dtr="false" t="normal">COUNTIF(AC660:AN660, "&gt;0")</f>
        <v>1</v>
      </c>
      <c r="AU660" s="3" t="n"/>
    </row>
    <row ht="15.75" outlineLevel="0" r="661">
      <c r="A661" s="5" t="n">
        <f aca="false" ca="false" dt2D="false" dtr="false" t="normal">A660+1</f>
        <v>640</v>
      </c>
      <c r="B661" s="6" t="n">
        <f aca="false" ca="false" dt2D="false" dtr="false" t="normal">B660+1</f>
        <v>180</v>
      </c>
      <c r="C661" s="6" t="s">
        <v>356</v>
      </c>
      <c r="D661" s="6" t="s">
        <v>510</v>
      </c>
      <c r="E661" s="164" t="n">
        <v>1970</v>
      </c>
      <c r="F661" s="164" t="n">
        <v>1970</v>
      </c>
      <c r="G661" s="164" t="s">
        <v>4</v>
      </c>
      <c r="H661" s="164" t="n">
        <v>3</v>
      </c>
      <c r="I661" s="164" t="n">
        <v>3</v>
      </c>
      <c r="J661" s="18" t="n">
        <v>1002.4</v>
      </c>
      <c r="K661" s="18" t="n">
        <v>930.4</v>
      </c>
      <c r="L661" s="18" t="n">
        <v>71.8</v>
      </c>
      <c r="M661" s="165" t="n">
        <v>40</v>
      </c>
      <c r="N661" s="16" t="n">
        <f aca="false" ca="false" dt2D="false" dtr="false" t="normal">P661+Q661+R661+S661+T661</f>
        <v>9828015.81</v>
      </c>
      <c r="O661" s="18" t="n"/>
      <c r="P661" s="18" t="n">
        <v>8445512.11</v>
      </c>
      <c r="Q661" s="18" t="n"/>
      <c r="R661" s="27" t="n">
        <v>203141.8</v>
      </c>
      <c r="S661" s="27" t="n">
        <v>0</v>
      </c>
      <c r="T661" s="27" t="n">
        <v>1179361.9</v>
      </c>
      <c r="U661" s="18" t="n">
        <v>8823.14227608169</v>
      </c>
      <c r="V661" s="18" t="n">
        <v>1370.283020064</v>
      </c>
      <c r="W661" s="21" t="n">
        <v>2024</v>
      </c>
      <c r="X661" s="103" t="n">
        <f aca="false" ca="false" dt2D="false" dtr="false" t="normal">503547.06-R345</f>
        <v>-115025.39999999997</v>
      </c>
      <c r="Y661" s="3" t="n">
        <f aca="false" ca="false" dt2D="false" dtr="false" t="normal">+(K661*10.5+L661*21)*12*0.85</f>
        <v>115025.39999999997</v>
      </c>
      <c r="Z661" s="3" t="n">
        <f aca="false" ca="false" dt2D="false" dtr="false" t="normal">+(K661*11.55+L661*23.1)*12*30</f>
        <v>4465692.000000001</v>
      </c>
      <c r="AA661" s="3" t="n">
        <f aca="false" ca="false" dt2D="false" dtr="false" t="normal">+N661-AB661</f>
        <v>0</v>
      </c>
      <c r="AB661" s="203" t="n">
        <f aca="false" ca="true" dt2D="false" dtr="false" t="normal">SUBTOTAL(9, AC661:AQ661)</f>
        <v>9828015.81</v>
      </c>
      <c r="AC661" s="17" t="n"/>
      <c r="AD661" s="18" t="n"/>
      <c r="AE661" s="18" t="n"/>
      <c r="AF661" s="18" t="n"/>
      <c r="AG661" s="18" t="n">
        <v>0</v>
      </c>
      <c r="AH661" s="18" t="n"/>
      <c r="AI661" s="17" t="n"/>
      <c r="AJ661" s="18" t="n">
        <v>0</v>
      </c>
      <c r="AK661" s="18" t="n"/>
      <c r="AL661" s="18" t="n">
        <v>0</v>
      </c>
      <c r="AM661" s="18" t="n">
        <v>9828015.81</v>
      </c>
      <c r="AN661" s="18" t="n"/>
      <c r="AO661" s="18" t="n"/>
      <c r="AP661" s="18" t="n"/>
      <c r="AQ661" s="185" t="n"/>
      <c r="AR661" s="186" t="n">
        <f aca="false" ca="false" dt2D="false" dtr="false" t="normal">COUNTIF(AC661:AN661, "&gt;0")</f>
        <v>1</v>
      </c>
      <c r="AU661" s="3" t="n"/>
    </row>
    <row ht="15.75" outlineLevel="0" r="662">
      <c r="A662" s="5" t="n">
        <f aca="false" ca="false" dt2D="false" dtr="false" t="normal">A661+1</f>
        <v>641</v>
      </c>
      <c r="B662" s="6" t="n">
        <f aca="false" ca="false" dt2D="false" dtr="false" t="normal">B661+1</f>
        <v>181</v>
      </c>
      <c r="C662" s="6" t="s">
        <v>93</v>
      </c>
      <c r="D662" s="6" t="s">
        <v>513</v>
      </c>
      <c r="E662" s="164" t="n">
        <v>1999</v>
      </c>
      <c r="F662" s="164" t="n">
        <v>2006</v>
      </c>
      <c r="G662" s="164" t="s">
        <v>4</v>
      </c>
      <c r="H662" s="164" t="n">
        <v>9</v>
      </c>
      <c r="I662" s="164" t="n">
        <v>2</v>
      </c>
      <c r="J662" s="18" t="n">
        <v>4762.9</v>
      </c>
      <c r="K662" s="18" t="n">
        <v>4203.6</v>
      </c>
      <c r="L662" s="18" t="n">
        <v>0</v>
      </c>
      <c r="M662" s="165" t="n">
        <v>167</v>
      </c>
      <c r="N662" s="16" t="n">
        <f aca="false" ca="false" dt2D="false" dtr="false" t="normal">P662+Q662+R662+S662+T662</f>
        <v>6000036.890000001</v>
      </c>
      <c r="O662" s="18" t="n"/>
      <c r="P662" s="18" t="n">
        <v>0</v>
      </c>
      <c r="Q662" s="3" t="n"/>
      <c r="R662" s="27" t="n">
        <v>3356550.77</v>
      </c>
      <c r="S662" s="27" t="n">
        <v>2643486.12</v>
      </c>
      <c r="T662" s="27" t="n">
        <v>0</v>
      </c>
      <c r="U662" s="18" t="n">
        <v>2032.09154058426</v>
      </c>
      <c r="V662" s="18" t="n">
        <v>1382.283020064</v>
      </c>
      <c r="W662" s="21" t="n">
        <v>2024</v>
      </c>
      <c r="X662" s="103" t="n">
        <v>2824228.86</v>
      </c>
      <c r="Y662" s="3" t="n">
        <f aca="false" ca="false" dt2D="false" dtr="false" t="normal">+(K662*13.95+L662*23.65)*12*0.85</f>
        <v>598130.244</v>
      </c>
      <c r="Z662" s="3" t="n">
        <f aca="false" ca="false" dt2D="false" dtr="false" t="normal">+(K662*13.95+L662*23.65)*12*30</f>
        <v>21110479.2</v>
      </c>
      <c r="AA662" s="3" t="n">
        <f aca="false" ca="false" dt2D="false" dtr="false" t="normal">+N662-AB662</f>
        <v>0</v>
      </c>
      <c r="AB662" s="203" t="n">
        <f aca="false" ca="true" dt2D="false" dtr="false" t="normal">SUBTOTAL(9, AC662:AQ662)</f>
        <v>6000036.89</v>
      </c>
      <c r="AC662" s="17" t="n"/>
      <c r="AD662" s="18" t="n"/>
      <c r="AE662" s="18" t="n"/>
      <c r="AF662" s="18" t="n"/>
      <c r="AG662" s="18" t="n"/>
      <c r="AH662" s="18" t="n"/>
      <c r="AI662" s="17" t="n"/>
      <c r="AJ662" s="18" t="n">
        <v>5658352.89</v>
      </c>
      <c r="AK662" s="18" t="n"/>
      <c r="AL662" s="18" t="n"/>
      <c r="AM662" s="18" t="n"/>
      <c r="AN662" s="18" t="n"/>
      <c r="AO662" s="18" t="n">
        <v>256263</v>
      </c>
      <c r="AP662" s="18" t="n">
        <v>85421</v>
      </c>
      <c r="AQ662" s="185" t="n"/>
      <c r="AR662" s="186" t="n">
        <f aca="false" ca="false" dt2D="false" dtr="false" t="normal">COUNTIF(AC662:AN662, "&gt;0")</f>
        <v>1</v>
      </c>
      <c r="AU662" s="3" t="n"/>
    </row>
    <row customFormat="true" ht="15.75" outlineLevel="0" r="663" s="184">
      <c r="A663" s="5" t="n">
        <f aca="false" ca="false" dt2D="false" dtr="false" t="normal">A662+1</f>
        <v>642</v>
      </c>
      <c r="B663" s="6" t="n">
        <f aca="false" ca="false" dt2D="false" dtr="false" t="normal">B662+1</f>
        <v>182</v>
      </c>
      <c r="C663" s="6" t="s">
        <v>93</v>
      </c>
      <c r="D663" s="6" t="s">
        <v>514</v>
      </c>
      <c r="E663" s="164" t="s">
        <v>373</v>
      </c>
      <c r="F663" s="164" t="n"/>
      <c r="G663" s="164" t="s">
        <v>4</v>
      </c>
      <c r="H663" s="164" t="s">
        <v>150</v>
      </c>
      <c r="I663" s="164" t="s">
        <v>5</v>
      </c>
      <c r="J663" s="18" t="n">
        <v>4698.7</v>
      </c>
      <c r="K663" s="18" t="n">
        <v>4088</v>
      </c>
      <c r="L663" s="18" t="n">
        <v>0</v>
      </c>
      <c r="M663" s="165" t="n">
        <v>152</v>
      </c>
      <c r="N663" s="16" t="n">
        <f aca="false" ca="false" dt2D="false" dtr="false" t="normal">P663+Q663+R663+S663+T663</f>
        <v>6498674.34</v>
      </c>
      <c r="O663" s="18" t="n">
        <v>0</v>
      </c>
      <c r="P663" s="18" t="n">
        <v>0</v>
      </c>
      <c r="Q663" s="18" t="n"/>
      <c r="R663" s="27" t="n">
        <v>3098270.01</v>
      </c>
      <c r="S663" s="27" t="n">
        <v>3371670.15</v>
      </c>
      <c r="T663" s="27" t="n">
        <v>28734.18</v>
      </c>
      <c r="U663" s="18" t="n">
        <v>3424.07610056849</v>
      </c>
      <c r="V663" s="18" t="n">
        <v>1383.283020064</v>
      </c>
      <c r="W663" s="21" t="n">
        <v>2024</v>
      </c>
      <c r="X663" s="192" t="n">
        <v>0</v>
      </c>
      <c r="Y663" s="3" t="n">
        <f aca="false" ca="false" dt2D="false" dtr="false" t="normal">+(K663*15.35+L663*26.02)*12*0.85</f>
        <v>640058.1599999999</v>
      </c>
      <c r="Z663" s="3" t="n">
        <f aca="false" ca="false" dt2D="false" dtr="false" t="normal">+(K663*15.35+L663*26.02)*12*30-'[1]Лист1'!$AQ$67</f>
        <v>21522691.13</v>
      </c>
      <c r="AA663" s="3" t="n">
        <f aca="false" ca="false" dt2D="false" dtr="false" t="normal">+N663-AB663</f>
        <v>0</v>
      </c>
      <c r="AB663" s="203" t="n">
        <f aca="false" ca="true" dt2D="false" dtr="false" t="normal">SUBTOTAL(9, AC663:AQ663)</f>
        <v>6498674.34</v>
      </c>
      <c r="AC663" s="17" t="n"/>
      <c r="AD663" s="18" t="n"/>
      <c r="AE663" s="18" t="n">
        <v>3308493.9</v>
      </c>
      <c r="AF663" s="18" t="n"/>
      <c r="AG663" s="18" t="n"/>
      <c r="AH663" s="18" t="n"/>
      <c r="AI663" s="17" t="n"/>
      <c r="AJ663" s="18" t="n">
        <v>2848496.44</v>
      </c>
      <c r="AK663" s="18" t="n"/>
      <c r="AL663" s="18" t="n"/>
      <c r="AM663" s="18" t="n"/>
      <c r="AN663" s="18" t="n"/>
      <c r="AO663" s="18" t="n">
        <v>256263</v>
      </c>
      <c r="AP663" s="18" t="n">
        <v>85421</v>
      </c>
      <c r="AQ663" s="185" t="n"/>
      <c r="AR663" s="186" t="n">
        <f aca="false" ca="false" dt2D="false" dtr="false" t="normal">COUNTIF(AC663:AN663, "&gt;0")</f>
        <v>2</v>
      </c>
      <c r="AT663" s="187" t="n"/>
      <c r="AU663" s="3" t="n"/>
    </row>
    <row ht="15.75" outlineLevel="0" r="664">
      <c r="A664" s="5" t="n">
        <f aca="false" ca="false" dt2D="false" dtr="false" t="normal">A663+1</f>
        <v>643</v>
      </c>
      <c r="B664" s="6" t="n">
        <f aca="false" ca="false" dt2D="false" dtr="false" t="normal">B663+1</f>
        <v>183</v>
      </c>
      <c r="C664" s="6" t="s">
        <v>93</v>
      </c>
      <c r="D664" s="6" t="s">
        <v>94</v>
      </c>
      <c r="E664" s="164" t="n">
        <v>1994</v>
      </c>
      <c r="F664" s="164" t="n">
        <v>2015</v>
      </c>
      <c r="G664" s="164" t="s">
        <v>4</v>
      </c>
      <c r="H664" s="164" t="n">
        <v>9</v>
      </c>
      <c r="I664" s="164" t="n">
        <v>4</v>
      </c>
      <c r="J664" s="18" t="n">
        <v>9059.3</v>
      </c>
      <c r="K664" s="18" t="n">
        <v>7958.2</v>
      </c>
      <c r="L664" s="18" t="n">
        <v>49</v>
      </c>
      <c r="M664" s="165" t="n">
        <v>376</v>
      </c>
      <c r="N664" s="16" t="n">
        <f aca="false" ca="false" dt2D="false" dtr="false" t="normal">P664+Q664+R664+S664+T664</f>
        <v>40690271.54</v>
      </c>
      <c r="O664" s="18" t="n"/>
      <c r="P664" s="18" t="n">
        <v>5879369.04</v>
      </c>
      <c r="Q664" s="18" t="n"/>
      <c r="R664" s="27" t="n">
        <v>2742111.27</v>
      </c>
      <c r="S664" s="27" t="n">
        <v>29161800.23</v>
      </c>
      <c r="T664" s="27" t="n">
        <v>2906991</v>
      </c>
      <c r="U664" s="18" t="n">
        <v>6396.96184668109</v>
      </c>
      <c r="V664" s="18" t="n">
        <v>1384.283020064</v>
      </c>
      <c r="W664" s="21" t="n">
        <v>2024</v>
      </c>
      <c r="X664" s="103" t="n">
        <f aca="false" ca="false" dt2D="false" dtr="false" t="normal">5650783.47-5939473.29-R349</f>
        <v>-540177.9600000003</v>
      </c>
      <c r="Y664" s="3" t="n">
        <f aca="false" ca="false" dt2D="false" dtr="false" t="normal">+(K664*13.95+L664*23.65)*12*0.85</f>
        <v>1144192.548</v>
      </c>
      <c r="Z664" s="3" t="n">
        <f aca="false" ca="false" dt2D="false" dtr="false" t="normal">+(K664*13.95+L664*23.65)*12*30-S349</f>
        <v>37804530.199999996</v>
      </c>
      <c r="AA664" s="3" t="n">
        <f aca="false" ca="false" dt2D="false" dtr="false" t="normal">+N664-AB664</f>
        <v>0</v>
      </c>
      <c r="AB664" s="203" t="n">
        <f aca="false" ca="true" dt2D="false" dtr="false" t="normal">SUBTOTAL(9, AC664:AQ664)</f>
        <v>40690271.54</v>
      </c>
      <c r="AC664" s="17" t="n">
        <v>15222037.56</v>
      </c>
      <c r="AD664" s="18" t="n">
        <v>12234264.95</v>
      </c>
      <c r="AE664" s="18" t="n"/>
      <c r="AF664" s="18" t="n">
        <v>7411843.32</v>
      </c>
      <c r="AG664" s="18" t="n">
        <v>0</v>
      </c>
      <c r="AH664" s="18" t="n"/>
      <c r="AI664" s="17" t="n"/>
      <c r="AJ664" s="18" t="n">
        <v>5658352.88</v>
      </c>
      <c r="AK664" s="18" t="n">
        <v>0</v>
      </c>
      <c r="AL664" s="18" t="n">
        <v>0</v>
      </c>
      <c r="AM664" s="18" t="n"/>
      <c r="AN664" s="18" t="n">
        <v>0</v>
      </c>
      <c r="AO664" s="18" t="n">
        <v>126233.29</v>
      </c>
      <c r="AP664" s="18" t="n">
        <v>37539.54</v>
      </c>
      <c r="AQ664" s="185" t="n"/>
      <c r="AR664" s="186" t="n">
        <f aca="false" ca="false" dt2D="false" dtr="false" t="normal">COUNTIF(AC664:AN664, "&gt;0")</f>
        <v>4</v>
      </c>
      <c r="AU664" s="3" t="n"/>
    </row>
    <row ht="15.75" outlineLevel="0" r="665">
      <c r="A665" s="5" t="n">
        <f aca="false" ca="false" dt2D="false" dtr="false" t="normal">A664+1</f>
        <v>644</v>
      </c>
      <c r="B665" s="6" t="n">
        <f aca="false" ca="false" dt2D="false" dtr="false" t="normal">B664+1</f>
        <v>184</v>
      </c>
      <c r="C665" s="138" t="s">
        <v>93</v>
      </c>
      <c r="D665" s="138" t="s">
        <v>96</v>
      </c>
      <c r="E665" s="139" t="n">
        <v>1989</v>
      </c>
      <c r="F665" s="139" t="n">
        <v>2014</v>
      </c>
      <c r="G665" s="139" t="s">
        <v>4</v>
      </c>
      <c r="H665" s="139" t="n">
        <v>9</v>
      </c>
      <c r="I665" s="139" t="n">
        <v>3</v>
      </c>
      <c r="J665" s="17" t="n">
        <v>6626.1</v>
      </c>
      <c r="K665" s="17" t="n">
        <v>6102.5</v>
      </c>
      <c r="L665" s="17" t="n">
        <v>67.8</v>
      </c>
      <c r="M665" s="140" t="n">
        <v>265</v>
      </c>
      <c r="N665" s="16" t="n">
        <f aca="false" ca="false" dt2D="false" dtr="false" t="normal">P665+Q665+R665+S665+T665</f>
        <v>14975164.809999999</v>
      </c>
      <c r="O665" s="18" t="n"/>
      <c r="P665" s="18" t="n">
        <v>0</v>
      </c>
      <c r="Q665" s="18" t="n"/>
      <c r="R665" s="27" t="n">
        <v>973462.82</v>
      </c>
      <c r="S665" s="27" t="n">
        <v>4793514.88</v>
      </c>
      <c r="T665" s="27" t="n">
        <v>9208187.11</v>
      </c>
      <c r="U665" s="18" t="n">
        <v>3812.05941023567</v>
      </c>
      <c r="V665" s="18" t="n">
        <v>3812.05941023567</v>
      </c>
      <c r="W665" s="21" t="n">
        <v>2024</v>
      </c>
      <c r="X665" s="103" t="n"/>
      <c r="Y665" s="3" t="n">
        <f aca="false" ca="false" dt2D="false" dtr="false" t="normal">+(K665*15.35+L665*26.02)*12*0.85</f>
        <v>973462.8162</v>
      </c>
      <c r="Z665" s="3" t="n">
        <f aca="false" ca="false" dt2D="false" dtr="false" t="normal">+(K665*15.35+L665*26.02)*12*30-'[1]Лист1'!$AQ$69</f>
        <v>4793514.879999995</v>
      </c>
      <c r="AA665" s="3" t="n">
        <f aca="false" ca="false" dt2D="false" dtr="false" t="normal">+N665-AB665</f>
        <v>0</v>
      </c>
      <c r="AB665" s="27" t="n">
        <f aca="false" ca="true" dt2D="false" dtr="false" t="normal">SUBTOTAL(9, AC665:AQ665)</f>
        <v>14975164.81</v>
      </c>
      <c r="AC665" s="17" t="n">
        <v>14975164.81</v>
      </c>
      <c r="AD665" s="18" t="n"/>
      <c r="AE665" s="18" t="n"/>
      <c r="AF665" s="18" t="n"/>
      <c r="AG665" s="18" t="n">
        <v>0</v>
      </c>
      <c r="AH665" s="18" t="n"/>
      <c r="AI665" s="17" t="n"/>
      <c r="AJ665" s="18" t="n">
        <v>0</v>
      </c>
      <c r="AK665" s="18" t="n"/>
      <c r="AL665" s="18" t="n">
        <v>0</v>
      </c>
      <c r="AM665" s="18" t="n"/>
      <c r="AN665" s="18" t="n"/>
      <c r="AO665" s="18" t="n"/>
      <c r="AP665" s="18" t="n"/>
      <c r="AQ665" s="185" t="n"/>
      <c r="AR665" s="186" t="n">
        <f aca="false" ca="false" dt2D="false" dtr="false" t="normal">COUNTIF(AC665:AN665, "&gt;0")</f>
        <v>1</v>
      </c>
      <c r="AU665" s="3" t="n"/>
    </row>
    <row ht="15.75" outlineLevel="0" r="666">
      <c r="A666" s="5" t="n">
        <f aca="false" ca="false" dt2D="false" dtr="false" t="normal">A665+1</f>
        <v>645</v>
      </c>
      <c r="B666" s="6" t="n">
        <f aca="false" ca="false" dt2D="false" dtr="false" t="normal">B665+1</f>
        <v>185</v>
      </c>
      <c r="C666" s="6" t="s">
        <v>93</v>
      </c>
      <c r="D666" s="6" t="s">
        <v>516</v>
      </c>
      <c r="E666" s="164" t="n">
        <v>1974</v>
      </c>
      <c r="F666" s="164" t="n">
        <v>2004</v>
      </c>
      <c r="G666" s="164" t="s">
        <v>4</v>
      </c>
      <c r="H666" s="164" t="n">
        <v>9</v>
      </c>
      <c r="I666" s="164" t="n">
        <v>1</v>
      </c>
      <c r="J666" s="18" t="n">
        <v>2145.6</v>
      </c>
      <c r="K666" s="18" t="n">
        <v>1882.91</v>
      </c>
      <c r="L666" s="18" t="n">
        <v>0</v>
      </c>
      <c r="M666" s="165" t="n">
        <v>77</v>
      </c>
      <c r="N666" s="16" t="n">
        <f aca="false" ca="false" dt2D="false" dtr="false" t="normal">P666+Q666+R666+S666+T666</f>
        <v>11923021.940000001</v>
      </c>
      <c r="O666" s="18" t="n"/>
      <c r="P666" s="18" t="n">
        <v>1381245.43</v>
      </c>
      <c r="Q666" s="18" t="n"/>
      <c r="R666" s="27" t="n">
        <v>914158.27</v>
      </c>
      <c r="S666" s="27" t="n">
        <v>9627618.24</v>
      </c>
      <c r="T666" s="27" t="n">
        <v>0</v>
      </c>
      <c r="U666" s="18" t="n">
        <v>7750.18153007844</v>
      </c>
      <c r="V666" s="18" t="n">
        <v>7750.18153007844</v>
      </c>
      <c r="W666" s="21" t="n">
        <v>2024</v>
      </c>
      <c r="X666" s="1" t="n">
        <v>418484.04</v>
      </c>
      <c r="Y666" s="3" t="n">
        <f aca="false" ca="false" dt2D="false" dtr="false" t="normal">+(K666*15.35+L666*26.02)*12*0.85</f>
        <v>294807.21869999997</v>
      </c>
      <c r="Z666" s="3" t="n">
        <f aca="false" ca="false" dt2D="false" dtr="false" t="normal">+(K666*15.35+L666*26.02)*12*30</f>
        <v>10404960.66</v>
      </c>
      <c r="AA666" s="3" t="n">
        <f aca="false" ca="false" dt2D="false" dtr="false" t="normal">+N666-AB666</f>
        <v>0</v>
      </c>
      <c r="AB666" s="27" t="n">
        <f aca="false" ca="true" dt2D="false" dtr="false" t="normal">SUBTOTAL(9, AC666:AQ666)</f>
        <v>11923021.939999998</v>
      </c>
      <c r="AC666" s="17" t="n">
        <v>5093944.38</v>
      </c>
      <c r="AD666" s="18" t="n">
        <v>3116108.31</v>
      </c>
      <c r="AE666" s="18" t="n">
        <v>1578977.96</v>
      </c>
      <c r="AF666" s="18" t="n">
        <v>2133991.29</v>
      </c>
      <c r="AG666" s="18" t="n">
        <v>0</v>
      </c>
      <c r="AH666" s="18" t="n"/>
      <c r="AI666" s="17" t="n"/>
      <c r="AJ666" s="18" t="n">
        <v>0</v>
      </c>
      <c r="AK666" s="18" t="n"/>
      <c r="AL666" s="18" t="n">
        <v>0</v>
      </c>
      <c r="AM666" s="18" t="n">
        <v>0</v>
      </c>
      <c r="AN666" s="18" t="n">
        <v>0</v>
      </c>
      <c r="AO666" s="18" t="n"/>
      <c r="AP666" s="18" t="n"/>
      <c r="AQ666" s="185" t="n"/>
      <c r="AR666" s="186" t="n">
        <f aca="false" ca="false" dt2D="false" dtr="false" t="normal">COUNTIF(AC666:AN666, "&gt;0")</f>
        <v>4</v>
      </c>
      <c r="AU666" s="3" t="n"/>
    </row>
    <row ht="15.75" outlineLevel="0" r="667">
      <c r="A667" s="5" t="n">
        <f aca="false" ca="false" dt2D="false" dtr="false" t="normal">A666+1</f>
        <v>646</v>
      </c>
      <c r="B667" s="6" t="n">
        <f aca="false" ca="false" dt2D="false" dtr="false" t="normal">B666+1</f>
        <v>186</v>
      </c>
      <c r="C667" s="6" t="s">
        <v>93</v>
      </c>
      <c r="D667" s="6" t="s">
        <v>517</v>
      </c>
      <c r="E667" s="164" t="n">
        <v>1974</v>
      </c>
      <c r="F667" s="164" t="n">
        <v>2013</v>
      </c>
      <c r="G667" s="164" t="s">
        <v>4</v>
      </c>
      <c r="H667" s="164" t="n">
        <v>9</v>
      </c>
      <c r="I667" s="164" t="n">
        <v>1</v>
      </c>
      <c r="J667" s="18" t="n">
        <v>2145.6</v>
      </c>
      <c r="K667" s="18" t="n">
        <v>1951.96</v>
      </c>
      <c r="L667" s="18" t="n">
        <v>44</v>
      </c>
      <c r="M667" s="165" t="n">
        <v>70</v>
      </c>
      <c r="N667" s="16" t="n">
        <f aca="false" ca="false" dt2D="false" dtr="false" t="normal">P667+Q667+R667+S667+T667</f>
        <v>2750988.65</v>
      </c>
      <c r="O667" s="18" t="n"/>
      <c r="P667" s="18" t="n">
        <v>0</v>
      </c>
      <c r="Q667" s="18" t="n"/>
      <c r="R667" s="27" t="n">
        <v>1689336.35</v>
      </c>
      <c r="S667" s="27" t="n">
        <v>716096.69</v>
      </c>
      <c r="T667" s="27" t="n">
        <v>345555.61</v>
      </c>
      <c r="U667" s="18" t="n">
        <v>1180.96648496895</v>
      </c>
      <c r="V667" s="18" t="n">
        <v>1385.283020064</v>
      </c>
      <c r="W667" s="21" t="n">
        <v>2024</v>
      </c>
      <c r="X667" s="103" t="n">
        <v>0</v>
      </c>
      <c r="Y667" s="3" t="n">
        <f aca="false" ca="false" dt2D="false" dtr="false" t="normal">+(K667*15.35+L667*26.02)*12*0.85</f>
        <v>317296.1532</v>
      </c>
      <c r="Z667" s="3" t="n">
        <f aca="false" ca="false" dt2D="false" dtr="false" t="normal">+(K667*15.35+L667*26.02)*12*30-'[1]Лист1'!$AQ$71</f>
        <v>11011370.12</v>
      </c>
      <c r="AA667" s="3" t="n">
        <f aca="false" ca="false" dt2D="false" dtr="false" t="normal">+N667-AB667</f>
        <v>0</v>
      </c>
      <c r="AB667" s="203" t="n">
        <f aca="false" ca="true" dt2D="false" dtr="false" t="normal">SUBTOTAL(9, AC667:AQ667)</f>
        <v>2750988.65</v>
      </c>
      <c r="AC667" s="17" t="n">
        <v>0</v>
      </c>
      <c r="AD667" s="18" t="n">
        <v>0</v>
      </c>
      <c r="AE667" s="18" t="n">
        <v>0</v>
      </c>
      <c r="AF667" s="18" t="n">
        <v>0</v>
      </c>
      <c r="AG667" s="18" t="n">
        <v>0</v>
      </c>
      <c r="AH667" s="18" t="n"/>
      <c r="AI667" s="17" t="n"/>
      <c r="AJ667" s="18" t="n">
        <v>0</v>
      </c>
      <c r="AK667" s="18" t="n">
        <v>2750988.65</v>
      </c>
      <c r="AL667" s="18" t="n">
        <v>0</v>
      </c>
      <c r="AM667" s="18" t="n">
        <v>0</v>
      </c>
      <c r="AN667" s="18" t="n">
        <v>0</v>
      </c>
      <c r="AO667" s="18" t="n"/>
      <c r="AP667" s="18" t="n"/>
      <c r="AQ667" s="185" t="n"/>
      <c r="AR667" s="186" t="n">
        <f aca="false" ca="false" dt2D="false" dtr="false" t="normal">COUNTIF(AC667:AN667, "&gt;0")</f>
        <v>1</v>
      </c>
      <c r="AU667" s="3" t="n"/>
    </row>
    <row ht="15.75" outlineLevel="0" r="668">
      <c r="A668" s="5" t="n">
        <f aca="false" ca="false" dt2D="false" dtr="false" t="normal">A667+1</f>
        <v>647</v>
      </c>
      <c r="B668" s="6" t="n">
        <f aca="false" ca="false" dt2D="false" dtr="false" t="normal">B667+1</f>
        <v>187</v>
      </c>
      <c r="C668" s="6" t="s">
        <v>93</v>
      </c>
      <c r="D668" s="6" t="s">
        <v>518</v>
      </c>
      <c r="E668" s="164" t="n">
        <v>1973</v>
      </c>
      <c r="F668" s="164" t="n">
        <v>2004</v>
      </c>
      <c r="G668" s="164" t="s">
        <v>4</v>
      </c>
      <c r="H668" s="164" t="n">
        <v>9</v>
      </c>
      <c r="I668" s="164" t="n">
        <v>1</v>
      </c>
      <c r="J668" s="18" t="n">
        <v>2255.5</v>
      </c>
      <c r="K668" s="18" t="n">
        <v>1988.05</v>
      </c>
      <c r="L668" s="18" t="n">
        <v>0</v>
      </c>
      <c r="M668" s="165" t="n">
        <v>92</v>
      </c>
      <c r="N668" s="16" t="n">
        <f aca="false" ca="false" dt2D="false" dtr="false" t="normal">P668+Q668+R668+S668+T668</f>
        <v>2948350.34</v>
      </c>
      <c r="O668" s="18" t="n"/>
      <c r="P668" s="18" t="n">
        <v>0</v>
      </c>
      <c r="Q668" s="18" t="n"/>
      <c r="R668" s="27" t="n">
        <v>1319011.73</v>
      </c>
      <c r="S668" s="27" t="n">
        <v>1099496.49</v>
      </c>
      <c r="T668" s="27" t="n">
        <v>529842.12</v>
      </c>
      <c r="U668" s="18" t="n">
        <v>1243.12572621413</v>
      </c>
      <c r="V668" s="18" t="n">
        <v>1243.12572621413</v>
      </c>
      <c r="W668" s="21" t="n">
        <v>2024</v>
      </c>
      <c r="X668" s="1" t="n">
        <v>0</v>
      </c>
      <c r="Y668" s="3" t="n">
        <f aca="false" ca="false" dt2D="false" dtr="false" t="normal">+(K668*15.35+L668*26.02)*12*0.85</f>
        <v>311268.9884999999</v>
      </c>
      <c r="Z668" s="3" t="n">
        <f aca="false" ca="false" dt2D="false" dtr="false" t="normal">+(K668*15.35+L668*26.02)*12*30-'[1]Лист1'!$AQ$72</f>
        <v>10731614.729999999</v>
      </c>
      <c r="AA668" s="3" t="n">
        <f aca="false" ca="false" dt2D="false" dtr="false" t="normal">+N668-AB668</f>
        <v>0</v>
      </c>
      <c r="AB668" s="27" t="n">
        <f aca="false" ca="true" dt2D="false" dtr="false" t="normal">SUBTOTAL(9, AC668:AQ668)</f>
        <v>2948350.34</v>
      </c>
      <c r="AC668" s="17" t="n">
        <v>0</v>
      </c>
      <c r="AD668" s="18" t="n">
        <v>0</v>
      </c>
      <c r="AE668" s="18" t="n">
        <v>0</v>
      </c>
      <c r="AF668" s="18" t="n">
        <v>0</v>
      </c>
      <c r="AG668" s="18" t="n">
        <v>0</v>
      </c>
      <c r="AH668" s="18" t="n"/>
      <c r="AI668" s="17" t="n"/>
      <c r="AJ668" s="18" t="n">
        <v>0</v>
      </c>
      <c r="AK668" s="18" t="n">
        <v>2948350.34</v>
      </c>
      <c r="AL668" s="18" t="n">
        <v>0</v>
      </c>
      <c r="AM668" s="18" t="n">
        <v>0</v>
      </c>
      <c r="AN668" s="18" t="n">
        <v>0</v>
      </c>
      <c r="AO668" s="18" t="n"/>
      <c r="AP668" s="18" t="n"/>
      <c r="AQ668" s="185" t="n"/>
      <c r="AR668" s="186" t="n">
        <f aca="false" ca="false" dt2D="false" dtr="false" t="normal">COUNTIF(AC668:AN668, "&gt;0")</f>
        <v>1</v>
      </c>
      <c r="AU668" s="3" t="n"/>
    </row>
    <row ht="15.75" outlineLevel="0" r="669">
      <c r="A669" s="5" t="n">
        <f aca="false" ca="false" dt2D="false" dtr="false" t="normal">A668+1</f>
        <v>648</v>
      </c>
      <c r="B669" s="6" t="n">
        <f aca="false" ca="false" dt2D="false" dtr="false" t="normal">B668+1</f>
        <v>188</v>
      </c>
      <c r="C669" s="6" t="s">
        <v>93</v>
      </c>
      <c r="D669" s="6" t="s">
        <v>519</v>
      </c>
      <c r="E669" s="164" t="n">
        <v>1971</v>
      </c>
      <c r="F669" s="164" t="n">
        <v>1971</v>
      </c>
      <c r="G669" s="164" t="s">
        <v>4</v>
      </c>
      <c r="H669" s="164" t="n">
        <v>4</v>
      </c>
      <c r="I669" s="164" t="n">
        <v>2</v>
      </c>
      <c r="J669" s="18" t="n">
        <v>1403.6</v>
      </c>
      <c r="K669" s="18" t="n">
        <v>1280.1</v>
      </c>
      <c r="L669" s="18" t="n">
        <v>42.7</v>
      </c>
      <c r="M669" s="165" t="n">
        <v>67</v>
      </c>
      <c r="N669" s="16" t="n">
        <f aca="false" ca="false" dt2D="false" dtr="false" t="normal">P669+Q669+R669+S669+T669</f>
        <v>1457623.5499999998</v>
      </c>
      <c r="O669" s="18" t="n"/>
      <c r="P669" s="18" t="n">
        <v>0</v>
      </c>
      <c r="Q669" s="18" t="n"/>
      <c r="R669" s="27" t="n">
        <v>751172.9</v>
      </c>
      <c r="S669" s="27" t="n">
        <v>627206.44</v>
      </c>
      <c r="T669" s="27" t="n">
        <v>79244.21</v>
      </c>
      <c r="U669" s="18" t="n">
        <v>4915.50928747394</v>
      </c>
      <c r="V669" s="18" t="n">
        <v>1393.283020064</v>
      </c>
      <c r="W669" s="21" t="n">
        <v>2024</v>
      </c>
      <c r="X669" s="12" t="n">
        <v>590303.34</v>
      </c>
      <c r="Y669" s="3" t="n">
        <f aca="false" ca="false" dt2D="false" dtr="false" t="normal">+(K669*11.55+L669*23.1)*12*0.85</f>
        <v>160869.55500000002</v>
      </c>
      <c r="Z669" s="3" t="n">
        <f aca="false" ca="false" dt2D="false" dtr="false" t="normal">+(K669*11.55+L669*23.1)*12*30</f>
        <v>5677749.000000001</v>
      </c>
      <c r="AA669" s="3" t="n">
        <f aca="false" ca="false" dt2D="false" dtr="false" t="normal">+N669-AB669</f>
        <v>-3315807.1800000006</v>
      </c>
      <c r="AB669" s="203" t="n">
        <f aca="false" ca="true" dt2D="false" dtr="false" t="normal">SUBTOTAL(9, AC669:AQ669)</f>
        <v>4773430.73</v>
      </c>
      <c r="AC669" s="17" t="n">
        <v>4773430.73</v>
      </c>
      <c r="AD669" s="18" t="n"/>
      <c r="AE669" s="18" t="n">
        <v>0</v>
      </c>
      <c r="AF669" s="18" t="n"/>
      <c r="AG669" s="18" t="n">
        <v>0</v>
      </c>
      <c r="AH669" s="18" t="n"/>
      <c r="AI669" s="17" t="n"/>
      <c r="AJ669" s="18" t="n">
        <v>0</v>
      </c>
      <c r="AK669" s="18" t="n"/>
      <c r="AL669" s="18" t="n"/>
      <c r="AM669" s="18" t="n"/>
      <c r="AN669" s="18" t="n"/>
      <c r="AO669" s="18" t="n"/>
      <c r="AP669" s="18" t="n"/>
      <c r="AQ669" s="185" t="n"/>
      <c r="AR669" s="186" t="n">
        <f aca="false" ca="false" dt2D="false" dtr="false" t="normal">COUNTIF(AC669:AN669, "&gt;0")</f>
        <v>1</v>
      </c>
      <c r="AU669" s="3" t="n"/>
    </row>
    <row customFormat="true" ht="15.75" outlineLevel="0" r="670" s="213">
      <c r="A670" s="5" t="n">
        <f aca="false" ca="false" dt2D="false" dtr="false" t="normal">A669+1</f>
        <v>649</v>
      </c>
      <c r="B670" s="6" t="n">
        <f aca="false" ca="false" dt2D="false" dtr="false" t="normal">B669+1</f>
        <v>189</v>
      </c>
      <c r="C670" s="6" t="s">
        <v>93</v>
      </c>
      <c r="D670" s="6" t="s">
        <v>520</v>
      </c>
      <c r="E670" s="164" t="n">
        <v>1993</v>
      </c>
      <c r="F670" s="164" t="n">
        <v>2009</v>
      </c>
      <c r="G670" s="164" t="s">
        <v>4</v>
      </c>
      <c r="H670" s="164" t="n">
        <v>9</v>
      </c>
      <c r="I670" s="164" t="n">
        <v>1</v>
      </c>
      <c r="J670" s="18" t="n">
        <v>2345</v>
      </c>
      <c r="K670" s="18" t="n">
        <v>1959.1</v>
      </c>
      <c r="L670" s="18" t="n">
        <v>0</v>
      </c>
      <c r="M670" s="165" t="n">
        <v>80</v>
      </c>
      <c r="N670" s="16" t="n">
        <f aca="false" ca="false" dt2D="false" dtr="false" t="normal">P670+Q670+R670+S670+T670</f>
        <v>4773430.73</v>
      </c>
      <c r="O670" s="18" t="n"/>
      <c r="P670" s="18" t="n">
        <v>0</v>
      </c>
      <c r="Q670" s="18" t="n"/>
      <c r="R670" s="27" t="n">
        <v>306736.29</v>
      </c>
      <c r="S670" s="27" t="n">
        <v>3242325.48</v>
      </c>
      <c r="T670" s="27" t="n">
        <v>1224368.96</v>
      </c>
      <c r="U670" s="18" t="n">
        <v>5613.63290560461</v>
      </c>
      <c r="V670" s="18" t="n">
        <v>1394.283020064</v>
      </c>
      <c r="W670" s="212" t="n">
        <v>2024</v>
      </c>
      <c r="X670" s="214" t="n">
        <v>0</v>
      </c>
      <c r="Y670" s="215" t="n">
        <f aca="false" ca="false" dt2D="false" dtr="false" t="normal">+(K670*15.35+L670*26.02)*12*0.85</f>
        <v>306736.28699999995</v>
      </c>
      <c r="Z670" s="215" t="n">
        <f aca="false" ca="false" dt2D="false" dtr="false" t="normal">+(K670*15.35+L670*26.02)*12*30-'[1]Лист1'!$AQ$73</f>
        <v>8694072.76</v>
      </c>
      <c r="AA670" s="215" t="n">
        <f aca="false" ca="false" dt2D="false" dtr="false" t="normal">+N670-AB670</f>
        <v>3315807.1800000006</v>
      </c>
      <c r="AB670" s="203" t="n">
        <f aca="false" ca="true" dt2D="false" dtr="false" t="normal">SUBTOTAL(9, AC670:AQ670)</f>
        <v>1457623.55</v>
      </c>
      <c r="AC670" s="17" t="n"/>
      <c r="AD670" s="18" t="n">
        <v>0</v>
      </c>
      <c r="AE670" s="18" t="n">
        <v>1457623.55</v>
      </c>
      <c r="AF670" s="18" t="n">
        <v>0</v>
      </c>
      <c r="AG670" s="18" t="n">
        <v>0</v>
      </c>
      <c r="AH670" s="18" t="n"/>
      <c r="AI670" s="17" t="n"/>
      <c r="AJ670" s="18" t="n">
        <v>0</v>
      </c>
      <c r="AK670" s="18" t="n"/>
      <c r="AL670" s="18" t="n">
        <v>0</v>
      </c>
      <c r="AM670" s="18" t="n">
        <v>0</v>
      </c>
      <c r="AN670" s="18" t="n">
        <v>0</v>
      </c>
      <c r="AO670" s="18" t="n"/>
      <c r="AP670" s="18" t="n"/>
      <c r="AQ670" s="185" t="n"/>
      <c r="AR670" s="186" t="n">
        <f aca="false" ca="false" dt2D="false" dtr="false" t="normal">COUNTIF(AC670:AN670, "&gt;0")</f>
        <v>1</v>
      </c>
      <c r="AT670" s="215" t="n"/>
      <c r="AU670" s="3" t="n"/>
    </row>
    <row ht="15.75" outlineLevel="0" r="671">
      <c r="A671" s="5" t="n">
        <f aca="false" ca="false" dt2D="false" dtr="false" t="normal">A670+1</f>
        <v>650</v>
      </c>
      <c r="B671" s="6" t="n">
        <f aca="false" ca="false" dt2D="false" dtr="false" t="normal">B670+1</f>
        <v>190</v>
      </c>
      <c r="C671" s="6" t="s">
        <v>93</v>
      </c>
      <c r="D671" s="6" t="s">
        <v>521</v>
      </c>
      <c r="E671" s="164" t="n">
        <v>1970</v>
      </c>
      <c r="F671" s="164" t="n">
        <v>2015</v>
      </c>
      <c r="G671" s="164" t="s">
        <v>4</v>
      </c>
      <c r="H671" s="164" t="n">
        <v>4</v>
      </c>
      <c r="I671" s="164" t="n">
        <v>2</v>
      </c>
      <c r="J671" s="18" t="n">
        <v>1403.6</v>
      </c>
      <c r="K671" s="18" t="n">
        <v>1288.25</v>
      </c>
      <c r="L671" s="18" t="n">
        <v>0</v>
      </c>
      <c r="M671" s="165" t="n">
        <v>53</v>
      </c>
      <c r="N671" s="16" t="n">
        <f aca="false" ca="false" dt2D="false" dtr="false" t="normal">P671+Q671+R671+S671+T671</f>
        <v>1424903.2</v>
      </c>
      <c r="O671" s="18" t="n"/>
      <c r="P671" s="18" t="n">
        <v>91260.34</v>
      </c>
      <c r="Q671" s="18" t="n"/>
      <c r="R671" s="27" t="n">
        <v>536312.17</v>
      </c>
      <c r="S671" s="27" t="n">
        <v>562066.19</v>
      </c>
      <c r="T671" s="27" t="n">
        <v>235264.5</v>
      </c>
      <c r="U671" s="18" t="n">
        <v>4457.55302986843</v>
      </c>
      <c r="V671" s="18" t="n">
        <v>1396.283020064</v>
      </c>
      <c r="W671" s="21" t="n">
        <v>2024</v>
      </c>
      <c r="X671" s="12" t="n">
        <v>384543.44</v>
      </c>
      <c r="Y671" s="3" t="n">
        <f aca="false" ca="false" dt2D="false" dtr="false" t="normal">+(K671*11.55+L671*23.1)*12*0.85</f>
        <v>151768.7325</v>
      </c>
      <c r="Z671" s="3" t="n">
        <f aca="false" ca="false" dt2D="false" dtr="false" t="normal">+(K671*11.55+L671*23.1)*12*30</f>
        <v>5356543.5</v>
      </c>
      <c r="AA671" s="3" t="n">
        <f aca="false" ca="false" dt2D="false" dtr="false" t="normal">+N671-AB671</f>
        <v>0</v>
      </c>
      <c r="AB671" s="203" t="n">
        <f aca="false" ca="true" dt2D="false" dtr="false" t="normal">SUBTOTAL(9, AC671:AQ671)</f>
        <v>1424903.2</v>
      </c>
      <c r="AC671" s="17" t="n"/>
      <c r="AD671" s="18" t="n"/>
      <c r="AE671" s="18" t="n">
        <v>1424903.2</v>
      </c>
      <c r="AF671" s="18" t="n"/>
      <c r="AG671" s="18" t="n">
        <v>0</v>
      </c>
      <c r="AH671" s="18" t="n"/>
      <c r="AI671" s="17" t="n"/>
      <c r="AJ671" s="18" t="n">
        <v>0</v>
      </c>
      <c r="AK671" s="18" t="n"/>
      <c r="AL671" s="18" t="n">
        <v>0</v>
      </c>
      <c r="AM671" s="18" t="n">
        <v>0</v>
      </c>
      <c r="AN671" s="18" t="n">
        <v>0</v>
      </c>
      <c r="AO671" s="18" t="n"/>
      <c r="AP671" s="18" t="n"/>
      <c r="AQ671" s="185" t="n"/>
      <c r="AR671" s="186" t="n">
        <f aca="false" ca="false" dt2D="false" dtr="false" t="normal">COUNTIF(AC671:AN671, "&gt;0")</f>
        <v>1</v>
      </c>
      <c r="AU671" s="3" t="n"/>
    </row>
    <row ht="15.75" outlineLevel="0" r="672">
      <c r="A672" s="5" t="n">
        <f aca="false" ca="false" dt2D="false" dtr="false" t="normal">A671+1</f>
        <v>651</v>
      </c>
      <c r="B672" s="6" t="n">
        <f aca="false" ca="false" dt2D="false" dtr="false" t="normal">B671+1</f>
        <v>191</v>
      </c>
      <c r="C672" s="6" t="s">
        <v>93</v>
      </c>
      <c r="D672" s="6" t="s">
        <v>101</v>
      </c>
      <c r="E672" s="164" t="n">
        <v>1970</v>
      </c>
      <c r="F672" s="164" t="n">
        <v>2015</v>
      </c>
      <c r="G672" s="164" t="s">
        <v>4</v>
      </c>
      <c r="H672" s="164" t="n">
        <v>4</v>
      </c>
      <c r="I672" s="164" t="n">
        <v>3</v>
      </c>
      <c r="J672" s="18" t="n">
        <v>2337.2</v>
      </c>
      <c r="K672" s="18" t="n">
        <v>1988.4</v>
      </c>
      <c r="L672" s="18" t="n">
        <v>46.7</v>
      </c>
      <c r="M672" s="165" t="n">
        <v>101</v>
      </c>
      <c r="N672" s="16" t="n">
        <f aca="false" ca="false" dt2D="false" dtr="false" t="normal">P672+Q672+R672+S672+T672</f>
        <v>2172676.3099999996</v>
      </c>
      <c r="O672" s="18" t="n"/>
      <c r="P672" s="18" t="n">
        <v>0</v>
      </c>
      <c r="Q672" s="18" t="n"/>
      <c r="R672" s="27" t="n">
        <v>245256.86</v>
      </c>
      <c r="S672" s="27" t="n">
        <v>1562774.9</v>
      </c>
      <c r="T672" s="27" t="n">
        <v>364644.55</v>
      </c>
      <c r="U672" s="18" t="n">
        <v>1468.95234700858</v>
      </c>
      <c r="V672" s="18" t="n">
        <v>1468.95234700858</v>
      </c>
      <c r="W672" s="21" t="n">
        <v>2024</v>
      </c>
      <c r="X672" s="12" t="n"/>
      <c r="Y672" s="3" t="n">
        <f aca="false" ca="false" dt2D="false" dtr="false" t="normal">+(K672*11.55+L672*23.1)*12*0.85</f>
        <v>245256.85800000004</v>
      </c>
      <c r="Z672" s="3" t="n">
        <f aca="false" ca="false" dt2D="false" dtr="false" t="normal">+(K672*11.55+L672*23.1)*12*30-'[1]Лист1'!$AQ$87</f>
        <v>6106064.25</v>
      </c>
      <c r="AA672" s="3" t="n">
        <f aca="false" ca="false" dt2D="false" dtr="false" t="normal">+N672-AB672</f>
        <v>0</v>
      </c>
      <c r="AB672" s="27" t="n">
        <f aca="false" ca="true" dt2D="false" dtr="false" t="normal">SUBTOTAL(9, AC672:AQ672)</f>
        <v>2172676.31</v>
      </c>
      <c r="AC672" s="17" t="n"/>
      <c r="AD672" s="18" t="n"/>
      <c r="AE672" s="18" t="n">
        <v>2172676.31</v>
      </c>
      <c r="AF672" s="18" t="n"/>
      <c r="AG672" s="18" t="n">
        <v>0</v>
      </c>
      <c r="AH672" s="18" t="n"/>
      <c r="AI672" s="17" t="n"/>
      <c r="AJ672" s="18" t="n"/>
      <c r="AK672" s="18" t="n"/>
      <c r="AL672" s="18" t="n">
        <v>0</v>
      </c>
      <c r="AM672" s="18" t="n">
        <v>0</v>
      </c>
      <c r="AN672" s="18" t="n">
        <v>0</v>
      </c>
      <c r="AO672" s="18" t="n"/>
      <c r="AP672" s="18" t="n"/>
      <c r="AQ672" s="185" t="n"/>
      <c r="AR672" s="186" t="n">
        <f aca="false" ca="false" dt2D="false" dtr="false" t="normal">COUNTIF(AC672:AN672, "&gt;0")</f>
        <v>1</v>
      </c>
      <c r="AU672" s="3" t="n"/>
    </row>
    <row ht="15.75" outlineLevel="0" r="673">
      <c r="A673" s="5" t="n">
        <f aca="false" ca="false" dt2D="false" dtr="false" t="normal">A672+1</f>
        <v>652</v>
      </c>
      <c r="B673" s="6" t="n">
        <f aca="false" ca="false" dt2D="false" dtr="false" t="normal">B672+1</f>
        <v>192</v>
      </c>
      <c r="C673" s="6" t="s">
        <v>93</v>
      </c>
      <c r="D673" s="6" t="s">
        <v>103</v>
      </c>
      <c r="E673" s="139" t="n">
        <v>1986</v>
      </c>
      <c r="F673" s="139" t="n">
        <v>2015</v>
      </c>
      <c r="G673" s="139" t="s">
        <v>4</v>
      </c>
      <c r="H673" s="139" t="n">
        <v>9</v>
      </c>
      <c r="I673" s="139" t="n">
        <v>1</v>
      </c>
      <c r="J673" s="17" t="n">
        <v>2147.3</v>
      </c>
      <c r="K673" s="17" t="n">
        <v>1765</v>
      </c>
      <c r="L673" s="17" t="n">
        <v>118.1</v>
      </c>
      <c r="M673" s="140" t="n">
        <v>71</v>
      </c>
      <c r="N673" s="16" t="n">
        <f aca="false" ca="false" dt2D="false" dtr="false" t="normal">P673+Q673+R673+S673+T673</f>
        <v>8186939.359999999</v>
      </c>
      <c r="O673" s="18" t="n"/>
      <c r="P673" s="18" t="n">
        <v>0</v>
      </c>
      <c r="Q673" s="18" t="n"/>
      <c r="R673" s="27" t="n">
        <v>307690.26</v>
      </c>
      <c r="S673" s="27" t="n">
        <v>5203093.1</v>
      </c>
      <c r="T673" s="27" t="n">
        <v>2676156</v>
      </c>
      <c r="U673" s="17" t="n">
        <v>10650.4915964548</v>
      </c>
      <c r="V673" s="17" t="n">
        <v>10650.4915964548</v>
      </c>
      <c r="W673" s="21" t="n">
        <v>2024</v>
      </c>
      <c r="Y673" s="3" t="n">
        <f aca="false" ca="false" dt2D="false" dtr="false" t="normal">+(K673*15.35+L673*26.02)*12*0.85</f>
        <v>307690.2624</v>
      </c>
      <c r="Z673" s="3" t="n">
        <f aca="false" ca="false" dt2D="false" dtr="false" t="normal">+(K673*15.35+L673*26.02)*12*30-'[1]Лист1'!$AQ$95</f>
        <v>9125652.63</v>
      </c>
      <c r="AA673" s="3" t="n">
        <f aca="false" ca="false" dt2D="false" dtr="false" t="normal">+N673-AB673</f>
        <v>0</v>
      </c>
      <c r="AB673" s="27" t="n">
        <f aca="false" ca="true" dt2D="false" dtr="false" t="normal">SUBTOTAL(9, AC673:AQ673)</f>
        <v>8186939.359999999</v>
      </c>
      <c r="AC673" s="17" t="n">
        <v>5075093.56</v>
      </c>
      <c r="AD673" s="18" t="n">
        <v>3111845.8</v>
      </c>
      <c r="AE673" s="18" t="n"/>
      <c r="AF673" s="18" t="n"/>
      <c r="AG673" s="18" t="n">
        <v>0</v>
      </c>
      <c r="AH673" s="18" t="n"/>
      <c r="AI673" s="17" t="n"/>
      <c r="AJ673" s="18" t="n">
        <v>0</v>
      </c>
      <c r="AK673" s="18" t="n"/>
      <c r="AL673" s="18" t="n">
        <v>0</v>
      </c>
      <c r="AM673" s="18" t="n">
        <v>0</v>
      </c>
      <c r="AN673" s="18" t="n"/>
      <c r="AO673" s="18" t="n"/>
      <c r="AP673" s="18" t="n"/>
      <c r="AQ673" s="185" t="n"/>
      <c r="AR673" s="186" t="n">
        <f aca="false" ca="false" dt2D="false" dtr="false" t="normal">COUNTIF(AC673:AN673, "&gt;0")</f>
        <v>2</v>
      </c>
      <c r="AU673" s="3" t="n"/>
    </row>
    <row ht="15.75" outlineLevel="0" r="674">
      <c r="A674" s="5" t="n">
        <f aca="false" ca="false" dt2D="false" dtr="false" t="normal">A673+1</f>
        <v>653</v>
      </c>
      <c r="B674" s="6" t="n">
        <f aca="false" ca="false" dt2D="false" dtr="false" t="normal">B673+1</f>
        <v>193</v>
      </c>
      <c r="C674" s="138" t="s">
        <v>93</v>
      </c>
      <c r="D674" s="138" t="s">
        <v>524</v>
      </c>
      <c r="E674" s="139" t="n">
        <v>1990</v>
      </c>
      <c r="F674" s="139" t="n">
        <v>2015</v>
      </c>
      <c r="G674" s="139" t="s">
        <v>4</v>
      </c>
      <c r="H674" s="139" t="n">
        <v>9</v>
      </c>
      <c r="I674" s="139" t="n">
        <v>4</v>
      </c>
      <c r="J674" s="17" t="n">
        <v>9225.6</v>
      </c>
      <c r="K674" s="17" t="n">
        <v>8138.5</v>
      </c>
      <c r="L674" s="17" t="n">
        <v>48</v>
      </c>
      <c r="M674" s="140" t="n">
        <v>380</v>
      </c>
      <c r="N674" s="16" t="n">
        <f aca="false" ca="false" dt2D="false" dtr="false" t="normal">P674+Q674+R674+S674+T674</f>
        <v>14541738.55</v>
      </c>
      <c r="O674" s="17" t="n"/>
      <c r="P674" s="18" t="n">
        <v>0</v>
      </c>
      <c r="Q674" s="18" t="n"/>
      <c r="R674" s="27" t="n">
        <v>1286984.34</v>
      </c>
      <c r="S674" s="27" t="n">
        <v>13254754.21</v>
      </c>
      <c r="T674" s="27" t="n">
        <v>0</v>
      </c>
      <c r="U674" s="17" t="n">
        <v>3078.34406927522</v>
      </c>
      <c r="V674" s="17" t="n">
        <v>3078.34406927522</v>
      </c>
      <c r="W674" s="21" t="n">
        <v>2024</v>
      </c>
      <c r="X674" s="12" t="n">
        <v>0</v>
      </c>
      <c r="Y674" s="3" t="n">
        <f aca="false" ca="false" dt2D="false" dtr="false" t="normal">+(K674*15.35+L674*26.02)*12*0.85</f>
        <v>1286984.337</v>
      </c>
      <c r="Z674" s="3" t="n">
        <f aca="false" ca="false" dt2D="false" dtr="false" t="normal">+(K674*15.35+L674*26.02)*12*30-'[1]Лист1'!$AQ$99</f>
        <v>45422976.6</v>
      </c>
      <c r="AA674" s="3" t="n">
        <f aca="false" ca="false" dt2D="false" dtr="false" t="normal">+N674-AB674</f>
        <v>0</v>
      </c>
      <c r="AB674" s="27" t="n">
        <f aca="false" ca="true" dt2D="false" dtr="false" t="normal">SUBTOTAL(9, AC674:AQ674)</f>
        <v>14541738.55</v>
      </c>
      <c r="AC674" s="17" t="n">
        <v>8889465.07</v>
      </c>
      <c r="AD674" s="18" t="n">
        <v>5652273.48</v>
      </c>
      <c r="AE674" s="18" t="n"/>
      <c r="AF674" s="18" t="n"/>
      <c r="AG674" s="18" t="n"/>
      <c r="AH674" s="18" t="n"/>
      <c r="AI674" s="17" t="n"/>
      <c r="AJ674" s="18" t="n">
        <v>0</v>
      </c>
      <c r="AK674" s="18" t="n"/>
      <c r="AL674" s="18" t="n">
        <v>0</v>
      </c>
      <c r="AM674" s="18" t="n">
        <v>0</v>
      </c>
      <c r="AN674" s="18" t="n"/>
      <c r="AO674" s="18" t="n"/>
      <c r="AP674" s="18" t="n"/>
      <c r="AQ674" s="185" t="n"/>
      <c r="AR674" s="186" t="n">
        <f aca="false" ca="false" dt2D="false" dtr="false" t="normal">COUNTIF(AC674:AN674, "&gt;0")</f>
        <v>2</v>
      </c>
      <c r="AU674" s="3" t="n"/>
    </row>
    <row ht="15.75" outlineLevel="0" r="675">
      <c r="A675" s="5" t="n">
        <f aca="false" ca="false" dt2D="false" dtr="false" t="normal">A674+1</f>
        <v>654</v>
      </c>
      <c r="B675" s="6" t="n">
        <f aca="false" ca="false" dt2D="false" dtr="false" t="normal">B674+1</f>
        <v>194</v>
      </c>
      <c r="C675" s="138" t="s">
        <v>93</v>
      </c>
      <c r="D675" s="138" t="s">
        <v>525</v>
      </c>
      <c r="E675" s="139" t="n">
        <v>1971</v>
      </c>
      <c r="F675" s="139" t="n">
        <v>2015</v>
      </c>
      <c r="G675" s="139" t="s">
        <v>4</v>
      </c>
      <c r="H675" s="139" t="n">
        <v>4</v>
      </c>
      <c r="I675" s="139" t="n">
        <v>3</v>
      </c>
      <c r="J675" s="17" t="n">
        <v>2186.1</v>
      </c>
      <c r="K675" s="17" t="n">
        <v>2051.6</v>
      </c>
      <c r="L675" s="17" t="n">
        <v>31.5</v>
      </c>
      <c r="M675" s="140" t="n">
        <v>100</v>
      </c>
      <c r="N675" s="16" t="n">
        <f aca="false" ca="false" dt2D="false" dtr="false" t="normal">P675+Q675+R675+S675+T675</f>
        <v>2092853.1800000002</v>
      </c>
      <c r="O675" s="17" t="n"/>
      <c r="P675" s="18" t="n">
        <v>0</v>
      </c>
      <c r="Q675" s="18" t="n"/>
      <c r="R675" s="27" t="n">
        <v>1113678.85</v>
      </c>
      <c r="S675" s="27" t="n">
        <v>979174.33</v>
      </c>
      <c r="T675" s="27" t="n">
        <v>0</v>
      </c>
      <c r="U675" s="17" t="n">
        <v>2872.31685752004</v>
      </c>
      <c r="V675" s="17" t="n">
        <v>2872.31685752004</v>
      </c>
      <c r="W675" s="21" t="n">
        <v>2024</v>
      </c>
      <c r="X675" s="1" t="n">
        <v>864557.82</v>
      </c>
      <c r="Y675" s="3" t="n">
        <f aca="false" ca="false" dt2D="false" dtr="false" t="normal">+(K675*11.55+L675*23.1)*12*0.85</f>
        <v>249121.02599999998</v>
      </c>
      <c r="Z675" s="3" t="n">
        <f aca="false" ca="false" dt2D="false" dtr="false" t="normal">+(K675*11.55+L675*23.1)*12*30</f>
        <v>8792506.8</v>
      </c>
      <c r="AA675" s="3" t="n">
        <f aca="false" ca="false" dt2D="false" dtr="false" t="normal">+N675-AB675</f>
        <v>0</v>
      </c>
      <c r="AB675" s="27" t="n">
        <f aca="false" ca="true" dt2D="false" dtr="false" t="normal">SUBTOTAL(9, AC675:AQ675)</f>
        <v>2092853.18</v>
      </c>
      <c r="AC675" s="17" t="n">
        <v>2092853.18</v>
      </c>
      <c r="AD675" s="18" t="n">
        <v>0</v>
      </c>
      <c r="AE675" s="18" t="n">
        <v>0</v>
      </c>
      <c r="AF675" s="18" t="n">
        <v>0</v>
      </c>
      <c r="AG675" s="18" t="n">
        <v>0</v>
      </c>
      <c r="AH675" s="18" t="n"/>
      <c r="AI675" s="17" t="n"/>
      <c r="AJ675" s="18" t="n">
        <v>0</v>
      </c>
      <c r="AK675" s="18" t="n">
        <v>0</v>
      </c>
      <c r="AL675" s="18" t="n">
        <v>0</v>
      </c>
      <c r="AM675" s="18" t="n">
        <v>0</v>
      </c>
      <c r="AN675" s="18" t="n">
        <v>0</v>
      </c>
      <c r="AO675" s="18" t="n"/>
      <c r="AP675" s="18" t="n"/>
      <c r="AQ675" s="191" t="n"/>
      <c r="AR675" s="186" t="n">
        <f aca="false" ca="false" dt2D="false" dtr="false" t="normal">COUNTIF(AC675:AN675, "&gt;0")</f>
        <v>1</v>
      </c>
      <c r="AU675" s="3" t="n"/>
    </row>
    <row customFormat="true" ht="15.75" outlineLevel="0" r="676" s="184">
      <c r="A676" s="5" t="n">
        <f aca="false" ca="false" dt2D="false" dtr="false" t="normal">A675+1</f>
        <v>655</v>
      </c>
      <c r="B676" s="6" t="n">
        <f aca="false" ca="false" dt2D="false" dtr="false" t="normal">B675+1</f>
        <v>195</v>
      </c>
      <c r="C676" s="6" t="s">
        <v>93</v>
      </c>
      <c r="D676" s="6" t="s">
        <v>526</v>
      </c>
      <c r="E676" s="164" t="s">
        <v>527</v>
      </c>
      <c r="F676" s="164" t="s">
        <v>527</v>
      </c>
      <c r="G676" s="164" t="s">
        <v>4</v>
      </c>
      <c r="H676" s="164" t="s">
        <v>150</v>
      </c>
      <c r="I676" s="164" t="s">
        <v>219</v>
      </c>
      <c r="J676" s="18" t="n">
        <v>2491.9</v>
      </c>
      <c r="K676" s="18" t="n">
        <v>1556.5</v>
      </c>
      <c r="L676" s="18" t="n">
        <v>0</v>
      </c>
      <c r="M676" s="165" t="n">
        <v>87</v>
      </c>
      <c r="N676" s="16" t="n">
        <f aca="false" ca="false" dt2D="false" dtr="false" t="normal">P676+Q676+R676+S676+T676</f>
        <v>3000018.44</v>
      </c>
      <c r="O676" s="18" t="n">
        <v>0</v>
      </c>
      <c r="P676" s="18" t="n">
        <v>0</v>
      </c>
      <c r="Q676" s="18" t="n"/>
      <c r="R676" s="27" t="n">
        <v>903521.56</v>
      </c>
      <c r="S676" s="27" t="n">
        <v>2096496.88</v>
      </c>
      <c r="T676" s="27" t="n">
        <v>0</v>
      </c>
      <c r="U676" s="18" t="n">
        <v>2744.00899453903</v>
      </c>
      <c r="V676" s="18" t="n">
        <v>1409.283020064</v>
      </c>
      <c r="W676" s="21" t="n">
        <v>2024</v>
      </c>
      <c r="X676" s="103" t="n">
        <v>697411.23</v>
      </c>
      <c r="Y676" s="3" t="n">
        <f aca="false" ca="false" dt2D="false" dtr="false" t="normal">+(K676*13.95+L676*23.65)*12*0.85</f>
        <v>221474.38499999998</v>
      </c>
      <c r="Z676" s="3" t="n">
        <f aca="false" ca="false" dt2D="false" dtr="false" t="normal">+(K676*13.95+L676*23.65)*12*30</f>
        <v>7816742.999999999</v>
      </c>
      <c r="AA676" s="3" t="n">
        <f aca="false" ca="false" dt2D="false" dtr="false" t="normal">+N676-AB676</f>
        <v>0</v>
      </c>
      <c r="AB676" s="203" t="n">
        <f aca="false" ca="true" dt2D="false" dtr="false" t="normal">SUBTOTAL(9, AC676:AQ676)</f>
        <v>3000018.44</v>
      </c>
      <c r="AC676" s="17" t="n"/>
      <c r="AD676" s="18" t="n"/>
      <c r="AE676" s="18" t="n"/>
      <c r="AF676" s="18" t="n"/>
      <c r="AG676" s="18" t="n"/>
      <c r="AH676" s="18" t="n"/>
      <c r="AI676" s="17" t="n"/>
      <c r="AJ676" s="18" t="n">
        <v>2829176.44</v>
      </c>
      <c r="AK676" s="18" t="n"/>
      <c r="AL676" s="18" t="n"/>
      <c r="AM676" s="18" t="n"/>
      <c r="AN676" s="18" t="n"/>
      <c r="AO676" s="18" t="n">
        <v>128131.5</v>
      </c>
      <c r="AP676" s="18" t="n">
        <v>42710.5</v>
      </c>
      <c r="AQ676" s="185" t="n"/>
      <c r="AR676" s="186" t="n">
        <f aca="false" ca="false" dt2D="false" dtr="false" t="normal">COUNTIF(AC676:AN676, "&gt;0")</f>
        <v>1</v>
      </c>
      <c r="AT676" s="187" t="n"/>
      <c r="AU676" s="3" t="n"/>
    </row>
    <row ht="15.75" outlineLevel="0" r="677">
      <c r="A677" s="5" t="n">
        <f aca="false" ca="false" dt2D="false" dtr="false" t="normal">A676+1</f>
        <v>656</v>
      </c>
      <c r="B677" s="6" t="n">
        <f aca="false" ca="false" dt2D="false" dtr="false" t="normal">B676+1</f>
        <v>196</v>
      </c>
      <c r="C677" s="138" t="s">
        <v>114</v>
      </c>
      <c r="D677" s="138" t="s">
        <v>395</v>
      </c>
      <c r="E677" s="139" t="n">
        <v>1988</v>
      </c>
      <c r="F677" s="139" t="n">
        <v>1988</v>
      </c>
      <c r="G677" s="139" t="s">
        <v>4</v>
      </c>
      <c r="H677" s="139" t="n">
        <v>5</v>
      </c>
      <c r="I677" s="139" t="n">
        <v>4</v>
      </c>
      <c r="J677" s="17" t="n">
        <v>5038.4</v>
      </c>
      <c r="K677" s="17" t="n">
        <v>3442.8</v>
      </c>
      <c r="L677" s="17" t="n">
        <v>1586</v>
      </c>
      <c r="M677" s="140" t="n">
        <v>156</v>
      </c>
      <c r="N677" s="16" t="n">
        <f aca="false" ca="false" dt2D="false" dtr="false" t="normal">P677+Q677+R677+S677+T677</f>
        <v>20201676.86</v>
      </c>
      <c r="O677" s="17" t="n"/>
      <c r="P677" s="18" t="n">
        <v>4419485.67</v>
      </c>
      <c r="Q677" s="18" t="n"/>
      <c r="R677" s="27" t="n">
        <v>518261.55</v>
      </c>
      <c r="S677" s="27" t="n">
        <v>13378078.51</v>
      </c>
      <c r="T677" s="27" t="n">
        <v>1885851.13</v>
      </c>
      <c r="U677" s="17" t="n">
        <v>4863.63803265193</v>
      </c>
      <c r="V677" s="17" t="n">
        <v>4863.63803265193</v>
      </c>
      <c r="W677" s="21" t="n">
        <v>2024</v>
      </c>
      <c r="X677" s="12" t="n"/>
      <c r="Y677" s="3" t="n">
        <f aca="false" ca="false" dt2D="false" dtr="false" t="normal">+(K677*11.55+L677*23.1)*12*0.85</f>
        <v>779289.588</v>
      </c>
      <c r="Z677" s="3" t="n">
        <f aca="false" ca="false" dt2D="false" dtr="false" t="normal">+(K677*11.55+L677*23.1)*12*30-'[1]Лист1'!$AQ$113</f>
        <v>15586535.100000001</v>
      </c>
      <c r="AA677" s="3" t="n">
        <f aca="false" ca="false" dt2D="false" dtr="false" t="normal">+N677-AB677</f>
        <v>0</v>
      </c>
      <c r="AB677" s="27" t="n">
        <f aca="false" ca="true" dt2D="false" dtr="false" t="normal">SUBTOTAL(9, AC677:AQ677)</f>
        <v>20201676.86</v>
      </c>
      <c r="AC677" s="17" t="n">
        <v>14980596.93</v>
      </c>
      <c r="AD677" s="18" t="n">
        <v>5221079.93</v>
      </c>
      <c r="AE677" s="18" t="n"/>
      <c r="AF677" s="18" t="n">
        <v>0</v>
      </c>
      <c r="AG677" s="18" t="n">
        <v>0</v>
      </c>
      <c r="AH677" s="18" t="n"/>
      <c r="AI677" s="17" t="n"/>
      <c r="AJ677" s="18" t="n">
        <v>0</v>
      </c>
      <c r="AK677" s="18" t="n"/>
      <c r="AL677" s="18" t="n">
        <v>0</v>
      </c>
      <c r="AM677" s="18" t="n">
        <v>0</v>
      </c>
      <c r="AN677" s="18" t="n">
        <v>0</v>
      </c>
      <c r="AO677" s="18" t="n"/>
      <c r="AP677" s="18" t="n"/>
      <c r="AQ677" s="185" t="n"/>
      <c r="AR677" s="186" t="n">
        <f aca="false" ca="false" dt2D="false" dtr="false" t="normal">COUNTIF(AC677:AN677, "&gt;0")</f>
        <v>2</v>
      </c>
      <c r="AU677" s="3" t="n"/>
    </row>
    <row ht="15.75" outlineLevel="0" r="678">
      <c r="A678" s="5" t="n">
        <f aca="false" ca="false" dt2D="false" dtr="false" t="normal">A677+1</f>
        <v>657</v>
      </c>
      <c r="B678" s="6" t="n">
        <f aca="false" ca="false" dt2D="false" dtr="false" t="normal">B677+1</f>
        <v>197</v>
      </c>
      <c r="C678" s="6" t="s">
        <v>114</v>
      </c>
      <c r="D678" s="6" t="s">
        <v>529</v>
      </c>
      <c r="E678" s="164" t="n">
        <v>1985</v>
      </c>
      <c r="F678" s="164" t="n">
        <v>1985</v>
      </c>
      <c r="G678" s="164" t="s">
        <v>4</v>
      </c>
      <c r="H678" s="164" t="n">
        <v>5</v>
      </c>
      <c r="I678" s="164" t="n">
        <v>1</v>
      </c>
      <c r="J678" s="18" t="n">
        <v>3093.6</v>
      </c>
      <c r="K678" s="18" t="n">
        <v>1867</v>
      </c>
      <c r="L678" s="18" t="n">
        <v>323</v>
      </c>
      <c r="M678" s="165" t="n">
        <v>98</v>
      </c>
      <c r="N678" s="16" t="n">
        <f aca="false" ca="false" dt2D="false" dtr="false" t="normal">P678+Q678+R678+S678+T678</f>
        <v>13955750.7</v>
      </c>
      <c r="O678" s="18" t="n"/>
      <c r="P678" s="18" t="n">
        <v>6529489.12</v>
      </c>
      <c r="Q678" s="18" t="n">
        <v>0</v>
      </c>
      <c r="R678" s="27" t="n">
        <v>184753.24</v>
      </c>
      <c r="S678" s="27" t="n">
        <v>5886284.39</v>
      </c>
      <c r="T678" s="27" t="n">
        <v>1355223.95</v>
      </c>
      <c r="U678" s="18" t="n">
        <v>11430.4973054944</v>
      </c>
      <c r="V678" s="18" t="n">
        <v>1411.283020064</v>
      </c>
      <c r="W678" s="21" t="n">
        <v>2024</v>
      </c>
      <c r="X678" s="12" t="n">
        <v>1373313.01</v>
      </c>
      <c r="Y678" s="3" t="n">
        <f aca="false" ca="false" dt2D="false" dtr="false" t="normal">+(K678*11.55+L678*23.1)*12*0.85</f>
        <v>296056.53</v>
      </c>
      <c r="Z678" s="3" t="n">
        <f aca="false" ca="false" dt2D="false" dtr="false" t="normal">+(K678*11.55+L678*23.1)*12*30</f>
        <v>10449054.000000002</v>
      </c>
      <c r="AA678" s="3" t="n">
        <f aca="false" ca="false" dt2D="false" dtr="false" t="normal">+N678-AB678</f>
        <v>0</v>
      </c>
      <c r="AB678" s="203" t="n">
        <f aca="false" ca="true" dt2D="false" dtr="false" t="normal">SUBTOTAL(9, AC678:AQ678)</f>
        <v>13955750.7</v>
      </c>
      <c r="AC678" s="17" t="n"/>
      <c r="AD678" s="18" t="n"/>
      <c r="AE678" s="18" t="n">
        <v>0</v>
      </c>
      <c r="AF678" s="18" t="n">
        <v>0</v>
      </c>
      <c r="AG678" s="18" t="n">
        <v>0</v>
      </c>
      <c r="AH678" s="18" t="n"/>
      <c r="AI678" s="17" t="n"/>
      <c r="AJ678" s="18" t="n">
        <v>0</v>
      </c>
      <c r="AK678" s="18" t="n">
        <v>13955750.7</v>
      </c>
      <c r="AL678" s="18" t="n">
        <v>0</v>
      </c>
      <c r="AM678" s="18" t="n">
        <v>0</v>
      </c>
      <c r="AN678" s="18" t="n">
        <v>0</v>
      </c>
      <c r="AO678" s="18" t="n"/>
      <c r="AP678" s="18" t="n"/>
      <c r="AQ678" s="185" t="n"/>
      <c r="AR678" s="186" t="n">
        <f aca="false" ca="false" dt2D="false" dtr="false" t="normal">COUNTIF(AC678:AN678, "&gt;0")</f>
        <v>1</v>
      </c>
      <c r="AU678" s="3" t="n"/>
    </row>
    <row ht="15.75" outlineLevel="0" r="679">
      <c r="A679" s="5" t="n">
        <f aca="false" ca="false" dt2D="false" dtr="false" t="normal">A678+1</f>
        <v>658</v>
      </c>
      <c r="B679" s="6" t="n">
        <f aca="false" ca="false" dt2D="false" dtr="false" t="normal">B678+1</f>
        <v>198</v>
      </c>
      <c r="C679" s="138" t="s">
        <v>114</v>
      </c>
      <c r="D679" s="138" t="s">
        <v>531</v>
      </c>
      <c r="E679" s="139" t="n">
        <v>1987</v>
      </c>
      <c r="F679" s="139" t="n">
        <v>1987</v>
      </c>
      <c r="G679" s="139" t="s">
        <v>4</v>
      </c>
      <c r="H679" s="139" t="n">
        <v>5</v>
      </c>
      <c r="I679" s="139" t="n">
        <v>1</v>
      </c>
      <c r="J679" s="17" t="n">
        <v>2928.7</v>
      </c>
      <c r="K679" s="17" t="n">
        <v>2372.1</v>
      </c>
      <c r="L679" s="17" t="n">
        <v>221.2</v>
      </c>
      <c r="M679" s="140" t="n">
        <v>125</v>
      </c>
      <c r="N679" s="16" t="n">
        <f aca="false" ca="false" dt2D="false" dtr="false" t="normal">P679+Q679+R679+S679+T679</f>
        <v>12032759.41</v>
      </c>
      <c r="O679" s="17" t="n"/>
      <c r="P679" s="18" t="n">
        <v>1688684.4</v>
      </c>
      <c r="Q679" s="18" t="n"/>
      <c r="R679" s="27" t="n">
        <v>1530930.1</v>
      </c>
      <c r="S679" s="27" t="n">
        <v>7324702</v>
      </c>
      <c r="T679" s="27" t="n">
        <v>1488442.91</v>
      </c>
      <c r="U679" s="17" t="n">
        <v>4072.62780596152</v>
      </c>
      <c r="V679" s="17" t="n">
        <v>4072.62780596152</v>
      </c>
      <c r="W679" s="21" t="n">
        <v>2024</v>
      </c>
      <c r="X679" s="12" t="n">
        <v>1486432.85</v>
      </c>
      <c r="Y679" s="3" t="n">
        <f aca="false" ca="false" dt2D="false" dtr="false" t="normal">+(K679*11.55+L679*23.1)*12*0.85</f>
        <v>331576.245</v>
      </c>
      <c r="Z679" s="3" t="n">
        <f aca="false" ca="false" dt2D="false" dtr="false" t="normal">+(K679*11.55+L679*23.1)*12*30</f>
        <v>11702691</v>
      </c>
      <c r="AA679" s="3" t="n">
        <f aca="false" ca="false" dt2D="false" dtr="false" t="normal">+N679-AB679</f>
        <v>0</v>
      </c>
      <c r="AB679" s="27" t="n">
        <f aca="false" ca="true" dt2D="false" dtr="false" t="normal">SUBTOTAL(9, AC679:AQ679)</f>
        <v>12032759.41</v>
      </c>
      <c r="AC679" s="17" t="n">
        <v>8418964.8</v>
      </c>
      <c r="AD679" s="18" t="n">
        <v>3613794.61</v>
      </c>
      <c r="AE679" s="18" t="n"/>
      <c r="AF679" s="18" t="n"/>
      <c r="AG679" s="18" t="n"/>
      <c r="AH679" s="18" t="n"/>
      <c r="AI679" s="17" t="n"/>
      <c r="AJ679" s="18" t="n">
        <v>0</v>
      </c>
      <c r="AK679" s="18" t="n"/>
      <c r="AL679" s="18" t="n">
        <v>0</v>
      </c>
      <c r="AM679" s="18" t="n">
        <v>0</v>
      </c>
      <c r="AN679" s="18" t="n">
        <v>0</v>
      </c>
      <c r="AO679" s="18" t="n"/>
      <c r="AP679" s="18" t="n"/>
      <c r="AQ679" s="185" t="n"/>
      <c r="AR679" s="186" t="n">
        <f aca="false" ca="false" dt2D="false" dtr="false" t="normal">COUNTIF(AC679:AN679, "&gt;0")</f>
        <v>2</v>
      </c>
      <c r="AU679" s="3" t="n"/>
    </row>
    <row ht="15.75" outlineLevel="0" r="680">
      <c r="A680" s="5" t="n">
        <f aca="false" ca="false" dt2D="false" dtr="false" t="normal">A679+1</f>
        <v>659</v>
      </c>
      <c r="B680" s="6" t="n">
        <f aca="false" ca="false" dt2D="false" dtr="false" t="normal">B679+1</f>
        <v>199</v>
      </c>
      <c r="C680" s="6" t="s">
        <v>533</v>
      </c>
      <c r="D680" s="6" t="s">
        <v>534</v>
      </c>
      <c r="E680" s="164" t="n">
        <v>1995</v>
      </c>
      <c r="F680" s="164" t="n">
        <v>2009</v>
      </c>
      <c r="G680" s="164" t="s">
        <v>4</v>
      </c>
      <c r="H680" s="164" t="n">
        <v>5</v>
      </c>
      <c r="I680" s="164" t="n">
        <v>2</v>
      </c>
      <c r="J680" s="18" t="n">
        <v>2134.2</v>
      </c>
      <c r="K680" s="18" t="n">
        <v>1911.8</v>
      </c>
      <c r="L680" s="18" t="n">
        <v>0</v>
      </c>
      <c r="M680" s="165" t="n">
        <v>75</v>
      </c>
      <c r="N680" s="16" t="n">
        <f aca="false" ca="false" dt2D="false" dtr="false" t="normal">P680+Q680+R680+S680+T680</f>
        <v>8636897.67</v>
      </c>
      <c r="O680" s="18" t="n"/>
      <c r="P680" s="18" t="n">
        <v>501868.43</v>
      </c>
      <c r="Q680" s="18" t="n"/>
      <c r="R680" s="27" t="n">
        <v>1062863.97</v>
      </c>
      <c r="S680" s="27" t="n">
        <v>6882480</v>
      </c>
      <c r="T680" s="27" t="n">
        <v>189685.27</v>
      </c>
      <c r="U680" s="18" t="n">
        <v>6539.47109077547</v>
      </c>
      <c r="V680" s="18" t="n">
        <v>6539.47109077547</v>
      </c>
      <c r="W680" s="21" t="n">
        <v>2024</v>
      </c>
      <c r="X680" s="1" t="n">
        <v>867860.37</v>
      </c>
      <c r="Y680" s="3" t="n">
        <f aca="false" ca="false" dt2D="false" dtr="false" t="normal">+(K680*10+L680*20)*12*0.85</f>
        <v>195003.6</v>
      </c>
      <c r="Z680" s="3" t="n">
        <f aca="false" ca="false" dt2D="false" dtr="false" t="normal">+(K680*11.55+L680*23.1)*12*30</f>
        <v>7949264.399999999</v>
      </c>
      <c r="AA680" s="3" t="n">
        <f aca="false" ca="false" dt2D="false" dtr="false" t="normal">+N680-AB680</f>
        <v>0</v>
      </c>
      <c r="AB680" s="27" t="n">
        <f aca="false" ca="true" dt2D="false" dtr="false" t="normal">SUBTOTAL(9, AC680:AQ680)</f>
        <v>8636897.67</v>
      </c>
      <c r="AC680" s="17" t="n">
        <v>0</v>
      </c>
      <c r="AD680" s="18" t="n">
        <v>0</v>
      </c>
      <c r="AE680" s="18" t="n">
        <v>0</v>
      </c>
      <c r="AF680" s="18" t="n">
        <v>0</v>
      </c>
      <c r="AG680" s="18" t="n">
        <v>0</v>
      </c>
      <c r="AH680" s="18" t="n"/>
      <c r="AI680" s="17" t="n"/>
      <c r="AJ680" s="18" t="n">
        <v>0</v>
      </c>
      <c r="AK680" s="18" t="n">
        <v>8636897.67</v>
      </c>
      <c r="AL680" s="18" t="n">
        <v>0</v>
      </c>
      <c r="AM680" s="18" t="n">
        <v>0</v>
      </c>
      <c r="AN680" s="18" t="n">
        <v>0</v>
      </c>
      <c r="AO680" s="18" t="n"/>
      <c r="AP680" s="18" t="n"/>
      <c r="AQ680" s="185" t="n"/>
      <c r="AR680" s="186" t="n">
        <f aca="false" ca="false" dt2D="false" dtr="false" t="normal">COUNTIF(AC680:AN680, "&gt;0")</f>
        <v>1</v>
      </c>
      <c r="AU680" s="3" t="n"/>
    </row>
    <row ht="15.75" outlineLevel="0" r="681">
      <c r="A681" s="5" t="n">
        <f aca="false" ca="false" dt2D="false" dtr="false" t="normal">A680+1</f>
        <v>660</v>
      </c>
      <c r="B681" s="6" t="n">
        <f aca="false" ca="false" dt2D="false" dtr="false" t="normal">B680+1</f>
        <v>200</v>
      </c>
      <c r="C681" s="6" t="s">
        <v>133</v>
      </c>
      <c r="D681" s="6" t="s">
        <v>535</v>
      </c>
      <c r="E681" s="164" t="n">
        <v>1989</v>
      </c>
      <c r="F681" s="164" t="n">
        <v>2013</v>
      </c>
      <c r="G681" s="164" t="s">
        <v>4</v>
      </c>
      <c r="H681" s="164" t="n">
        <v>4</v>
      </c>
      <c r="I681" s="164" t="n">
        <v>1</v>
      </c>
      <c r="J681" s="18" t="n">
        <v>875.7</v>
      </c>
      <c r="K681" s="18" t="n">
        <v>808.7</v>
      </c>
      <c r="L681" s="18" t="n">
        <v>67</v>
      </c>
      <c r="M681" s="165" t="n">
        <v>23</v>
      </c>
      <c r="N681" s="16" t="n">
        <f aca="false" ca="false" dt2D="false" dtr="false" t="normal">P681+Q681+R681+S681+T681</f>
        <v>3048180.5500000003</v>
      </c>
      <c r="O681" s="18" t="n"/>
      <c r="P681" s="18" t="n">
        <v>0</v>
      </c>
      <c r="Q681" s="18" t="n"/>
      <c r="R681" s="27" t="n">
        <v>517323.2</v>
      </c>
      <c r="S681" s="27" t="n">
        <v>2228107.98</v>
      </c>
      <c r="T681" s="27" t="n">
        <v>302749.37</v>
      </c>
      <c r="U681" s="18" t="n">
        <v>4085.37235742834</v>
      </c>
      <c r="V681" s="18" t="n">
        <v>4085.37235742834</v>
      </c>
      <c r="W681" s="21" t="n">
        <v>2024</v>
      </c>
      <c r="X681" s="1" t="n">
        <v>417752.37</v>
      </c>
      <c r="Y681" s="3" t="n">
        <f aca="false" ca="false" dt2D="false" dtr="false" t="normal">+(K681*11.55+L681*23.1)*12*0.85</f>
        <v>111059.48700000001</v>
      </c>
      <c r="Z681" s="3" t="n">
        <f aca="false" ca="false" dt2D="false" dtr="false" t="normal">+(K681*11.55+L681*23.1)*12*30</f>
        <v>3919746.6000000006</v>
      </c>
      <c r="AA681" s="3" t="n">
        <f aca="false" ca="false" dt2D="false" dtr="false" t="normal">+N681-AB681</f>
        <v>0</v>
      </c>
      <c r="AB681" s="27" t="n">
        <f aca="false" ca="true" dt2D="false" dtr="false" t="normal">SUBTOTAL(9, AC681:AQ681)</f>
        <v>3048180.55</v>
      </c>
      <c r="AC681" s="17" t="n">
        <v>2166569.05</v>
      </c>
      <c r="AD681" s="18" t="n">
        <v>316706.14</v>
      </c>
      <c r="AE681" s="18" t="n">
        <v>564905.36</v>
      </c>
      <c r="AF681" s="18" t="n">
        <v>0</v>
      </c>
      <c r="AG681" s="18" t="n">
        <v>0</v>
      </c>
      <c r="AH681" s="18" t="n"/>
      <c r="AI681" s="17" t="n"/>
      <c r="AJ681" s="18" t="n">
        <v>0</v>
      </c>
      <c r="AK681" s="18" t="n">
        <v>0</v>
      </c>
      <c r="AL681" s="18" t="n">
        <v>0</v>
      </c>
      <c r="AM681" s="18" t="n">
        <v>0</v>
      </c>
      <c r="AN681" s="18" t="n">
        <v>0</v>
      </c>
      <c r="AO681" s="18" t="n"/>
      <c r="AP681" s="18" t="n"/>
      <c r="AQ681" s="185" t="n"/>
      <c r="AR681" s="186" t="n">
        <f aca="false" ca="false" dt2D="false" dtr="false" t="normal">COUNTIF(AC681:AN681, "&gt;0")</f>
        <v>3</v>
      </c>
      <c r="AU681" s="3" t="n"/>
    </row>
    <row ht="15.75" outlineLevel="0" r="682">
      <c r="A682" s="5" t="n">
        <f aca="false" ca="false" dt2D="false" dtr="false" t="normal">A681+1</f>
        <v>661</v>
      </c>
      <c r="B682" s="6" t="n">
        <f aca="false" ca="false" dt2D="false" dtr="false" t="normal">B681+1</f>
        <v>201</v>
      </c>
      <c r="C682" s="6" t="s">
        <v>133</v>
      </c>
      <c r="D682" s="6" t="s">
        <v>537</v>
      </c>
      <c r="E682" s="139" t="n">
        <v>1992</v>
      </c>
      <c r="F682" s="139" t="n">
        <v>2013</v>
      </c>
      <c r="G682" s="139" t="s">
        <v>4</v>
      </c>
      <c r="H682" s="139" t="n">
        <v>5</v>
      </c>
      <c r="I682" s="139" t="n">
        <v>3</v>
      </c>
      <c r="J682" s="17" t="n">
        <v>3334.6</v>
      </c>
      <c r="K682" s="17" t="n">
        <v>2949.9</v>
      </c>
      <c r="L682" s="17" t="n">
        <v>0</v>
      </c>
      <c r="M682" s="140" t="n">
        <v>91</v>
      </c>
      <c r="N682" s="16" t="n">
        <f aca="false" ca="false" dt2D="false" dtr="false" t="normal">P682+Q682+R682+S682+T682</f>
        <v>5482011.46</v>
      </c>
      <c r="O682" s="18" t="n"/>
      <c r="P682" s="18" t="n">
        <v>400750.83</v>
      </c>
      <c r="Q682" s="18" t="n"/>
      <c r="R682" s="27" t="n">
        <v>737264.17</v>
      </c>
      <c r="S682" s="27" t="n">
        <v>4343996.46</v>
      </c>
      <c r="T682" s="27" t="n">
        <v>0</v>
      </c>
      <c r="U682" s="17" t="n">
        <v>6090.189213932</v>
      </c>
      <c r="V682" s="17" t="n">
        <v>6090.189213932</v>
      </c>
      <c r="W682" s="21" t="n">
        <v>2024</v>
      </c>
      <c r="X682" s="1" t="n">
        <v>1192628.99</v>
      </c>
      <c r="Y682" s="3" t="n">
        <f aca="false" ca="false" dt2D="false" dtr="false" t="normal">+(K682*10+L682*20)*12*0.85</f>
        <v>300889.8</v>
      </c>
      <c r="Z682" s="3" t="n">
        <f aca="false" ca="false" dt2D="false" dtr="false" t="normal">+(K682*11.55+L682*23.1)*12*30</f>
        <v>12265684.200000001</v>
      </c>
      <c r="AA682" s="3" t="n">
        <f aca="false" ca="false" dt2D="false" dtr="false" t="normal">+N682-AB682</f>
        <v>0</v>
      </c>
      <c r="AB682" s="27" t="n">
        <f aca="false" ca="true" dt2D="false" dtr="false" t="normal">SUBTOTAL(9, AC682:AQ682)</f>
        <v>5482011.46</v>
      </c>
      <c r="AC682" s="17" t="n"/>
      <c r="AD682" s="18" t="n"/>
      <c r="AE682" s="18" t="n"/>
      <c r="AF682" s="18" t="n"/>
      <c r="AG682" s="18" t="n">
        <v>0</v>
      </c>
      <c r="AH682" s="18" t="n"/>
      <c r="AI682" s="17" t="n"/>
      <c r="AJ682" s="18" t="n">
        <v>0</v>
      </c>
      <c r="AK682" s="18" t="n">
        <v>0</v>
      </c>
      <c r="AL682" s="18" t="n">
        <v>0</v>
      </c>
      <c r="AM682" s="18" t="n">
        <v>5482011.46</v>
      </c>
      <c r="AN682" s="18" t="n">
        <v>0</v>
      </c>
      <c r="AO682" s="18" t="n"/>
      <c r="AP682" s="18" t="n"/>
      <c r="AQ682" s="185" t="n"/>
      <c r="AR682" s="186" t="n">
        <f aca="false" ca="false" dt2D="false" dtr="false" t="normal">COUNTIF(AC682:AN682, "&gt;0")</f>
        <v>1</v>
      </c>
      <c r="AU682" s="3" t="n"/>
    </row>
    <row ht="15.75" outlineLevel="0" r="683">
      <c r="A683" s="5" t="n">
        <f aca="false" ca="false" dt2D="false" dtr="false" t="normal">A682+1</f>
        <v>662</v>
      </c>
      <c r="B683" s="6" t="n">
        <f aca="false" ca="false" dt2D="false" dtr="false" t="normal">B682+1</f>
        <v>202</v>
      </c>
      <c r="C683" s="6" t="s">
        <v>133</v>
      </c>
      <c r="D683" s="6" t="s">
        <v>538</v>
      </c>
      <c r="E683" s="164" t="n">
        <v>1993</v>
      </c>
      <c r="F683" s="164" t="n">
        <v>2013</v>
      </c>
      <c r="G683" s="164" t="s">
        <v>4</v>
      </c>
      <c r="H683" s="164" t="n">
        <v>4</v>
      </c>
      <c r="I683" s="164" t="n">
        <v>2</v>
      </c>
      <c r="J683" s="18" t="n">
        <v>1957.1</v>
      </c>
      <c r="K683" s="18" t="n">
        <v>1782.2</v>
      </c>
      <c r="L683" s="18" t="n">
        <v>0</v>
      </c>
      <c r="M683" s="165" t="n">
        <v>51</v>
      </c>
      <c r="N683" s="16" t="n">
        <f aca="false" ca="false" dt2D="false" dtr="false" t="normal">P683+Q683+R683+S683+T683</f>
        <v>1064770.57</v>
      </c>
      <c r="O683" s="18" t="n"/>
      <c r="P683" s="18" t="n">
        <v>0</v>
      </c>
      <c r="Q683" s="18" t="n"/>
      <c r="R683" s="27" t="n">
        <v>205530.54</v>
      </c>
      <c r="S683" s="27" t="n">
        <v>859240.03</v>
      </c>
      <c r="T683" s="27" t="n">
        <v>0</v>
      </c>
      <c r="U683" s="18" t="n">
        <v>4359.15236785995</v>
      </c>
      <c r="V683" s="18" t="n">
        <v>4359.15236785995</v>
      </c>
      <c r="W683" s="21" t="n">
        <v>2024</v>
      </c>
      <c r="X683" s="1" t="n">
        <v>839929.25</v>
      </c>
      <c r="Y683" s="3" t="n">
        <f aca="false" ca="false" dt2D="false" dtr="false" t="normal">+(K683*11.55+L683*23.1)*12*0.85</f>
        <v>209960.98200000002</v>
      </c>
      <c r="Z683" s="3" t="n">
        <f aca="false" ca="false" dt2D="false" dtr="false" t="normal">+(K683*11.55+L683*23.1)*12*30</f>
        <v>7410387.6000000015</v>
      </c>
      <c r="AA683" s="3" t="n">
        <f aca="false" ca="false" dt2D="false" dtr="false" t="normal">+N683-AB683</f>
        <v>0</v>
      </c>
      <c r="AB683" s="27" t="n">
        <f aca="false" ca="true" dt2D="false" dtr="false" t="normal">SUBTOTAL(9, AC683:AQ683)</f>
        <v>1064770.57</v>
      </c>
      <c r="AC683" s="17" t="n"/>
      <c r="AD683" s="18" t="n"/>
      <c r="AE683" s="18" t="n">
        <v>1064770.57</v>
      </c>
      <c r="AF683" s="18" t="n"/>
      <c r="AG683" s="18" t="n">
        <v>0</v>
      </c>
      <c r="AH683" s="18" t="n"/>
      <c r="AI683" s="17" t="n"/>
      <c r="AJ683" s="18" t="n">
        <v>0</v>
      </c>
      <c r="AK683" s="18" t="n">
        <v>0</v>
      </c>
      <c r="AL683" s="18" t="n">
        <v>0</v>
      </c>
      <c r="AM683" s="18" t="n">
        <v>0</v>
      </c>
      <c r="AN683" s="18" t="n">
        <v>0</v>
      </c>
      <c r="AO683" s="18" t="n"/>
      <c r="AP683" s="18" t="n"/>
      <c r="AQ683" s="185" t="n"/>
      <c r="AR683" s="186" t="n">
        <f aca="false" ca="false" dt2D="false" dtr="false" t="normal">COUNTIF(AC683:AN683, "&gt;0")</f>
        <v>1</v>
      </c>
      <c r="AU683" s="3" t="n"/>
    </row>
    <row ht="15.75" outlineLevel="0" r="684">
      <c r="A684" s="5" t="n">
        <f aca="false" ca="false" dt2D="false" dtr="false" t="normal">A683+1</f>
        <v>663</v>
      </c>
      <c r="B684" s="6" t="n">
        <f aca="false" ca="false" dt2D="false" dtr="false" t="normal">B683+1</f>
        <v>203</v>
      </c>
      <c r="C684" s="6" t="s">
        <v>133</v>
      </c>
      <c r="D684" s="6" t="s">
        <v>539</v>
      </c>
      <c r="E684" s="164" t="n">
        <v>1995</v>
      </c>
      <c r="F684" s="164" t="n">
        <v>2013</v>
      </c>
      <c r="G684" s="164" t="s">
        <v>4</v>
      </c>
      <c r="H684" s="164" t="n">
        <v>5</v>
      </c>
      <c r="I684" s="164" t="n">
        <v>3</v>
      </c>
      <c r="J684" s="18" t="n">
        <v>3373.2</v>
      </c>
      <c r="K684" s="18" t="n">
        <v>2966.3</v>
      </c>
      <c r="L684" s="18" t="n">
        <v>0</v>
      </c>
      <c r="M684" s="165" t="n">
        <v>107</v>
      </c>
      <c r="N684" s="16" t="n">
        <f aca="false" ca="false" dt2D="false" dtr="false" t="normal">P684+Q684+R684+S684+T684</f>
        <v>8569952.620000001</v>
      </c>
      <c r="O684" s="18" t="n"/>
      <c r="P684" s="18" t="n">
        <v>0</v>
      </c>
      <c r="Q684" s="18" t="n"/>
      <c r="R684" s="27" t="n">
        <v>1643881.39</v>
      </c>
      <c r="S684" s="27" t="n">
        <v>6926071.23</v>
      </c>
      <c r="T684" s="27" t="n">
        <v>0</v>
      </c>
      <c r="U684" s="18" t="n">
        <v>3426.50511074402</v>
      </c>
      <c r="V684" s="18" t="n">
        <v>3426.50511074402</v>
      </c>
      <c r="W684" s="21" t="n">
        <v>2024</v>
      </c>
      <c r="X684" s="1" t="n">
        <v>1889603.9</v>
      </c>
      <c r="Y684" s="3" t="n">
        <f aca="false" ca="false" dt2D="false" dtr="false" t="normal">+(K684*11.55+L684*23.1)*12*0.85</f>
        <v>349459.803</v>
      </c>
      <c r="Z684" s="3" t="n">
        <f aca="false" ca="false" dt2D="false" dtr="false" t="normal">+(K684*11.55+L684*23.1)*12*30</f>
        <v>12333875.400000002</v>
      </c>
      <c r="AA684" s="3" t="n">
        <f aca="false" ca="false" dt2D="false" dtr="false" t="normal">+N684-AB684</f>
        <v>0</v>
      </c>
      <c r="AB684" s="27" t="n">
        <f aca="false" ca="true" dt2D="false" dtr="false" t="normal">SUBTOTAL(9, AC684:AQ684)</f>
        <v>8569952.620000001</v>
      </c>
      <c r="AC684" s="17" t="n">
        <v>7400420.94</v>
      </c>
      <c r="AD684" s="18" t="n">
        <v>1169531.68</v>
      </c>
      <c r="AE684" s="18" t="n">
        <v>0</v>
      </c>
      <c r="AF684" s="18" t="n"/>
      <c r="AG684" s="18" t="n">
        <v>0</v>
      </c>
      <c r="AH684" s="18" t="n"/>
      <c r="AI684" s="17" t="n"/>
      <c r="AJ684" s="18" t="n">
        <v>0</v>
      </c>
      <c r="AK684" s="18" t="n">
        <v>0</v>
      </c>
      <c r="AL684" s="18" t="n">
        <v>0</v>
      </c>
      <c r="AM684" s="18" t="n">
        <v>0</v>
      </c>
      <c r="AN684" s="18" t="n">
        <v>0</v>
      </c>
      <c r="AO684" s="18" t="n"/>
      <c r="AP684" s="18" t="n"/>
      <c r="AQ684" s="185" t="n"/>
      <c r="AR684" s="186" t="n">
        <f aca="false" ca="false" dt2D="false" dtr="false" t="normal">COUNTIF(AC684:AN684, "&gt;0")</f>
        <v>2</v>
      </c>
      <c r="AU684" s="3" t="n"/>
    </row>
    <row customFormat="true" ht="15.75" outlineLevel="0" r="685" s="184">
      <c r="A685" s="5" t="n">
        <f aca="false" ca="false" dt2D="false" dtr="false" t="normal">A684+1</f>
        <v>664</v>
      </c>
      <c r="B685" s="6" t="n">
        <f aca="false" ca="false" dt2D="false" dtr="false" t="normal">B684+1</f>
        <v>204</v>
      </c>
      <c r="C685" s="6" t="s">
        <v>541</v>
      </c>
      <c r="D685" s="6" t="s">
        <v>542</v>
      </c>
      <c r="E685" s="164" t="s">
        <v>181</v>
      </c>
      <c r="F685" s="164" t="s">
        <v>181</v>
      </c>
      <c r="G685" s="164" t="s">
        <v>4</v>
      </c>
      <c r="H685" s="164" t="s">
        <v>165</v>
      </c>
      <c r="I685" s="164" t="s">
        <v>159</v>
      </c>
      <c r="J685" s="18" t="n">
        <v>3412.5</v>
      </c>
      <c r="K685" s="18" t="n">
        <v>2249.4</v>
      </c>
      <c r="L685" s="18" t="n">
        <v>936.2</v>
      </c>
      <c r="M685" s="165" t="n">
        <v>105</v>
      </c>
      <c r="N685" s="16" t="n">
        <f aca="false" ca="false" dt2D="false" dtr="false" t="normal">P685+Q685+R685+S685+T685</f>
        <v>1901235.6</v>
      </c>
      <c r="O685" s="18" t="n">
        <v>0</v>
      </c>
      <c r="P685" s="18" t="n">
        <v>1459790.82</v>
      </c>
      <c r="Q685" s="18" t="n"/>
      <c r="R685" s="27" t="n">
        <v>441444.78</v>
      </c>
      <c r="S685" s="27" t="n">
        <v>0</v>
      </c>
      <c r="T685" s="27" t="n">
        <v>0</v>
      </c>
      <c r="U685" s="18" t="n">
        <v>2506.92447791321</v>
      </c>
      <c r="V685" s="18" t="n">
        <v>1416.283020064</v>
      </c>
      <c r="W685" s="21" t="n">
        <v>2024</v>
      </c>
      <c r="X685" s="103" t="n">
        <f aca="false" ca="false" dt2D="false" dtr="false" t="normal">906295.96-R360</f>
        <v>396556.24389285594</v>
      </c>
      <c r="Y685" s="3" t="n">
        <f aca="false" ca="false" dt2D="false" dtr="false" t="normal">+(K685*10.5+L685*21)*12*0.85</f>
        <v>441444.78</v>
      </c>
      <c r="Z685" s="3" t="n">
        <f aca="false" ca="false" dt2D="false" dtr="false" t="normal">+(K685*11.55+L685*23.1)*12*30</f>
        <v>17138444.400000002</v>
      </c>
      <c r="AA685" s="3" t="n">
        <f aca="false" ca="false" dt2D="false" dtr="false" t="normal">+N685-AB685</f>
        <v>0</v>
      </c>
      <c r="AB685" s="203" t="n">
        <f aca="false" ca="true" dt2D="false" dtr="false" t="normal">SUBTOTAL(9, AC685:AQ685)</f>
        <v>1901235.6</v>
      </c>
      <c r="AC685" s="17" t="n"/>
      <c r="AD685" s="18" t="n"/>
      <c r="AE685" s="18" t="n"/>
      <c r="AF685" s="18" t="n">
        <v>1901235.6</v>
      </c>
      <c r="AG685" s="18" t="n"/>
      <c r="AH685" s="18" t="n"/>
      <c r="AI685" s="17" t="n"/>
      <c r="AJ685" s="18" t="n"/>
      <c r="AK685" s="18" t="n"/>
      <c r="AL685" s="18" t="n"/>
      <c r="AM685" s="18" t="n"/>
      <c r="AN685" s="18" t="n"/>
      <c r="AO685" s="18" t="n"/>
      <c r="AP685" s="18" t="n"/>
      <c r="AQ685" s="185" t="n"/>
      <c r="AR685" s="186" t="n">
        <f aca="false" ca="false" dt2D="false" dtr="false" t="normal">COUNTIF(AC685:AN685, "&gt;0")</f>
        <v>1</v>
      </c>
      <c r="AT685" s="187" t="n"/>
      <c r="AU685" s="3" t="n"/>
    </row>
    <row customFormat="true" ht="15.75" outlineLevel="0" r="686" s="184">
      <c r="A686" s="5" t="n">
        <f aca="false" ca="false" dt2D="false" dtr="false" t="normal">A685+1</f>
        <v>665</v>
      </c>
      <c r="B686" s="6" t="n">
        <f aca="false" ca="false" dt2D="false" dtr="false" t="normal">B685+1</f>
        <v>205</v>
      </c>
      <c r="C686" s="6" t="s">
        <v>541</v>
      </c>
      <c r="D686" s="6" t="s">
        <v>544</v>
      </c>
      <c r="E686" s="164" t="s">
        <v>545</v>
      </c>
      <c r="F686" s="164" t="s">
        <v>545</v>
      </c>
      <c r="G686" s="164" t="s">
        <v>4</v>
      </c>
      <c r="H686" s="164" t="n">
        <v>5</v>
      </c>
      <c r="I686" s="164" t="s">
        <v>219</v>
      </c>
      <c r="J686" s="18" t="n">
        <v>2036.3</v>
      </c>
      <c r="K686" s="18" t="n">
        <v>1337.75</v>
      </c>
      <c r="L686" s="18" t="n">
        <v>476.4</v>
      </c>
      <c r="M686" s="165" t="n">
        <v>93</v>
      </c>
      <c r="N686" s="16" t="n">
        <f aca="false" ca="false" dt2D="false" dtr="false" t="normal">P686+Q686+R686+S686+T686</f>
        <v>2844579.8400000003</v>
      </c>
      <c r="O686" s="18" t="n">
        <v>0</v>
      </c>
      <c r="P686" s="18" t="n">
        <v>2599261.93</v>
      </c>
      <c r="Q686" s="18" t="n"/>
      <c r="R686" s="27" t="n">
        <v>245317.91</v>
      </c>
      <c r="S686" s="27" t="n">
        <v>0</v>
      </c>
      <c r="T686" s="27" t="n">
        <v>0</v>
      </c>
      <c r="U686" s="18" t="n">
        <v>2665.50989461595</v>
      </c>
      <c r="V686" s="18" t="n">
        <v>1418.283020064</v>
      </c>
      <c r="W686" s="21" t="n">
        <v>2024</v>
      </c>
      <c r="X686" s="103" t="n">
        <f aca="false" ca="false" dt2D="false" dtr="false" t="normal">522102.04-R362</f>
        <v>-245317.90499999997</v>
      </c>
      <c r="Y686" s="3" t="n">
        <f aca="false" ca="false" dt2D="false" dtr="false" t="normal">+(K686*10.5+L686*21)*12*0.85</f>
        <v>245317.90500000003</v>
      </c>
      <c r="Z686" s="3" t="n">
        <f aca="false" ca="false" dt2D="false" dtr="false" t="normal">+(K686*11.55+L686*23.1)*12*30</f>
        <v>9524106.899999999</v>
      </c>
      <c r="AA686" s="3" t="n">
        <f aca="false" ca="false" dt2D="false" dtr="false" t="normal">+N686-AB686</f>
        <v>0</v>
      </c>
      <c r="AB686" s="203" t="n">
        <f aca="false" ca="true" dt2D="false" dtr="false" t="normal">SUBTOTAL(9, AC686:AQ686)</f>
        <v>2844579.84</v>
      </c>
      <c r="AC686" s="17" t="n"/>
      <c r="AD686" s="18" t="n"/>
      <c r="AE686" s="18" t="n"/>
      <c r="AF686" s="18" t="n">
        <v>2844579.84</v>
      </c>
      <c r="AG686" s="18" t="n"/>
      <c r="AH686" s="18" t="n"/>
      <c r="AI686" s="17" t="n"/>
      <c r="AJ686" s="18" t="n"/>
      <c r="AK686" s="18" t="n"/>
      <c r="AL686" s="18" t="n"/>
      <c r="AM686" s="18" t="n"/>
      <c r="AN686" s="18" t="n"/>
      <c r="AO686" s="18" t="n"/>
      <c r="AP686" s="18" t="n"/>
      <c r="AQ686" s="185" t="n"/>
      <c r="AR686" s="186" t="n">
        <f aca="false" ca="false" dt2D="false" dtr="false" t="normal">COUNTIF(AC686:AN686, "&gt;0")</f>
        <v>1</v>
      </c>
      <c r="AT686" s="187" t="n"/>
      <c r="AU686" s="3" t="n"/>
    </row>
    <row ht="15.75" outlineLevel="0" r="687">
      <c r="A687" s="5" t="n">
        <f aca="false" ca="false" dt2D="false" dtr="false" t="normal">A686+1</f>
        <v>666</v>
      </c>
      <c r="B687" s="6" t="n">
        <f aca="false" ca="false" dt2D="false" dtr="false" t="normal">B686+1</f>
        <v>206</v>
      </c>
      <c r="C687" s="6" t="s">
        <v>405</v>
      </c>
      <c r="D687" s="6" t="s">
        <v>547</v>
      </c>
      <c r="E687" s="164" t="n">
        <v>1974</v>
      </c>
      <c r="F687" s="164" t="n">
        <v>1980</v>
      </c>
      <c r="G687" s="164" t="s">
        <v>4</v>
      </c>
      <c r="H687" s="164" t="n">
        <v>4</v>
      </c>
      <c r="I687" s="164" t="n">
        <v>4</v>
      </c>
      <c r="J687" s="18" t="n">
        <v>3718.5</v>
      </c>
      <c r="K687" s="18" t="n">
        <v>2628.2</v>
      </c>
      <c r="L687" s="18" t="n">
        <v>61.4</v>
      </c>
      <c r="M687" s="165" t="n">
        <v>99</v>
      </c>
      <c r="N687" s="16" t="n">
        <f aca="false" ca="false" dt2D="false" dtr="false" t="normal">P687+Q687+R687+S687+T687</f>
        <v>6370834.5</v>
      </c>
      <c r="O687" s="18" t="n"/>
      <c r="P687" s="18" t="n">
        <v>3189517.78</v>
      </c>
      <c r="Q687" s="18" t="n"/>
      <c r="R687" s="27" t="n">
        <v>666056.39</v>
      </c>
      <c r="S687" s="27" t="n">
        <v>2310467.35</v>
      </c>
      <c r="T687" s="27" t="n">
        <v>204792.98</v>
      </c>
      <c r="U687" s="18" t="n">
        <v>1389.04454330265</v>
      </c>
      <c r="V687" s="18" t="n">
        <v>1389.04454330265</v>
      </c>
      <c r="W687" s="21" t="n">
        <v>2024</v>
      </c>
      <c r="X687" s="12" t="n">
        <f aca="false" ca="false" dt2D="false" dtr="false" t="normal">1100335.2-R365</f>
        <v>-280602</v>
      </c>
      <c r="Y687" s="3" t="n">
        <f aca="false" ca="false" dt2D="false" dtr="false" t="normal">+(K687*10+L687*20)*12*0.85</f>
        <v>280602</v>
      </c>
      <c r="Z687" s="3" t="n">
        <f aca="false" ca="false" dt2D="false" dtr="false" t="normal">+(K687*11.55+L687*23.1)*12*30</f>
        <v>11438658</v>
      </c>
      <c r="AA687" s="3" t="n">
        <f aca="false" ca="false" dt2D="false" dtr="false" t="normal">+N687-AB687</f>
        <v>0</v>
      </c>
      <c r="AB687" s="27" t="n">
        <f aca="false" ca="true" dt2D="false" dtr="false" t="normal">SUBTOTAL(9, AC687:AQ687)</f>
        <v>6370834.5</v>
      </c>
      <c r="AC687" s="17" t="n">
        <v>3095717.34</v>
      </c>
      <c r="AD687" s="18" t="n">
        <v>827311.2</v>
      </c>
      <c r="AE687" s="18" t="n"/>
      <c r="AF687" s="18" t="n">
        <v>2447805.96</v>
      </c>
      <c r="AG687" s="18" t="n">
        <v>0</v>
      </c>
      <c r="AH687" s="18" t="n"/>
      <c r="AI687" s="17" t="n"/>
      <c r="AJ687" s="18" t="n"/>
      <c r="AK687" s="18" t="n"/>
      <c r="AL687" s="18" t="n">
        <v>0</v>
      </c>
      <c r="AM687" s="18" t="n">
        <v>0</v>
      </c>
      <c r="AN687" s="18" t="n">
        <v>0</v>
      </c>
      <c r="AO687" s="18" t="n"/>
      <c r="AP687" s="18" t="n"/>
      <c r="AQ687" s="185" t="n"/>
      <c r="AR687" s="186" t="n">
        <f aca="false" ca="false" dt2D="false" dtr="false" t="normal">COUNTIF(AC687:AN687, "&gt;0")</f>
        <v>3</v>
      </c>
      <c r="AU687" s="3" t="n"/>
    </row>
    <row ht="15.75" outlineLevel="0" r="688">
      <c r="A688" s="5" t="n">
        <f aca="false" ca="false" dt2D="false" dtr="false" t="normal">A687+1</f>
        <v>667</v>
      </c>
      <c r="B688" s="6" t="n">
        <f aca="false" ca="false" dt2D="false" dtr="false" t="normal">B687+1</f>
        <v>207</v>
      </c>
      <c r="C688" s="138" t="s">
        <v>405</v>
      </c>
      <c r="D688" s="138" t="s">
        <v>408</v>
      </c>
      <c r="E688" s="139" t="n">
        <v>1986</v>
      </c>
      <c r="F688" s="139" t="n">
        <v>1986</v>
      </c>
      <c r="G688" s="139" t="s">
        <v>4</v>
      </c>
      <c r="H688" s="139" t="n">
        <v>4</v>
      </c>
      <c r="I688" s="139" t="n">
        <v>4</v>
      </c>
      <c r="J688" s="17" t="n">
        <v>3420.4</v>
      </c>
      <c r="K688" s="17" t="n">
        <v>2641.9</v>
      </c>
      <c r="L688" s="17" t="n">
        <v>0</v>
      </c>
      <c r="M688" s="140" t="n">
        <v>102</v>
      </c>
      <c r="N688" s="16" t="n">
        <f aca="false" ca="false" dt2D="false" dtr="false" t="normal">P688+Q688+R688+S688+T688</f>
        <v>6183525.54</v>
      </c>
      <c r="O688" s="17" t="n"/>
      <c r="P688" s="18" t="n">
        <v>0</v>
      </c>
      <c r="Q688" s="18" t="n"/>
      <c r="R688" s="27" t="n">
        <v>1403861.2</v>
      </c>
      <c r="S688" s="27" t="n">
        <v>4779664.34</v>
      </c>
      <c r="T688" s="27" t="n">
        <v>0</v>
      </c>
      <c r="U688" s="17" t="n">
        <v>2972.35676823952</v>
      </c>
      <c r="V688" s="17" t="n">
        <v>2972.35676823952</v>
      </c>
      <c r="W688" s="21" t="n">
        <v>2024</v>
      </c>
      <c r="X688" s="1" t="n">
        <v>1184809.02</v>
      </c>
      <c r="Y688" s="3" t="n">
        <f aca="false" ca="false" dt2D="false" dtr="false" t="normal">+(K688*10+L688*20)*12*0.85</f>
        <v>269473.8</v>
      </c>
      <c r="Z688" s="3" t="n">
        <f aca="false" ca="false" dt2D="false" dtr="false" t="normal">+(K688*11.55+L688*23.1)*12*30</f>
        <v>10985020.200000001</v>
      </c>
      <c r="AA688" s="3" t="n">
        <f aca="false" ca="false" dt2D="false" dtr="false" t="normal">+N688-AB688</f>
        <v>0</v>
      </c>
      <c r="AB688" s="27" t="n">
        <f aca="false" ca="true" dt2D="false" dtr="false" t="normal">SUBTOTAL(9, AC688:AQ688)</f>
        <v>6183525.54</v>
      </c>
      <c r="AC688" s="17" t="n">
        <v>0</v>
      </c>
      <c r="AD688" s="18" t="n">
        <v>0</v>
      </c>
      <c r="AE688" s="18" t="n">
        <v>0</v>
      </c>
      <c r="AF688" s="18" t="n">
        <v>0</v>
      </c>
      <c r="AG688" s="18" t="n">
        <v>0</v>
      </c>
      <c r="AH688" s="18" t="n"/>
      <c r="AI688" s="17" t="n"/>
      <c r="AJ688" s="18" t="n">
        <v>0</v>
      </c>
      <c r="AK688" s="18" t="n"/>
      <c r="AL688" s="18" t="n">
        <v>0</v>
      </c>
      <c r="AM688" s="18" t="n">
        <v>0</v>
      </c>
      <c r="AN688" s="18" t="n">
        <v>6183525.54</v>
      </c>
      <c r="AO688" s="18" t="n"/>
      <c r="AP688" s="18" t="n"/>
      <c r="AQ688" s="185" t="n"/>
      <c r="AR688" s="186" t="n">
        <f aca="false" ca="false" dt2D="false" dtr="false" t="normal">COUNTIF(AC688:AN688, "&gt;0")</f>
        <v>1</v>
      </c>
      <c r="AU688" s="3" t="n"/>
    </row>
    <row ht="15.75" outlineLevel="0" r="689">
      <c r="A689" s="5" t="n">
        <f aca="false" ca="false" dt2D="false" dtr="false" t="normal">A688+1</f>
        <v>668</v>
      </c>
      <c r="B689" s="6" t="n">
        <f aca="false" ca="false" dt2D="false" dtr="false" t="normal">B688+1</f>
        <v>208</v>
      </c>
      <c r="C689" s="138" t="s">
        <v>549</v>
      </c>
      <c r="D689" s="138" t="s">
        <v>550</v>
      </c>
      <c r="E689" s="139" t="n">
        <v>1978</v>
      </c>
      <c r="F689" s="139" t="n">
        <v>2012</v>
      </c>
      <c r="G689" s="139" t="s">
        <v>4</v>
      </c>
      <c r="H689" s="139" t="n">
        <v>2</v>
      </c>
      <c r="I689" s="139" t="n">
        <v>2</v>
      </c>
      <c r="J689" s="17" t="n">
        <v>490.77</v>
      </c>
      <c r="K689" s="17" t="n">
        <v>162.07</v>
      </c>
      <c r="L689" s="17" t="n">
        <v>0</v>
      </c>
      <c r="M689" s="140" t="n">
        <v>14</v>
      </c>
      <c r="N689" s="16" t="n">
        <f aca="false" ca="false" dt2D="false" dtr="false" t="normal">P689+Q689+R689+S689+T689</f>
        <v>5015755.25</v>
      </c>
      <c r="O689" s="18" t="n"/>
      <c r="P689" s="18" t="n">
        <v>0</v>
      </c>
      <c r="Q689" s="18" t="n">
        <v>0</v>
      </c>
      <c r="R689" s="27" t="n">
        <v>76494.3</v>
      </c>
      <c r="S689" s="27" t="n">
        <v>229482.91</v>
      </c>
      <c r="T689" s="27" t="n">
        <v>4709778.04</v>
      </c>
      <c r="U689" s="18" t="n">
        <v>104344.341333991</v>
      </c>
      <c r="V689" s="18" t="n">
        <v>104344.341333991</v>
      </c>
      <c r="W689" s="21" t="n">
        <v>2024</v>
      </c>
      <c r="Y689" s="3" t="n">
        <f aca="false" ca="false" dt2D="false" dtr="false" t="normal">+(K689*11.55+L689*23.1)*12*0.85</f>
        <v>19093.4667</v>
      </c>
      <c r="Z689" s="3" t="n">
        <f aca="false" ca="false" dt2D="false" dtr="false" t="normal">+(K689*11.55+L689*23.1)*12*30-'[1]Лист1'!$AQ$239</f>
        <v>-92128.70999999996</v>
      </c>
      <c r="AA689" s="3" t="n">
        <f aca="false" ca="false" dt2D="false" dtr="false" t="normal">+N689-AB689</f>
        <v>0</v>
      </c>
      <c r="AB689" s="27" t="n">
        <f aca="false" ca="true" dt2D="false" dtr="false" t="normal">SUBTOTAL(9, AC689:AQ689)</f>
        <v>5015755.25</v>
      </c>
      <c r="AC689" s="17" t="n">
        <v>1472677.42</v>
      </c>
      <c r="AD689" s="18" t="n">
        <v>710689.9</v>
      </c>
      <c r="AE689" s="18" t="n">
        <v>274938.06</v>
      </c>
      <c r="AF689" s="18" t="n">
        <v>418011.7</v>
      </c>
      <c r="AG689" s="18" t="n">
        <v>0</v>
      </c>
      <c r="AH689" s="18" t="n"/>
      <c r="AI689" s="17" t="n"/>
      <c r="AJ689" s="18" t="n">
        <v>0</v>
      </c>
      <c r="AK689" s="18" t="n"/>
      <c r="AL689" s="18" t="n">
        <v>0</v>
      </c>
      <c r="AM689" s="18" t="n">
        <v>2139438.17</v>
      </c>
      <c r="AN689" s="17" t="n"/>
      <c r="AO689" s="189" t="n"/>
      <c r="AP689" s="189" t="n"/>
      <c r="AQ689" s="185" t="n"/>
      <c r="AR689" s="186" t="n">
        <f aca="false" ca="false" dt2D="false" dtr="false" t="normal">COUNTIF(AC689:AN689, "&gt;0")</f>
        <v>5</v>
      </c>
      <c r="AU689" s="3" t="n"/>
    </row>
    <row ht="15.75" outlineLevel="0" r="690">
      <c r="A690" s="5" t="n">
        <f aca="false" ca="false" dt2D="false" dtr="false" t="normal">A689+1</f>
        <v>669</v>
      </c>
      <c r="B690" s="6" t="n">
        <f aca="false" ca="false" dt2D="false" dtr="false" t="normal">B689+1</f>
        <v>209</v>
      </c>
      <c r="C690" s="6" t="s">
        <v>552</v>
      </c>
      <c r="D690" s="6" t="s">
        <v>553</v>
      </c>
      <c r="E690" s="164" t="n">
        <v>1980</v>
      </c>
      <c r="F690" s="164" t="n">
        <v>2013</v>
      </c>
      <c r="G690" s="164" t="s">
        <v>460</v>
      </c>
      <c r="H690" s="164" t="n">
        <v>1</v>
      </c>
      <c r="I690" s="164" t="n">
        <v>2</v>
      </c>
      <c r="J690" s="18" t="n">
        <v>418.7</v>
      </c>
      <c r="K690" s="18" t="n">
        <v>397.3</v>
      </c>
      <c r="L690" s="18" t="n">
        <v>0</v>
      </c>
      <c r="M690" s="165" t="n">
        <v>19</v>
      </c>
      <c r="N690" s="16" t="n">
        <f aca="false" ca="false" dt2D="false" dtr="false" t="normal">P690+Q690+R690+S690+T690</f>
        <v>1320116.35</v>
      </c>
      <c r="O690" s="18" t="n"/>
      <c r="P690" s="18" t="n">
        <v>848371.03</v>
      </c>
      <c r="Q690" s="18" t="n"/>
      <c r="R690" s="27" t="n">
        <v>164200.84</v>
      </c>
      <c r="S690" s="27" t="n">
        <v>307544.48</v>
      </c>
      <c r="T690" s="27" t="n">
        <v>0</v>
      </c>
      <c r="U690" s="18" t="n">
        <v>10885.5089671502</v>
      </c>
      <c r="V690" s="18" t="n">
        <v>1421.283020064</v>
      </c>
      <c r="W690" s="21" t="n">
        <v>2024</v>
      </c>
      <c r="X690" s="12" t="e">
        <f aca="false" ca="false" dt2D="false" dtr="false" t="normal">185510.57-#REF!</f>
        <v>#REF!</v>
      </c>
      <c r="Y690" s="3" t="n">
        <f aca="false" ca="false" dt2D="false" dtr="false" t="normal">+(K690*7.46+L690*20.48)*12*0.85</f>
        <v>30231.3516</v>
      </c>
      <c r="Z690" s="3" t="e">
        <f aca="false" ca="false" dt2D="false" dtr="false" t="normal">+(K690*7.46+L690*20.48)*12*10-#REF!</f>
        <v>#REF!</v>
      </c>
      <c r="AA690" s="3" t="n">
        <f aca="false" ca="false" dt2D="false" dtr="false" t="normal">+N690-AB690</f>
        <v>0</v>
      </c>
      <c r="AB690" s="203" t="n">
        <f aca="false" ca="true" dt2D="false" dtr="false" t="normal">SUBTOTAL(9, AC690:AQ690)</f>
        <v>1320116.35</v>
      </c>
      <c r="AC690" s="17" t="n">
        <v>0</v>
      </c>
      <c r="AD690" s="18" t="n">
        <v>0</v>
      </c>
      <c r="AE690" s="18" t="n">
        <v>0</v>
      </c>
      <c r="AF690" s="18" t="n">
        <v>0</v>
      </c>
      <c r="AG690" s="18" t="n">
        <v>0</v>
      </c>
      <c r="AH690" s="18" t="n"/>
      <c r="AI690" s="17" t="n"/>
      <c r="AJ690" s="18" t="n">
        <v>0</v>
      </c>
      <c r="AK690" s="18" t="n">
        <v>1320116.35</v>
      </c>
      <c r="AL690" s="18" t="n">
        <v>0</v>
      </c>
      <c r="AM690" s="18" t="n">
        <v>0</v>
      </c>
      <c r="AN690" s="18" t="n"/>
      <c r="AO690" s="18" t="n"/>
      <c r="AP690" s="18" t="n"/>
      <c r="AQ690" s="185" t="n"/>
      <c r="AR690" s="186" t="n">
        <f aca="false" ca="false" dt2D="false" dtr="false" t="normal">COUNTIF(AC690:AN690, "&gt;0")</f>
        <v>1</v>
      </c>
      <c r="AU690" s="3" t="n"/>
    </row>
    <row ht="15.75" outlineLevel="0" r="691">
      <c r="A691" s="5" t="n">
        <f aca="false" ca="false" dt2D="false" dtr="false" t="normal">A690+1</f>
        <v>670</v>
      </c>
      <c r="B691" s="6" t="n">
        <f aca="false" ca="false" dt2D="false" dtr="false" t="normal">B690+1</f>
        <v>210</v>
      </c>
      <c r="C691" s="138" t="s">
        <v>552</v>
      </c>
      <c r="D691" s="138" t="s">
        <v>556</v>
      </c>
      <c r="E691" s="139" t="n">
        <v>1975</v>
      </c>
      <c r="F691" s="139" t="n">
        <v>2009</v>
      </c>
      <c r="G691" s="139" t="s">
        <v>460</v>
      </c>
      <c r="H691" s="139" t="n">
        <v>2</v>
      </c>
      <c r="I691" s="139" t="n">
        <v>3</v>
      </c>
      <c r="J691" s="17" t="n">
        <v>588.93</v>
      </c>
      <c r="K691" s="17" t="n">
        <v>526.89</v>
      </c>
      <c r="L691" s="17" t="n">
        <v>0</v>
      </c>
      <c r="M691" s="140" t="n">
        <v>25</v>
      </c>
      <c r="N691" s="16" t="n">
        <f aca="false" ca="false" dt2D="false" dtr="false" t="normal">P691+Q691+R691+S691+T691</f>
        <v>5596483.329999999</v>
      </c>
      <c r="O691" s="17" t="n"/>
      <c r="P691" s="18" t="n">
        <v>3827721.3</v>
      </c>
      <c r="Q691" s="18" t="n"/>
      <c r="R691" s="27" t="n">
        <v>212608.82</v>
      </c>
      <c r="S691" s="27" t="n">
        <v>436856.54</v>
      </c>
      <c r="T691" s="27" t="n">
        <v>1119296.67</v>
      </c>
      <c r="U691" s="17" t="n">
        <v>12595.9468959365</v>
      </c>
      <c r="V691" s="17" t="n">
        <v>12595.9468959365</v>
      </c>
      <c r="W691" s="21" t="n">
        <v>2024</v>
      </c>
      <c r="X691" s="1" t="n">
        <v>178712.19</v>
      </c>
      <c r="Y691" s="3" t="n">
        <f aca="false" ca="false" dt2D="false" dtr="false" t="normal">+(K691*7.1+L691*19.5)*12*0.85</f>
        <v>38157.3738</v>
      </c>
      <c r="Z691" s="3" t="n">
        <f aca="false" ca="false" dt2D="false" dtr="false" t="normal">+(K691*7.1+L691*19.5)*12*10</f>
        <v>448910.27999999997</v>
      </c>
      <c r="AA691" s="3" t="n">
        <f aca="false" ca="false" dt2D="false" dtr="false" t="normal">+N691-AB691</f>
        <v>0</v>
      </c>
      <c r="AB691" s="27" t="n">
        <f aca="false" ca="true" dt2D="false" dtr="false" t="normal">SUBTOTAL(9, AC691:AQ691)</f>
        <v>5596483.33</v>
      </c>
      <c r="AC691" s="17" t="n">
        <v>710185.51</v>
      </c>
      <c r="AD691" s="18" t="n">
        <v>0</v>
      </c>
      <c r="AE691" s="18" t="n">
        <v>0</v>
      </c>
      <c r="AF691" s="18" t="n">
        <v>391579.08</v>
      </c>
      <c r="AG691" s="18" t="n">
        <v>0</v>
      </c>
      <c r="AH691" s="18" t="n"/>
      <c r="AI691" s="17" t="n"/>
      <c r="AJ691" s="18" t="n">
        <v>0</v>
      </c>
      <c r="AK691" s="18" t="n">
        <v>1367704.78</v>
      </c>
      <c r="AL691" s="18" t="n">
        <v>0</v>
      </c>
      <c r="AM691" s="18" t="n">
        <v>3127013.96</v>
      </c>
      <c r="AN691" s="18" t="n">
        <v>0</v>
      </c>
      <c r="AO691" s="18" t="n"/>
      <c r="AP691" s="18" t="n"/>
      <c r="AQ691" s="185" t="n"/>
      <c r="AR691" s="186" t="n">
        <f aca="false" ca="false" dt2D="false" dtr="false" t="normal">COUNTIF(AC691:AN691, "&gt;0")</f>
        <v>4</v>
      </c>
      <c r="AU691" s="3" t="n"/>
    </row>
    <row ht="15.75" outlineLevel="0" r="692">
      <c r="A692" s="5" t="n">
        <f aca="false" ca="false" dt2D="false" dtr="false" t="normal">A691+1</f>
        <v>671</v>
      </c>
      <c r="B692" s="6" t="n">
        <f aca="false" ca="false" dt2D="false" dtr="false" t="normal">B691+1</f>
        <v>211</v>
      </c>
      <c r="C692" s="6" t="s">
        <v>552</v>
      </c>
      <c r="D692" s="6" t="s">
        <v>557</v>
      </c>
      <c r="E692" s="164" t="n">
        <v>1975</v>
      </c>
      <c r="F692" s="164" t="n">
        <v>1975</v>
      </c>
      <c r="G692" s="164" t="s">
        <v>460</v>
      </c>
      <c r="H692" s="164" t="n">
        <v>2</v>
      </c>
      <c r="I692" s="164" t="n">
        <v>2</v>
      </c>
      <c r="J692" s="18" t="n">
        <v>404.7</v>
      </c>
      <c r="K692" s="18" t="n">
        <v>359</v>
      </c>
      <c r="L692" s="18" t="n">
        <v>0</v>
      </c>
      <c r="M692" s="165" t="n">
        <v>19</v>
      </c>
      <c r="N692" s="16" t="n">
        <f aca="false" ca="false" dt2D="false" dtr="false" t="normal">P692+Q692+R692+S692+T692</f>
        <v>333999.73</v>
      </c>
      <c r="O692" s="18" t="n"/>
      <c r="P692" s="18" t="n">
        <v>0</v>
      </c>
      <c r="Q692" s="18" t="n"/>
      <c r="R692" s="27" t="n">
        <v>153563.35</v>
      </c>
      <c r="S692" s="27" t="n">
        <v>180436.38</v>
      </c>
      <c r="T692" s="27" t="n">
        <v>0</v>
      </c>
      <c r="U692" s="18" t="n">
        <v>381.665319410424</v>
      </c>
      <c r="V692" s="18" t="n">
        <v>1422.283020064</v>
      </c>
      <c r="W692" s="21" t="n">
        <v>2024</v>
      </c>
      <c r="X692" s="12" t="n">
        <v>0</v>
      </c>
      <c r="Y692" s="3" t="n">
        <f aca="false" ca="false" dt2D="false" dtr="false" t="normal">+($K692*8.21+$L692*22.53)*12*0.85</f>
        <v>30063.378000000004</v>
      </c>
      <c r="Z692" s="3" t="n">
        <f aca="false" ca="false" dt2D="false" dtr="false" t="normal">+($K692*8.21+$L692*22.53)*12*10-'[1]Лист1'!$AQ$242</f>
        <v>22339.810000000056</v>
      </c>
      <c r="AA692" s="3" t="n">
        <f aca="false" ca="false" dt2D="false" dtr="false" t="normal">+N692-AB692</f>
        <v>0</v>
      </c>
      <c r="AB692" s="203" t="n">
        <f aca="false" ca="true" dt2D="false" dtr="false" t="normal">SUBTOTAL(9, AC692:AQ692)</f>
        <v>333999.73</v>
      </c>
      <c r="AC692" s="17" t="n">
        <v>0</v>
      </c>
      <c r="AD692" s="18" t="n">
        <v>0</v>
      </c>
      <c r="AE692" s="18" t="n"/>
      <c r="AF692" s="18" t="n">
        <v>0</v>
      </c>
      <c r="AG692" s="18" t="n">
        <v>0</v>
      </c>
      <c r="AH692" s="18" t="n"/>
      <c r="AI692" s="17" t="n"/>
      <c r="AJ692" s="18" t="n">
        <v>0</v>
      </c>
      <c r="AK692" s="18" t="n">
        <v>0</v>
      </c>
      <c r="AL692" s="18" t="n">
        <v>0</v>
      </c>
      <c r="AM692" s="18" t="n">
        <v>333999.73</v>
      </c>
      <c r="AN692" s="18" t="n">
        <v>0</v>
      </c>
      <c r="AO692" s="18" t="n"/>
      <c r="AP692" s="18" t="n"/>
      <c r="AQ692" s="185" t="n"/>
      <c r="AR692" s="186" t="n">
        <f aca="false" ca="false" dt2D="false" dtr="false" t="normal">COUNTIF(AC692:AN692, "&gt;0")</f>
        <v>1</v>
      </c>
      <c r="AU692" s="3" t="n"/>
    </row>
    <row ht="15.75" outlineLevel="0" r="693">
      <c r="A693" s="5" t="n">
        <f aca="false" ca="false" dt2D="false" dtr="false" t="normal">A692+1</f>
        <v>672</v>
      </c>
      <c r="B693" s="6" t="n">
        <f aca="false" ca="false" dt2D="false" dtr="false" t="normal">B692+1</f>
        <v>212</v>
      </c>
      <c r="C693" s="6" t="s">
        <v>552</v>
      </c>
      <c r="D693" s="6" t="s">
        <v>558</v>
      </c>
      <c r="E693" s="164" t="n">
        <v>1982</v>
      </c>
      <c r="F693" s="164" t="n">
        <v>1982</v>
      </c>
      <c r="G693" s="164" t="s">
        <v>460</v>
      </c>
      <c r="H693" s="164" t="n">
        <v>2</v>
      </c>
      <c r="I693" s="164" t="n">
        <v>3</v>
      </c>
      <c r="J693" s="18" t="n">
        <v>1277.5</v>
      </c>
      <c r="K693" s="18" t="n">
        <v>1102.3</v>
      </c>
      <c r="L693" s="18" t="n">
        <v>0</v>
      </c>
      <c r="M693" s="165" t="n">
        <v>34</v>
      </c>
      <c r="N693" s="16" t="n">
        <f aca="false" ca="false" dt2D="false" dtr="false" t="normal">P693+Q693+R693+S693+T693</f>
        <v>6025508.04</v>
      </c>
      <c r="O693" s="18" t="n"/>
      <c r="P693" s="18" t="n">
        <v>4284721.42</v>
      </c>
      <c r="Q693" s="18" t="n"/>
      <c r="R693" s="27" t="n">
        <v>178561.67</v>
      </c>
      <c r="S693" s="27" t="n">
        <v>357123.34</v>
      </c>
      <c r="T693" s="27" t="n">
        <v>1205101.61</v>
      </c>
      <c r="U693" s="18" t="n">
        <v>6498.55449858717</v>
      </c>
      <c r="V693" s="18" t="n">
        <v>1423.283020064</v>
      </c>
      <c r="W693" s="21" t="n">
        <v>2024</v>
      </c>
      <c r="X693" s="12" t="e">
        <f aca="false" ca="false" dt2D="false" dtr="false" t="normal">397322.38-#REF!</f>
        <v>#REF!</v>
      </c>
      <c r="Y693" s="3" t="n">
        <f aca="false" ca="false" dt2D="false" dtr="false" t="normal">+(K693*7.46+L693*20.48)*12*0.85</f>
        <v>83876.2116</v>
      </c>
      <c r="Z693" s="3" t="e">
        <f aca="false" ca="false" dt2D="false" dtr="false" t="normal">+(K693*7.46+L693*20.48)*12*10-#REF!</f>
        <v>#REF!</v>
      </c>
      <c r="AA693" s="3" t="n">
        <f aca="false" ca="false" dt2D="false" dtr="false" t="normal">+N693-AB693</f>
        <v>0</v>
      </c>
      <c r="AB693" s="203" t="n">
        <f aca="false" ca="true" dt2D="false" dtr="false" t="normal">SUBTOTAL(9, AC693:AQ693)</f>
        <v>6025508.04</v>
      </c>
      <c r="AC693" s="17" t="n"/>
      <c r="AD693" s="18" t="n">
        <v>0</v>
      </c>
      <c r="AE693" s="18" t="n"/>
      <c r="AF693" s="18" t="n"/>
      <c r="AG693" s="18" t="n">
        <v>0</v>
      </c>
      <c r="AH693" s="18" t="n"/>
      <c r="AI693" s="17" t="n"/>
      <c r="AJ693" s="18" t="n">
        <v>0</v>
      </c>
      <c r="AK693" s="18" t="n"/>
      <c r="AL693" s="18" t="n">
        <v>0</v>
      </c>
      <c r="AM693" s="18" t="n">
        <v>6025508.04</v>
      </c>
      <c r="AN693" s="18" t="n"/>
      <c r="AO693" s="18" t="n"/>
      <c r="AP693" s="18" t="n"/>
      <c r="AQ693" s="185" t="n"/>
      <c r="AR693" s="186" t="n">
        <f aca="false" ca="false" dt2D="false" dtr="false" t="normal">COUNTIF(AC693:AN693, "&gt;0")</f>
        <v>1</v>
      </c>
      <c r="AU693" s="3" t="n"/>
    </row>
    <row ht="15.75" outlineLevel="0" r="694">
      <c r="A694" s="5" t="n">
        <f aca="false" ca="false" dt2D="false" dtr="false" t="normal">A693+1</f>
        <v>673</v>
      </c>
      <c r="B694" s="6" t="n">
        <f aca="false" ca="false" dt2D="false" dtr="false" t="normal">B693+1</f>
        <v>213</v>
      </c>
      <c r="C694" s="6" t="s">
        <v>552</v>
      </c>
      <c r="D694" s="6" t="s">
        <v>559</v>
      </c>
      <c r="E694" s="164" t="n">
        <v>1980</v>
      </c>
      <c r="F694" s="164" t="n">
        <v>2009</v>
      </c>
      <c r="G694" s="164" t="s">
        <v>460</v>
      </c>
      <c r="H694" s="164" t="n">
        <v>2</v>
      </c>
      <c r="I694" s="164" t="n">
        <v>2</v>
      </c>
      <c r="J694" s="18" t="n">
        <v>672.9</v>
      </c>
      <c r="K694" s="18" t="n">
        <v>611.1</v>
      </c>
      <c r="L694" s="18" t="n">
        <v>0</v>
      </c>
      <c r="M694" s="165" t="n">
        <v>29</v>
      </c>
      <c r="N694" s="16" t="n">
        <f aca="false" ca="false" dt2D="false" dtr="false" t="normal">P694+Q694+R694+S694+T694</f>
        <v>5444265.84</v>
      </c>
      <c r="O694" s="18" t="n"/>
      <c r="P694" s="18" t="n">
        <v>1634734.9</v>
      </c>
      <c r="Q694" s="18" t="n"/>
      <c r="R694" s="27" t="n">
        <v>200749.58</v>
      </c>
      <c r="S694" s="27" t="n">
        <v>468415.7</v>
      </c>
      <c r="T694" s="27" t="n">
        <v>3140365.66</v>
      </c>
      <c r="U694" s="18" t="n">
        <v>6970.46802537768</v>
      </c>
      <c r="V694" s="18" t="n">
        <v>1424.283020064</v>
      </c>
      <c r="W694" s="21" t="n">
        <v>2024</v>
      </c>
      <c r="X694" s="12" t="n">
        <v>0</v>
      </c>
      <c r="Y694" s="3" t="n">
        <f aca="false" ca="false" dt2D="false" dtr="false" t="normal">+($K694*8.21+$L694*22.53)*12*0.85</f>
        <v>51174.7362</v>
      </c>
      <c r="Z694" s="3" t="n">
        <f aca="false" ca="false" dt2D="false" dtr="false" t="normal">+($K694*8.21+$L694*22.53)*12*10-'[1]Лист1'!$AQ$244</f>
        <v>-16540.030000000028</v>
      </c>
      <c r="AA694" s="3" t="n">
        <f aca="false" ca="false" dt2D="false" dtr="false" t="normal">+N694-AB694</f>
        <v>0</v>
      </c>
      <c r="AB694" s="203" t="n">
        <f aca="false" ca="true" dt2D="false" dtr="false" t="normal">SUBTOTAL(9, AC694:AQ694)</f>
        <v>5444265.84</v>
      </c>
      <c r="AC694" s="17" t="n">
        <v>643642.56</v>
      </c>
      <c r="AD694" s="18" t="n">
        <v>0</v>
      </c>
      <c r="AE694" s="18" t="n">
        <v>0</v>
      </c>
      <c r="AF694" s="18" t="n"/>
      <c r="AG694" s="18" t="n">
        <v>0</v>
      </c>
      <c r="AH694" s="18" t="n"/>
      <c r="AI694" s="17" t="n"/>
      <c r="AJ694" s="18" t="n">
        <v>0</v>
      </c>
      <c r="AK694" s="18" t="n">
        <v>1495444.76</v>
      </c>
      <c r="AL694" s="18" t="n">
        <v>0</v>
      </c>
      <c r="AM694" s="18" t="n">
        <v>3305178.52</v>
      </c>
      <c r="AN694" s="18" t="n"/>
      <c r="AO694" s="18" t="n"/>
      <c r="AP694" s="18" t="n"/>
      <c r="AQ694" s="185" t="n"/>
      <c r="AR694" s="186" t="n">
        <f aca="false" ca="false" dt2D="false" dtr="false" t="normal">COUNTIF(AC694:AN694, "&gt;0")</f>
        <v>3</v>
      </c>
      <c r="AU694" s="3" t="n"/>
    </row>
    <row ht="15.75" outlineLevel="0" r="695">
      <c r="A695" s="5" t="n">
        <f aca="false" ca="false" dt2D="false" dtr="false" t="normal">A694+1</f>
        <v>674</v>
      </c>
      <c r="B695" s="6" t="n">
        <f aca="false" ca="false" dt2D="false" dtr="false" t="normal">B694+1</f>
        <v>214</v>
      </c>
      <c r="C695" s="138" t="s">
        <v>552</v>
      </c>
      <c r="D695" s="138" t="s">
        <v>561</v>
      </c>
      <c r="E695" s="139" t="n">
        <v>1977</v>
      </c>
      <c r="F695" s="139" t="n">
        <v>2009</v>
      </c>
      <c r="G695" s="139" t="s">
        <v>460</v>
      </c>
      <c r="H695" s="139" t="n">
        <v>2</v>
      </c>
      <c r="I695" s="139" t="n">
        <v>2</v>
      </c>
      <c r="J695" s="17" t="n">
        <v>513.5</v>
      </c>
      <c r="K695" s="17" t="n">
        <v>482.7</v>
      </c>
      <c r="L695" s="17" t="n">
        <v>0</v>
      </c>
      <c r="M695" s="140" t="n">
        <v>23</v>
      </c>
      <c r="N695" s="16" t="n">
        <f aca="false" ca="false" dt2D="false" dtr="false" t="normal">P695+Q695+R695+S695+T695</f>
        <v>4831521.54</v>
      </c>
      <c r="O695" s="17" t="n"/>
      <c r="P695" s="18" t="n">
        <v>219906.6</v>
      </c>
      <c r="Q695" s="18" t="n">
        <v>0</v>
      </c>
      <c r="R695" s="27" t="n">
        <v>159138.59</v>
      </c>
      <c r="S695" s="27" t="n">
        <v>1002228.37</v>
      </c>
      <c r="T695" s="27" t="n">
        <v>3450247.98</v>
      </c>
      <c r="U695" s="17" t="n">
        <v>12510.2721833017</v>
      </c>
      <c r="V695" s="17" t="n">
        <v>12510.2721833017</v>
      </c>
      <c r="W695" s="21" t="n">
        <v>2024</v>
      </c>
      <c r="X695" s="1" t="n">
        <v>0</v>
      </c>
      <c r="Y695" s="3" t="n">
        <f aca="false" ca="false" dt2D="false" dtr="false" t="normal">+($K695*8.21+$L695*22.53)*12*0.85</f>
        <v>40422.263399999996</v>
      </c>
      <c r="Z695" s="3" t="n">
        <f aca="false" ca="false" dt2D="false" dtr="false" t="normal">+($K695*8.21+$L695*22.53)*12*10-'[1]Лист1'!$AQ$245</f>
        <v>-117356.52000000008</v>
      </c>
      <c r="AA695" s="3" t="n">
        <f aca="false" ca="false" dt2D="false" dtr="false" t="normal">+N695-AB695</f>
        <v>0</v>
      </c>
      <c r="AB695" s="27" t="n">
        <f aca="false" ca="true" dt2D="false" dtr="false" t="normal">SUBTOTAL(9, AC695:AQ695)</f>
        <v>4831521.54</v>
      </c>
      <c r="AC695" s="17" t="n">
        <v>712780.99</v>
      </c>
      <c r="AD695" s="18" t="n">
        <v>0</v>
      </c>
      <c r="AE695" s="18" t="n">
        <v>0</v>
      </c>
      <c r="AF695" s="18" t="n"/>
      <c r="AG695" s="18" t="n">
        <v>0</v>
      </c>
      <c r="AH695" s="18" t="n"/>
      <c r="AI695" s="17" t="n"/>
      <c r="AJ695" s="18" t="n">
        <v>0</v>
      </c>
      <c r="AK695" s="18" t="n">
        <v>1012916.36</v>
      </c>
      <c r="AL695" s="18" t="n">
        <v>0</v>
      </c>
      <c r="AM695" s="18" t="n">
        <v>3105824.19</v>
      </c>
      <c r="AN695" s="18" t="n"/>
      <c r="AO695" s="18" t="n"/>
      <c r="AP695" s="18" t="n"/>
      <c r="AQ695" s="185" t="n"/>
      <c r="AR695" s="186" t="n">
        <f aca="false" ca="false" dt2D="false" dtr="false" t="normal">COUNTIF(AC695:AN695, "&gt;0")</f>
        <v>3</v>
      </c>
      <c r="AU695" s="3" t="n"/>
    </row>
    <row ht="15.75" outlineLevel="0" r="696">
      <c r="A696" s="5" t="n">
        <f aca="false" ca="false" dt2D="false" dtr="false" t="normal">A695+1</f>
        <v>675</v>
      </c>
      <c r="B696" s="6" t="n">
        <f aca="false" ca="false" dt2D="false" dtr="false" t="normal">B695+1</f>
        <v>215</v>
      </c>
      <c r="C696" s="6" t="s">
        <v>141</v>
      </c>
      <c r="D696" s="6" t="s">
        <v>562</v>
      </c>
      <c r="E696" s="164" t="n">
        <v>1977</v>
      </c>
      <c r="F696" s="164" t="n">
        <v>2010</v>
      </c>
      <c r="G696" s="164" t="s">
        <v>4</v>
      </c>
      <c r="H696" s="164" t="n">
        <v>4</v>
      </c>
      <c r="I696" s="164" t="n">
        <v>4</v>
      </c>
      <c r="J696" s="18" t="n">
        <v>4061.6</v>
      </c>
      <c r="K696" s="18" t="n">
        <v>3500</v>
      </c>
      <c r="L696" s="18" t="n">
        <v>0</v>
      </c>
      <c r="M696" s="165" t="n">
        <v>135</v>
      </c>
      <c r="N696" s="16" t="n">
        <f aca="false" ca="false" dt2D="false" dtr="false" t="normal">P696+Q696+R696+S696+T696</f>
        <v>1986359.6600000001</v>
      </c>
      <c r="O696" s="18" t="n"/>
      <c r="P696" s="18" t="n">
        <v>559272.18</v>
      </c>
      <c r="Q696" s="18" t="n"/>
      <c r="R696" s="27" t="n">
        <v>1427087.48</v>
      </c>
      <c r="S696" s="27" t="n">
        <v>0</v>
      </c>
      <c r="T696" s="27" t="n">
        <v>0</v>
      </c>
      <c r="U696" s="18" t="n">
        <v>311.4755358</v>
      </c>
      <c r="V696" s="18" t="n">
        <v>1432.283020064</v>
      </c>
      <c r="W696" s="21" t="n">
        <v>2024</v>
      </c>
      <c r="X696" s="103" t="n">
        <v>1438070.25</v>
      </c>
      <c r="Y696" s="3" t="n">
        <f aca="false" ca="false" dt2D="false" dtr="false" t="normal">+(K696*11.55+L696*23.1)*12*0.85</f>
        <v>412335</v>
      </c>
      <c r="Z696" s="3" t="n">
        <f aca="false" ca="false" dt2D="false" dtr="false" t="normal">+(K696*11.55+L696*23.1)*12*30</f>
        <v>14553000</v>
      </c>
      <c r="AA696" s="3" t="n">
        <f aca="false" ca="false" dt2D="false" dtr="false" t="normal">+N696-AB696</f>
        <v>0</v>
      </c>
      <c r="AB696" s="203" t="n">
        <f aca="false" ca="true" dt2D="false" dtr="false" t="normal">SUBTOTAL(9, AC696:AQ696)</f>
        <v>1986359.66</v>
      </c>
      <c r="AC696" s="17" t="n">
        <v>0</v>
      </c>
      <c r="AD696" s="18" t="n">
        <v>0</v>
      </c>
      <c r="AE696" s="18" t="n">
        <v>0</v>
      </c>
      <c r="AF696" s="18" t="n">
        <v>0</v>
      </c>
      <c r="AG696" s="18" t="n">
        <v>1986359.66</v>
      </c>
      <c r="AH696" s="18" t="n"/>
      <c r="AI696" s="17" t="n"/>
      <c r="AJ696" s="18" t="n">
        <v>0</v>
      </c>
      <c r="AK696" s="18" t="n">
        <v>0</v>
      </c>
      <c r="AL696" s="18" t="n">
        <v>0</v>
      </c>
      <c r="AM696" s="18" t="n">
        <v>0</v>
      </c>
      <c r="AN696" s="18" t="n">
        <v>0</v>
      </c>
      <c r="AO696" s="189" t="n"/>
      <c r="AP696" s="18" t="n"/>
      <c r="AQ696" s="191" t="n"/>
      <c r="AR696" s="186" t="n">
        <f aca="false" ca="false" dt2D="false" dtr="false" t="normal">COUNTIF(AC696:AN696, "&gt;0")</f>
        <v>1</v>
      </c>
      <c r="AU696" s="3" t="n"/>
    </row>
    <row ht="15.75" outlineLevel="0" r="697">
      <c r="A697" s="5" t="n">
        <f aca="false" ca="false" dt2D="false" dtr="false" t="normal">A696+1</f>
        <v>676</v>
      </c>
      <c r="B697" s="6" t="n">
        <f aca="false" ca="false" dt2D="false" dtr="false" t="normal">B696+1</f>
        <v>216</v>
      </c>
      <c r="C697" s="6" t="s">
        <v>141</v>
      </c>
      <c r="D697" s="6" t="s">
        <v>563</v>
      </c>
      <c r="E697" s="164" t="n">
        <v>1981</v>
      </c>
      <c r="F697" s="164" t="n">
        <v>2010</v>
      </c>
      <c r="G697" s="164" t="s">
        <v>4</v>
      </c>
      <c r="H697" s="164" t="n">
        <v>4</v>
      </c>
      <c r="I697" s="164" t="n">
        <v>6</v>
      </c>
      <c r="J697" s="18" t="n">
        <v>5677</v>
      </c>
      <c r="K697" s="18" t="n">
        <v>4920.8</v>
      </c>
      <c r="L697" s="18" t="n">
        <v>0</v>
      </c>
      <c r="M697" s="165" t="n">
        <v>222</v>
      </c>
      <c r="N697" s="16" t="n">
        <f aca="false" ca="false" dt2D="false" dtr="false" t="normal">P697+Q697+R697+S697+T697</f>
        <v>2702611.31</v>
      </c>
      <c r="O697" s="18" t="n"/>
      <c r="P697" s="18" t="n">
        <v>0</v>
      </c>
      <c r="Q697" s="18" t="n"/>
      <c r="R697" s="27" t="n">
        <v>1633202.96</v>
      </c>
      <c r="S697" s="27" t="n">
        <v>1069408.35</v>
      </c>
      <c r="T697" s="27" t="n">
        <v>0</v>
      </c>
      <c r="U697" s="18" t="n">
        <v>339.15578777841</v>
      </c>
      <c r="V697" s="18" t="n">
        <v>1431.283020064</v>
      </c>
      <c r="W697" s="21" t="n">
        <v>2024</v>
      </c>
      <c r="Y697" s="3" t="n">
        <f aca="false" ca="false" dt2D="false" dtr="false" t="normal">+(K697*11.55+L697*23.1)*12*0.85</f>
        <v>579719.4480000001</v>
      </c>
      <c r="Z697" s="3" t="n">
        <f aca="false" ca="false" dt2D="false" dtr="false" t="normal">+(K697*11.55+L697*23.1)*12*30-'[1]Лист1'!$AQ$254</f>
        <v>19178510.96</v>
      </c>
      <c r="AA697" s="3" t="n">
        <f aca="false" ca="false" dt2D="false" dtr="false" t="normal">+N697-AB697</f>
        <v>0</v>
      </c>
      <c r="AB697" s="203" t="n">
        <f aca="false" ca="true" dt2D="false" dtr="false" t="normal">SUBTOTAL(9, AC697:AQ697)</f>
        <v>2702611.31</v>
      </c>
      <c r="AC697" s="17" t="n">
        <v>0</v>
      </c>
      <c r="AD697" s="18" t="n">
        <v>0</v>
      </c>
      <c r="AE697" s="18" t="n">
        <v>0</v>
      </c>
      <c r="AF697" s="18" t="n">
        <v>0</v>
      </c>
      <c r="AG697" s="18" t="n">
        <v>2702611.31</v>
      </c>
      <c r="AH697" s="18" t="n"/>
      <c r="AI697" s="17" t="n"/>
      <c r="AJ697" s="18" t="n">
        <v>0</v>
      </c>
      <c r="AK697" s="18" t="n">
        <v>0</v>
      </c>
      <c r="AL697" s="18" t="n">
        <v>0</v>
      </c>
      <c r="AM697" s="18" t="n">
        <v>0</v>
      </c>
      <c r="AN697" s="18" t="n">
        <v>0</v>
      </c>
      <c r="AO697" s="189" t="n"/>
      <c r="AP697" s="189" t="n"/>
      <c r="AQ697" s="185" t="n"/>
      <c r="AR697" s="186" t="n">
        <f aca="false" ca="false" dt2D="false" dtr="false" t="normal">COUNTIF(AC697:AN697, "&gt;0")</f>
        <v>1</v>
      </c>
      <c r="AU697" s="3" t="n"/>
    </row>
    <row ht="15.75" outlineLevel="0" r="698">
      <c r="A698" s="5" t="n">
        <f aca="false" ca="false" dt2D="false" dtr="false" t="normal">A697+1</f>
        <v>677</v>
      </c>
      <c r="B698" s="6" t="n">
        <f aca="false" ca="false" dt2D="false" dtr="false" t="normal">B697+1</f>
        <v>217</v>
      </c>
      <c r="C698" s="138" t="s">
        <v>141</v>
      </c>
      <c r="D698" s="138" t="s">
        <v>564</v>
      </c>
      <c r="E698" s="139" t="n">
        <v>1986</v>
      </c>
      <c r="F698" s="139" t="n">
        <v>2010</v>
      </c>
      <c r="G698" s="139" t="s">
        <v>4</v>
      </c>
      <c r="H698" s="139" t="n">
        <v>5</v>
      </c>
      <c r="I698" s="139" t="n">
        <v>4</v>
      </c>
      <c r="J698" s="17" t="n">
        <v>4920.8</v>
      </c>
      <c r="K698" s="17" t="n">
        <v>4295.6</v>
      </c>
      <c r="L698" s="17" t="n">
        <v>0</v>
      </c>
      <c r="M698" s="140" t="n">
        <v>193</v>
      </c>
      <c r="N698" s="16" t="n">
        <f aca="false" ca="false" dt2D="false" dtr="false" t="normal">P698+Q698+R698+S698+T698</f>
        <v>2298025.28</v>
      </c>
      <c r="O698" s="17" t="n"/>
      <c r="P698" s="18" t="n">
        <v>0</v>
      </c>
      <c r="Q698" s="18" t="n"/>
      <c r="R698" s="27" t="n">
        <v>1530056.68</v>
      </c>
      <c r="S698" s="27" t="n">
        <v>767968.6</v>
      </c>
      <c r="T698" s="27" t="n">
        <v>0</v>
      </c>
      <c r="U698" s="18" t="n">
        <v>339.567030659279</v>
      </c>
      <c r="V698" s="18" t="n">
        <v>1433.283020064</v>
      </c>
      <c r="W698" s="21" t="n">
        <v>2024</v>
      </c>
      <c r="X698" s="103" t="n"/>
      <c r="Y698" s="3" t="n">
        <f aca="false" ca="false" dt2D="false" dtr="false" t="normal">+(K698*11.55+L698*23.1)*12*0.85</f>
        <v>506064.6360000001</v>
      </c>
      <c r="Z698" s="3" t="n">
        <f aca="false" ca="false" dt2D="false" dtr="false" t="normal">+(K698*11.55+L698*23.1)*12*30-'[1]Лист1'!$AQ$255</f>
        <v>13559906.450000005</v>
      </c>
      <c r="AA698" s="3" t="n">
        <f aca="false" ca="false" dt2D="false" dtr="false" t="normal">+N698-AB698</f>
        <v>0</v>
      </c>
      <c r="AB698" s="203" t="n">
        <f aca="false" ca="true" dt2D="false" dtr="false" t="normal">SUBTOTAL(9, AC698:AQ698)</f>
        <v>2298025.28</v>
      </c>
      <c r="AC698" s="17" t="n">
        <v>0</v>
      </c>
      <c r="AD698" s="18" t="n">
        <v>0</v>
      </c>
      <c r="AE698" s="18" t="n">
        <v>0</v>
      </c>
      <c r="AF698" s="18" t="n">
        <v>0</v>
      </c>
      <c r="AG698" s="18" t="n">
        <v>2298025.28</v>
      </c>
      <c r="AH698" s="18" t="n"/>
      <c r="AI698" s="17" t="n"/>
      <c r="AJ698" s="18" t="n">
        <v>0</v>
      </c>
      <c r="AK698" s="18" t="n">
        <v>0</v>
      </c>
      <c r="AL698" s="18" t="n">
        <v>0</v>
      </c>
      <c r="AM698" s="18" t="n">
        <v>0</v>
      </c>
      <c r="AN698" s="18" t="n">
        <v>0</v>
      </c>
      <c r="AO698" s="189" t="n"/>
      <c r="AP698" s="189" t="n"/>
      <c r="AQ698" s="185" t="n"/>
      <c r="AR698" s="186" t="n">
        <f aca="false" ca="false" dt2D="false" dtr="false" t="normal">COUNTIF(AC698:AN698, "&gt;0")</f>
        <v>1</v>
      </c>
      <c r="AU698" s="3" t="n"/>
    </row>
    <row ht="15.75" outlineLevel="0" r="699">
      <c r="A699" s="5" t="n">
        <f aca="false" ca="false" dt2D="false" dtr="false" t="normal">A698+1</f>
        <v>678</v>
      </c>
      <c r="B699" s="6" t="n">
        <f aca="false" ca="false" dt2D="false" dtr="false" t="normal">B698+1</f>
        <v>218</v>
      </c>
      <c r="C699" s="219" t="s">
        <v>566</v>
      </c>
      <c r="D699" s="219" t="s">
        <v>567</v>
      </c>
      <c r="E699" s="220" t="n">
        <v>1976</v>
      </c>
      <c r="F699" s="220" t="n">
        <v>1976</v>
      </c>
      <c r="G699" s="220" t="s">
        <v>4</v>
      </c>
      <c r="H699" s="220" t="n">
        <v>2</v>
      </c>
      <c r="I699" s="220" t="n">
        <v>1</v>
      </c>
      <c r="J699" s="207" t="n">
        <v>394</v>
      </c>
      <c r="K699" s="207" t="n">
        <v>375.6</v>
      </c>
      <c r="L699" s="207" t="n">
        <v>0</v>
      </c>
      <c r="M699" s="221" t="n">
        <v>38</v>
      </c>
      <c r="N699" s="16" t="n">
        <f aca="false" ca="false" dt2D="false" dtr="false" t="normal">P699+Q699+R699+S699+T699</f>
        <v>4166916.4</v>
      </c>
      <c r="O699" s="207" t="n"/>
      <c r="P699" s="18" t="n">
        <v>2582193.4</v>
      </c>
      <c r="Q699" s="216" t="n"/>
      <c r="R699" s="27" t="n">
        <v>164955</v>
      </c>
      <c r="S699" s="27" t="n">
        <v>1419768</v>
      </c>
      <c r="T699" s="27" t="n">
        <v>0</v>
      </c>
      <c r="U699" s="216" t="n">
        <v>24910.9912539694</v>
      </c>
      <c r="V699" s="216" t="n">
        <v>1439.283020064</v>
      </c>
      <c r="W699" s="222" t="n">
        <v>2024</v>
      </c>
      <c r="X699" s="103" t="n"/>
      <c r="Y699" s="3" t="n">
        <f aca="false" ca="false" dt2D="false" dtr="false" t="normal">+(K699*11.55+L699*23.1)*12*0.85</f>
        <v>44249.436</v>
      </c>
      <c r="Z699" s="3" t="n">
        <f aca="false" ca="false" dt2D="false" dtr="false" t="normal">+(K699*11.55+L699*23.1)*12*30-'[1]Лист1'!$AQ$257</f>
        <v>1403092.42</v>
      </c>
      <c r="AA699" s="3" t="n">
        <f aca="false" ca="false" dt2D="false" dtr="false" t="normal">+N699-AB699</f>
        <v>0</v>
      </c>
      <c r="AB699" s="203" t="n">
        <f aca="false" ca="true" dt2D="false" dtr="false" t="normal">SUBTOTAL(9, AC699:AQ699)</f>
        <v>4166916.4</v>
      </c>
      <c r="AC699" s="17" t="n">
        <v>959344.45</v>
      </c>
      <c r="AD699" s="18" t="n"/>
      <c r="AE699" s="18" t="n">
        <v>229438</v>
      </c>
      <c r="AF699" s="18" t="n">
        <v>0</v>
      </c>
      <c r="AG699" s="18" t="n">
        <v>0</v>
      </c>
      <c r="AH699" s="18" t="n"/>
      <c r="AI699" s="17" t="n"/>
      <c r="AJ699" s="18" t="n">
        <v>0</v>
      </c>
      <c r="AK699" s="18" t="n"/>
      <c r="AL699" s="18" t="n">
        <v>0</v>
      </c>
      <c r="AM699" s="18" t="n">
        <v>1542542.95</v>
      </c>
      <c r="AN699" s="18" t="n">
        <v>1435591</v>
      </c>
      <c r="AO699" s="189" t="n"/>
      <c r="AP699" s="189" t="n"/>
      <c r="AQ699" s="185" t="n"/>
      <c r="AR699" s="186" t="n">
        <f aca="false" ca="false" dt2D="false" dtr="false" t="normal">COUNTIF(AC699:AN699, "&gt;0")</f>
        <v>4</v>
      </c>
      <c r="AU699" s="3" t="n"/>
    </row>
    <row outlineLevel="0" r="700">
      <c r="A700" s="5" t="n">
        <f aca="false" ca="false" dt2D="false" dtr="false" t="normal">A699+1</f>
        <v>679</v>
      </c>
      <c r="B700" s="6" t="n">
        <f aca="false" ca="false" dt2D="false" dtr="false" t="normal">B699+1</f>
        <v>219</v>
      </c>
      <c r="C700" s="6" t="s">
        <v>177</v>
      </c>
      <c r="D700" s="6" t="s">
        <v>568</v>
      </c>
      <c r="E700" s="220" t="n">
        <v>1959</v>
      </c>
      <c r="F700" s="220" t="n">
        <v>1959</v>
      </c>
      <c r="G700" s="220" t="s">
        <v>4</v>
      </c>
      <c r="H700" s="220" t="n">
        <v>3</v>
      </c>
      <c r="I700" s="220" t="n">
        <v>2</v>
      </c>
      <c r="J700" s="17" t="n">
        <v>1349.3</v>
      </c>
      <c r="K700" s="17" t="n">
        <v>898.8</v>
      </c>
      <c r="L700" s="17" t="n">
        <v>450.5</v>
      </c>
      <c r="M700" s="140" t="n">
        <v>25</v>
      </c>
      <c r="N700" s="16" t="n">
        <f aca="false" ca="false" dt2D="false" dtr="false" t="normal">P700+Q700+R700+S700+T700</f>
        <v>564707.89</v>
      </c>
      <c r="O700" s="18" t="n"/>
      <c r="P700" s="18" t="n">
        <v>0</v>
      </c>
      <c r="Q700" s="18" t="n"/>
      <c r="R700" s="27" t="n">
        <v>0</v>
      </c>
      <c r="S700" s="27" t="n">
        <v>564707.89</v>
      </c>
      <c r="T700" s="27" t="n">
        <v>0</v>
      </c>
      <c r="U700" s="18" t="n"/>
      <c r="V700" s="18" t="n"/>
      <c r="W700" s="222" t="n">
        <v>2024</v>
      </c>
      <c r="X700" s="190" t="n"/>
      <c r="AB700" s="203" t="n">
        <f aca="false" ca="true" dt2D="false" dtr="false" t="normal">SUBTOTAL(9, AC700:AQ700)</f>
        <v>564707.89</v>
      </c>
      <c r="AC700" s="17" t="n"/>
      <c r="AD700" s="17" t="n"/>
      <c r="AE700" s="17" t="n"/>
      <c r="AF700" s="17" t="n"/>
      <c r="AG700" s="17" t="n"/>
      <c r="AH700" s="17" t="n"/>
      <c r="AI700" s="17" t="n"/>
      <c r="AJ700" s="17" t="n"/>
      <c r="AK700" s="17" t="n">
        <v>564707.89</v>
      </c>
      <c r="AL700" s="17" t="n"/>
      <c r="AM700" s="18" t="n"/>
      <c r="AN700" s="17" t="n"/>
      <c r="AO700" s="17" t="n"/>
      <c r="AP700" s="17" t="n"/>
      <c r="AQ700" s="188" t="n"/>
      <c r="AU700" s="3" t="n"/>
    </row>
    <row ht="15.75" outlineLevel="0" r="701">
      <c r="A701" s="5" t="n">
        <f aca="false" ca="false" dt2D="false" dtr="false" t="normal">A700+1</f>
        <v>680</v>
      </c>
      <c r="B701" s="6" t="n">
        <f aca="false" ca="false" dt2D="false" dtr="false" t="normal">B700+1</f>
        <v>220</v>
      </c>
      <c r="C701" s="6" t="s">
        <v>177</v>
      </c>
      <c r="D701" s="138" t="s">
        <v>569</v>
      </c>
      <c r="E701" s="139" t="n">
        <v>1974</v>
      </c>
      <c r="F701" s="139" t="n"/>
      <c r="G701" s="139" t="s">
        <v>460</v>
      </c>
      <c r="H701" s="139" t="n">
        <v>2</v>
      </c>
      <c r="I701" s="139" t="n">
        <v>2</v>
      </c>
      <c r="J701" s="17" t="n">
        <v>541.9</v>
      </c>
      <c r="K701" s="17" t="n">
        <v>425.8</v>
      </c>
      <c r="L701" s="17" t="n">
        <v>74.5</v>
      </c>
      <c r="M701" s="140" t="n">
        <v>24</v>
      </c>
      <c r="N701" s="16" t="n">
        <f aca="false" ca="false" dt2D="false" dtr="false" t="normal">P701+Q701+R701+S701+T701</f>
        <v>166862.48</v>
      </c>
      <c r="O701" s="17" t="n"/>
      <c r="P701" s="18" t="n">
        <v>0</v>
      </c>
      <c r="Q701" s="18" t="n"/>
      <c r="R701" s="27" t="n">
        <v>166862.48</v>
      </c>
      <c r="S701" s="27" t="n">
        <v>0</v>
      </c>
      <c r="T701" s="27" t="n">
        <v>0</v>
      </c>
      <c r="U701" s="17" t="n">
        <v>2872.31685752004</v>
      </c>
      <c r="V701" s="17" t="n">
        <v>2872.31685752004</v>
      </c>
      <c r="W701" s="21" t="n">
        <v>2024</v>
      </c>
      <c r="X701" s="1" t="n">
        <v>864557.82</v>
      </c>
      <c r="Y701" s="3" t="n">
        <f aca="false" ca="false" dt2D="false" dtr="false" t="normal">+(K701*11.55+L701*23.1)*12*0.85</f>
        <v>67717.188</v>
      </c>
      <c r="Z701" s="3" t="n">
        <f aca="false" ca="false" dt2D="false" dtr="false" t="normal">+(K701*11.55+L701*23.1)*12*30</f>
        <v>2390018.4</v>
      </c>
      <c r="AA701" s="3" t="n">
        <f aca="false" ca="false" dt2D="false" dtr="false" t="normal">+N701-AB701</f>
        <v>0</v>
      </c>
      <c r="AB701" s="27" t="n">
        <f aca="false" ca="true" dt2D="false" dtr="false" t="normal">SUBTOTAL(9, AC701:AQ701)</f>
        <v>166862.48</v>
      </c>
      <c r="AC701" s="17" t="n"/>
      <c r="AD701" s="18" t="n">
        <v>0</v>
      </c>
      <c r="AE701" s="18" t="n">
        <v>112569.58</v>
      </c>
      <c r="AF701" s="18" t="n">
        <v>0</v>
      </c>
      <c r="AG701" s="18" t="n">
        <v>0</v>
      </c>
      <c r="AH701" s="18" t="n"/>
      <c r="AI701" s="17" t="n"/>
      <c r="AJ701" s="18" t="n">
        <v>0</v>
      </c>
      <c r="AK701" s="18" t="n">
        <v>54292.9</v>
      </c>
      <c r="AL701" s="18" t="n">
        <v>0</v>
      </c>
      <c r="AM701" s="18" t="n">
        <v>0</v>
      </c>
      <c r="AN701" s="18" t="n">
        <v>0</v>
      </c>
      <c r="AO701" s="18" t="n"/>
      <c r="AP701" s="18" t="n"/>
      <c r="AQ701" s="191" t="n"/>
      <c r="AR701" s="186" t="n">
        <f aca="false" ca="false" dt2D="false" dtr="false" t="normal">COUNTIF(AC701:AN701, "&gt;0")</f>
        <v>2</v>
      </c>
      <c r="AU701" s="3" t="n"/>
    </row>
    <row customHeight="true" ht="17.25" outlineLevel="0" r="702">
      <c r="A702" s="223" t="n"/>
      <c r="B702" s="223" t="n"/>
      <c r="C702" s="223" t="n"/>
      <c r="D702" s="224" t="s">
        <v>570</v>
      </c>
      <c r="E702" s="223" t="n"/>
      <c r="F702" s="223" t="n"/>
      <c r="G702" s="223" t="n"/>
      <c r="H702" s="223" t="n"/>
      <c r="I702" s="223" t="n"/>
      <c r="J702" s="225" t="n">
        <v>2309.6</v>
      </c>
      <c r="K702" s="225" t="n">
        <v>2138.4</v>
      </c>
      <c r="L702" s="225" t="n">
        <v>0</v>
      </c>
      <c r="M702" s="225" t="n">
        <v>104</v>
      </c>
      <c r="N702" s="226" t="n">
        <f aca="false" ca="false" dt2D="false" dtr="false" t="normal">P702+Q702+R702+S702+T702</f>
        <v>5419367.75</v>
      </c>
      <c r="O702" s="226" t="n"/>
      <c r="P702" s="226" t="n">
        <f aca="false" ca="false" dt2D="false" dtr="false" t="normal">SUM(P703:P704)</f>
        <v>4610532.4</v>
      </c>
      <c r="Q702" s="226" t="n">
        <f aca="false" ca="false" dt2D="false" dtr="false" t="normal">SUM(Q703:Q704)</f>
        <v>0</v>
      </c>
      <c r="R702" s="226" t="n">
        <f aca="false" ca="false" dt2D="false" dtr="false" t="normal">SUM(R703:R704)</f>
        <v>315841.26</v>
      </c>
      <c r="S702" s="226" t="n">
        <f aca="false" ca="false" dt2D="false" dtr="false" t="normal">SUM(S703:S704)</f>
        <v>492994.09</v>
      </c>
      <c r="T702" s="226" t="n"/>
      <c r="U702" s="223" t="n"/>
      <c r="V702" s="223" t="n"/>
      <c r="W702" s="227" t="n"/>
      <c r="AB702" s="228" t="n">
        <v>5419367.75</v>
      </c>
      <c r="AC702" s="228" t="n">
        <f aca="false" ca="false" dt2D="false" dtr="false" t="normal">AC703+AC704</f>
        <v>0</v>
      </c>
      <c r="AD702" s="228" t="n">
        <f aca="false" ca="false" dt2D="false" dtr="false" t="normal">AD703+AD704</f>
        <v>0</v>
      </c>
      <c r="AE702" s="228" t="n">
        <f aca="false" ca="false" dt2D="false" dtr="false" t="normal">AE703+AE704</f>
        <v>0</v>
      </c>
      <c r="AF702" s="228" t="n">
        <f aca="false" ca="false" dt2D="false" dtr="false" t="normal">AF703+AF704</f>
        <v>0</v>
      </c>
      <c r="AG702" s="228" t="n">
        <f aca="false" ca="false" dt2D="false" dtr="false" t="normal">AG703+AG704</f>
        <v>0</v>
      </c>
      <c r="AH702" s="228" t="n">
        <f aca="false" ca="false" dt2D="false" dtr="false" t="normal">AH703+AH704</f>
        <v>0</v>
      </c>
      <c r="AI702" s="228" t="n">
        <f aca="false" ca="false" dt2D="false" dtr="false" t="normal">AI703+AI704</f>
        <v>0</v>
      </c>
      <c r="AJ702" s="228" t="n">
        <f aca="false" ca="false" dt2D="false" dtr="false" t="normal">AJ703+AJ704</f>
        <v>0</v>
      </c>
      <c r="AK702" s="228" t="n">
        <f aca="false" ca="false" dt2D="false" dtr="false" t="normal">AK703+AK704</f>
        <v>0</v>
      </c>
      <c r="AL702" s="228" t="n">
        <f aca="false" ca="false" dt2D="false" dtr="false" t="normal">AL703+AL704</f>
        <v>0</v>
      </c>
      <c r="AM702" s="228" t="n">
        <f aca="false" ca="false" dt2D="false" dtr="false" t="normal">AM703+AM704</f>
        <v>0</v>
      </c>
      <c r="AN702" s="228" t="n">
        <f aca="false" ca="false" dt2D="false" dtr="false" t="normal">AN703+AN704</f>
        <v>0</v>
      </c>
      <c r="AO702" s="228" t="n">
        <f aca="false" ca="false" dt2D="false" dtr="false" t="normal">AO703+AO704</f>
        <v>0</v>
      </c>
      <c r="AP702" s="228" t="n">
        <f aca="false" ca="false" dt2D="false" dtr="false" t="normal">AP703+AP704</f>
        <v>0</v>
      </c>
      <c r="AQ702" s="228" t="n">
        <f aca="false" ca="false" dt2D="false" dtr="false" t="normal">AQ703+AQ704</f>
        <v>0</v>
      </c>
      <c r="AR702" s="229" t="n"/>
    </row>
    <row ht="15.75" outlineLevel="0" r="703">
      <c r="A703" s="5" t="s">
        <v>76</v>
      </c>
      <c r="B703" s="6" t="s">
        <v>76</v>
      </c>
      <c r="C703" s="6" t="s">
        <v>457</v>
      </c>
      <c r="D703" s="88" t="s">
        <v>571</v>
      </c>
      <c r="E703" s="204" t="s">
        <v>459</v>
      </c>
      <c r="F703" s="204" t="n"/>
      <c r="G703" s="204" t="s">
        <v>460</v>
      </c>
      <c r="H703" s="204" t="s">
        <v>5</v>
      </c>
      <c r="I703" s="204" t="s">
        <v>159</v>
      </c>
      <c r="J703" s="88" t="n">
        <v>1154.8</v>
      </c>
      <c r="K703" s="88" t="n">
        <v>1069.2</v>
      </c>
      <c r="L703" s="88" t="n">
        <v>0</v>
      </c>
      <c r="M703" s="95" t="n">
        <v>52</v>
      </c>
      <c r="N703" s="16" t="n">
        <f aca="false" ca="false" dt2D="false" dtr="false" t="normal">P703+Q703+R703+S703+T703</f>
        <v>3901065.96</v>
      </c>
      <c r="O703" s="88" t="n"/>
      <c r="P703" s="205" t="n">
        <v>3262075</v>
      </c>
      <c r="Q703" s="205" t="n"/>
      <c r="R703" s="230" t="n">
        <v>163248.12</v>
      </c>
      <c r="S703" s="205" t="n">
        <v>475742.84</v>
      </c>
      <c r="T703" s="16" t="n"/>
      <c r="U703" s="18" t="n">
        <v>11976.9912303912</v>
      </c>
      <c r="V703" s="18" t="n">
        <v>11976.9912303912</v>
      </c>
      <c r="W703" s="21" t="n">
        <v>2024</v>
      </c>
      <c r="X703" s="1" t="n">
        <v>367919.13</v>
      </c>
      <c r="Y703" s="3" t="n">
        <v>81357.5664</v>
      </c>
      <c r="Z703" s="3" t="n">
        <v>1347192</v>
      </c>
      <c r="AA703" s="3" t="n">
        <f aca="false" ca="false" dt2D="false" dtr="false" t="normal">+N703-AB703</f>
        <v>0</v>
      </c>
      <c r="AB703" s="203" t="n">
        <v>3901065.96</v>
      </c>
      <c r="AC703" s="17" t="n"/>
      <c r="AD703" s="18" t="n"/>
      <c r="AE703" s="18" t="n"/>
      <c r="AF703" s="18" t="n"/>
      <c r="AG703" s="18" t="n"/>
      <c r="AH703" s="18" t="n"/>
      <c r="AI703" s="17" t="n"/>
      <c r="AJ703" s="18" t="n"/>
      <c r="AK703" s="18" t="n"/>
      <c r="AL703" s="18" t="n"/>
      <c r="AM703" s="18" t="n"/>
      <c r="AN703" s="18" t="n"/>
      <c r="AO703" s="18" t="n"/>
      <c r="AP703" s="189" t="n"/>
      <c r="AQ703" s="185" t="n"/>
      <c r="AR703" s="186" t="n">
        <f aca="false" ca="false" dt2D="false" dtr="false" t="normal">COUNTIF(AC703:AN703, "&gt;0")</f>
        <v>0</v>
      </c>
    </row>
    <row ht="15.75" outlineLevel="0" r="704">
      <c r="A704" s="5" t="s">
        <v>76</v>
      </c>
      <c r="B704" s="6" t="s">
        <v>76</v>
      </c>
      <c r="C704" s="6" t="s">
        <v>457</v>
      </c>
      <c r="D704" s="88" t="s">
        <v>458</v>
      </c>
      <c r="E704" s="204" t="s">
        <v>459</v>
      </c>
      <c r="F704" s="204" t="n"/>
      <c r="G704" s="204" t="s">
        <v>460</v>
      </c>
      <c r="H704" s="204" t="s">
        <v>5</v>
      </c>
      <c r="I704" s="204" t="s">
        <v>159</v>
      </c>
      <c r="J704" s="88" t="n">
        <v>1154.8</v>
      </c>
      <c r="K704" s="88" t="n">
        <v>1069.2</v>
      </c>
      <c r="L704" s="88" t="n">
        <v>0</v>
      </c>
      <c r="M704" s="95" t="n">
        <v>52</v>
      </c>
      <c r="N704" s="16" t="n">
        <f aca="false" ca="false" dt2D="false" dtr="false" t="normal">P704+Q704+R704+S704+T704</f>
        <v>1518301.79</v>
      </c>
      <c r="O704" s="88" t="n"/>
      <c r="P704" s="205" t="n">
        <v>1348457.4</v>
      </c>
      <c r="Q704" s="205" t="n"/>
      <c r="R704" s="230" t="n">
        <v>152593.14</v>
      </c>
      <c r="S704" s="205" t="n">
        <v>17251.25</v>
      </c>
      <c r="T704" s="16" t="n"/>
      <c r="U704" s="18" t="n">
        <v>11976.9912303912</v>
      </c>
      <c r="V704" s="18" t="n">
        <v>11976.9912303912</v>
      </c>
      <c r="W704" s="21" t="n">
        <v>2024</v>
      </c>
      <c r="X704" s="1" t="n">
        <v>367919.13</v>
      </c>
      <c r="Y704" s="3" t="n">
        <v>81357.5664</v>
      </c>
      <c r="Z704" s="3" t="n">
        <v>1347192</v>
      </c>
      <c r="AA704" s="3" t="n">
        <f aca="false" ca="false" dt2D="false" dtr="false" t="normal">+N704-AB704</f>
        <v>0</v>
      </c>
      <c r="AB704" s="203" t="n">
        <v>1518301.79</v>
      </c>
      <c r="AC704" s="17" t="n"/>
      <c r="AD704" s="18" t="n"/>
      <c r="AE704" s="18" t="n"/>
      <c r="AF704" s="18" t="n"/>
      <c r="AG704" s="18" t="n"/>
      <c r="AH704" s="18" t="n"/>
      <c r="AI704" s="17" t="n"/>
      <c r="AJ704" s="18" t="n"/>
      <c r="AK704" s="18" t="n"/>
      <c r="AL704" s="18" t="n"/>
      <c r="AM704" s="18" t="n"/>
      <c r="AN704" s="18" t="n"/>
      <c r="AO704" s="18" t="n"/>
      <c r="AP704" s="189" t="n"/>
      <c r="AQ704" s="185" t="n"/>
      <c r="AR704" s="186" t="n">
        <f aca="false" ca="false" dt2D="false" dtr="false" t="normal">COUNTIF(AC704:AN704, "&gt;0")</f>
        <v>0</v>
      </c>
    </row>
    <row customHeight="true" ht="18" outlineLevel="0" r="705">
      <c r="A705" s="231" t="n"/>
      <c r="B705" s="232" t="n"/>
      <c r="C705" s="233" t="n"/>
      <c r="D705" s="176" t="s">
        <v>574</v>
      </c>
      <c r="E705" s="234" t="n"/>
      <c r="F705" s="234" t="n"/>
      <c r="G705" s="234" t="n"/>
      <c r="H705" s="234" t="n"/>
      <c r="I705" s="234" t="n"/>
      <c r="J705" s="235" t="n">
        <v>217398.28</v>
      </c>
      <c r="K705" s="235" t="n">
        <v>178751.72</v>
      </c>
      <c r="L705" s="235" t="n">
        <v>10114.3</v>
      </c>
      <c r="M705" s="235" t="n">
        <v>7723</v>
      </c>
      <c r="N705" s="236" t="n">
        <f aca="false" ca="false" dt2D="false" dtr="false" t="normal">SUM(N706:N824)</f>
        <v>762478998.8333098</v>
      </c>
      <c r="O705" s="236" t="n">
        <f aca="false" ca="false" dt2D="false" dtr="false" t="normal">SUM(O706:O824)</f>
        <v>0</v>
      </c>
      <c r="P705" s="236" t="n">
        <f aca="false" ca="false" dt2D="false" dtr="false" t="normal">SUM(P706:P824)</f>
        <v>0</v>
      </c>
      <c r="Q705" s="237" t="n">
        <f aca="false" ca="false" dt2D="false" dtr="false" t="normal">SUM(Q706:Q824)</f>
        <v>3106710</v>
      </c>
      <c r="R705" s="237" t="n">
        <f aca="false" ca="false" dt2D="false" dtr="false" t="normal">SUM(R706:R824)</f>
        <v>89266237.42999999</v>
      </c>
      <c r="S705" s="237" t="n">
        <f aca="false" ca="false" dt2D="false" dtr="false" t="normal">SUM(S706:S824)</f>
        <v>271132606.6074139</v>
      </c>
      <c r="T705" s="237" t="n">
        <f aca="false" ca="false" dt2D="false" dtr="false" t="normal">SUM(T706:T824)</f>
        <v>398973444.7958962</v>
      </c>
      <c r="U705" s="236" t="n"/>
      <c r="V705" s="236" t="n"/>
      <c r="W705" s="238" t="n"/>
      <c r="X705" s="190" t="n"/>
      <c r="AB705" s="239" t="n">
        <f aca="false" ca="false" dt2D="false" dtr="false" t="normal">SUM(AB796:AB823)</f>
        <v>145108955.66</v>
      </c>
      <c r="AC705" s="239" t="n">
        <f aca="false" ca="false" dt2D="false" dtr="false" t="normal">SUM(AC745)</f>
        <v>0</v>
      </c>
      <c r="AD705" s="239" t="n">
        <f aca="false" ca="false" dt2D="false" dtr="false" t="normal">SUM(AD745)</f>
        <v>0</v>
      </c>
      <c r="AE705" s="239" t="n">
        <f aca="false" ca="false" dt2D="false" dtr="false" t="normal">SUM(AE745)</f>
        <v>1303632.49</v>
      </c>
      <c r="AF705" s="239" t="n">
        <f aca="false" ca="false" dt2D="false" dtr="false" t="normal">SUM(AF745)</f>
        <v>0</v>
      </c>
      <c r="AG705" s="239" t="n">
        <f aca="false" ca="false" dt2D="false" dtr="false" t="normal">SUM(AG745)</f>
        <v>0</v>
      </c>
      <c r="AH705" s="239" t="n">
        <f aca="false" ca="false" dt2D="false" dtr="false" t="normal">SUM(AH745)</f>
        <v>0</v>
      </c>
      <c r="AI705" s="239" t="n">
        <f aca="false" ca="false" dt2D="false" dtr="false" t="normal">SUM(AI745)</f>
        <v>0</v>
      </c>
      <c r="AJ705" s="239" t="n">
        <f aca="false" ca="false" dt2D="false" dtr="false" t="normal">SUM(AJ745)</f>
        <v>0</v>
      </c>
      <c r="AK705" s="239" t="n">
        <f aca="false" ca="false" dt2D="false" dtr="false" t="normal">SUM(AK745)</f>
        <v>0</v>
      </c>
      <c r="AL705" s="239" t="n">
        <f aca="false" ca="false" dt2D="false" dtr="false" t="normal">SUM(AL745)</f>
        <v>0</v>
      </c>
      <c r="AM705" s="239" t="n">
        <f aca="false" ca="false" dt2D="false" dtr="false" t="normal">SUM(AM745)</f>
        <v>0</v>
      </c>
      <c r="AN705" s="239" t="n">
        <f aca="false" ca="false" dt2D="false" dtr="false" t="normal">SUM(AN745)</f>
        <v>0</v>
      </c>
      <c r="AO705" s="239" t="n">
        <f aca="false" ca="false" dt2D="false" dtr="false" t="normal">SUM(AO745)</f>
        <v>0</v>
      </c>
      <c r="AP705" s="239" t="n">
        <f aca="false" ca="false" dt2D="false" dtr="false" t="normal">SUM(AP745)</f>
        <v>0</v>
      </c>
      <c r="AQ705" s="239" t="n">
        <f aca="false" ca="false" dt2D="false" dtr="false" t="normal">SUM(AQ745)</f>
        <v>0</v>
      </c>
      <c r="AR705" s="186" t="n"/>
    </row>
    <row ht="15.75" outlineLevel="0" r="706">
      <c r="A706" s="240" t="n">
        <f aca="false" ca="false" dt2D="false" dtr="false" t="normal">A701+1</f>
        <v>681</v>
      </c>
      <c r="B706" s="138" t="s">
        <v>76</v>
      </c>
      <c r="C706" s="138" t="s">
        <v>147</v>
      </c>
      <c r="D706" s="138" t="s">
        <v>155</v>
      </c>
      <c r="E706" s="139" t="n">
        <v>1997</v>
      </c>
      <c r="F706" s="139" t="n">
        <v>2013</v>
      </c>
      <c r="G706" s="139" t="s">
        <v>4</v>
      </c>
      <c r="H706" s="139" t="n">
        <v>3</v>
      </c>
      <c r="I706" s="139" t="n">
        <v>3</v>
      </c>
      <c r="J706" s="17" t="n">
        <v>2554.7</v>
      </c>
      <c r="K706" s="17" t="n">
        <v>1158.4</v>
      </c>
      <c r="L706" s="17" t="n">
        <v>157.9</v>
      </c>
      <c r="M706" s="140" t="n">
        <v>40</v>
      </c>
      <c r="N706" s="16" t="n">
        <f aca="false" ca="false" dt2D="false" dtr="false" t="normal">P706+Q706+R706+S706+T706</f>
        <v>18884780.16</v>
      </c>
      <c r="O706" s="17" t="n"/>
      <c r="P706" s="17" t="n">
        <v>0</v>
      </c>
      <c r="Q706" s="17" t="n"/>
      <c r="R706" s="16" t="n"/>
      <c r="S706" s="16" t="n">
        <v>4126561.11</v>
      </c>
      <c r="T706" s="16" t="n">
        <v>14758219.05</v>
      </c>
      <c r="U706" s="17" t="n">
        <v>7543.5478082504</v>
      </c>
      <c r="V706" s="17" t="n">
        <v>7543.5478082504</v>
      </c>
      <c r="W706" s="21" t="n">
        <v>2024</v>
      </c>
      <c r="X706" s="12" t="n"/>
      <c r="Y706" s="3" t="n">
        <f aca="false" ca="false" dt2D="false" dtr="false" t="normal">+(K706*12.71+L706*25.41)*12*0.85</f>
        <v>191102.13060000003</v>
      </c>
      <c r="Z706" s="3" t="n">
        <f aca="false" ca="false" dt2D="false" dtr="false" t="normal">+(K706*12.71+L706*25.41)*12*30-'[1]Лист1'!$AQ$205</f>
        <v>2925756.270000002</v>
      </c>
      <c r="AA706" s="3" t="n">
        <f aca="false" ca="false" dt2D="false" dtr="false" t="normal">+N706-AB706</f>
        <v>0</v>
      </c>
      <c r="AB706" s="16" t="n">
        <f aca="false" ca="false" dt2D="false" dtr="false" t="normal">'Приложение №2'!E704</f>
        <v>18884780.159999996</v>
      </c>
      <c r="AC706" s="17" t="n">
        <v>2320624.28</v>
      </c>
      <c r="AD706" s="17" t="n">
        <v>1208886.87</v>
      </c>
      <c r="AE706" s="17" t="n"/>
      <c r="AF706" s="17" t="n"/>
      <c r="AG706" s="17" t="n">
        <v>0</v>
      </c>
      <c r="AH706" s="17" t="n"/>
      <c r="AI706" s="17" t="n"/>
      <c r="AJ706" s="17" t="n">
        <v>0</v>
      </c>
      <c r="AK706" s="17" t="n">
        <v>4272787.71</v>
      </c>
      <c r="AL706" s="17" t="n">
        <v>4924704.85</v>
      </c>
      <c r="AM706" s="17" t="n">
        <v>5939807.05</v>
      </c>
      <c r="AN706" s="17" t="n"/>
      <c r="AO706" s="17" t="n"/>
      <c r="AP706" s="17" t="n"/>
      <c r="AQ706" s="188" t="n">
        <v>217969.4</v>
      </c>
      <c r="AR706" s="241" t="n">
        <f aca="false" ca="false" dt2D="false" dtr="false" t="normal">COUNTIF(AC706:AN706, "&gt;0")</f>
        <v>5</v>
      </c>
      <c r="AS706" s="1" t="n">
        <v>18884780.16</v>
      </c>
    </row>
    <row ht="15.75" outlineLevel="0" r="707">
      <c r="A707" s="240" t="n">
        <f aca="false" ca="false" dt2D="false" dtr="false" t="normal">A706+1</f>
        <v>682</v>
      </c>
      <c r="B707" s="138" t="n">
        <f aca="false" ca="false" dt2D="false" dtr="false" t="normal">B701+1</f>
        <v>221</v>
      </c>
      <c r="C707" s="138" t="s">
        <v>97</v>
      </c>
      <c r="D707" s="138" t="s">
        <v>100</v>
      </c>
      <c r="E707" s="139" t="n">
        <v>1990</v>
      </c>
      <c r="F707" s="139" t="n">
        <v>1990</v>
      </c>
      <c r="G707" s="139" t="s">
        <v>4</v>
      </c>
      <c r="H707" s="139" t="n">
        <v>5</v>
      </c>
      <c r="I707" s="139" t="n">
        <v>6</v>
      </c>
      <c r="J707" s="17" t="n">
        <v>5208.7</v>
      </c>
      <c r="K707" s="17" t="n">
        <v>4621.34</v>
      </c>
      <c r="L707" s="17" t="n">
        <v>0</v>
      </c>
      <c r="M707" s="140" t="n">
        <v>183</v>
      </c>
      <c r="N707" s="16" t="n">
        <f aca="false" ca="false" dt2D="false" dtr="false" t="normal">P707+Q707+R707+S707+T707</f>
        <v>10805607.370000001</v>
      </c>
      <c r="O707" s="17" t="n"/>
      <c r="P707" s="17" t="n">
        <v>0</v>
      </c>
      <c r="Q707" s="17" t="n"/>
      <c r="R707" s="16" t="n">
        <v>362960.04</v>
      </c>
      <c r="S707" s="16" t="n">
        <v>6919365.26028895</v>
      </c>
      <c r="T707" s="16" t="n">
        <v>3523282.06971105</v>
      </c>
      <c r="U707" s="17" t="n">
        <v>7126.22820861775</v>
      </c>
      <c r="V707" s="17" t="n">
        <v>1181.283020064</v>
      </c>
      <c r="W707" s="21" t="n">
        <v>2024</v>
      </c>
      <c r="X707" s="12" t="n"/>
      <c r="Y707" s="3" t="n">
        <f aca="false" ca="false" dt2D="false" dtr="false" t="normal">+(K707*12.71+L707*25.41)*12*0.85</f>
        <v>599119.76028</v>
      </c>
      <c r="Z707" s="3" t="n">
        <f aca="false" ca="false" dt2D="false" dtr="false" t="normal">+(K707*12.71+L707*25.41)*12*30-'[1]Лист1'!$AQ$220</f>
        <v>18554580.394000005</v>
      </c>
      <c r="AA707" s="3" t="n">
        <f aca="false" ca="false" dt2D="false" dtr="false" t="normal">+N707-AB707</f>
        <v>0</v>
      </c>
      <c r="AB707" s="16" t="n">
        <f aca="false" ca="false" dt2D="false" dtr="false" t="normal">'Приложение №2'!E705</f>
        <v>10805607.370000001</v>
      </c>
      <c r="AC707" s="17" t="n">
        <v>6755517.92</v>
      </c>
      <c r="AD707" s="17" t="n"/>
      <c r="AE707" s="17" t="n"/>
      <c r="AF707" s="17" t="n">
        <v>4050089.45</v>
      </c>
      <c r="AG707" s="17" t="n">
        <v>0</v>
      </c>
      <c r="AH707" s="17" t="n"/>
      <c r="AI707" s="17" t="n"/>
      <c r="AJ707" s="17" t="n">
        <v>0</v>
      </c>
      <c r="AK707" s="17" t="n">
        <v>0</v>
      </c>
      <c r="AL707" s="17" t="n">
        <v>0</v>
      </c>
      <c r="AM707" s="17" t="n">
        <v>0</v>
      </c>
      <c r="AN707" s="17" t="n"/>
      <c r="AO707" s="17" t="n"/>
      <c r="AP707" s="17" t="n"/>
      <c r="AQ707" s="188" t="n"/>
      <c r="AR707" s="241" t="n">
        <f aca="false" ca="false" dt2D="false" dtr="false" t="normal">COUNTIF(AC707:AN707, "&gt;0")</f>
        <v>2</v>
      </c>
    </row>
    <row ht="15.75" outlineLevel="0" r="708">
      <c r="A708" s="240" t="n">
        <f aca="false" ca="false" dt2D="false" dtr="false" t="normal">A707+1</f>
        <v>683</v>
      </c>
      <c r="B708" s="138" t="n">
        <f aca="false" ca="false" dt2D="false" dtr="false" t="normal">B707+1</f>
        <v>222</v>
      </c>
      <c r="C708" s="138" t="s">
        <v>104</v>
      </c>
      <c r="D708" s="138" t="s">
        <v>578</v>
      </c>
      <c r="E708" s="139" t="n">
        <v>1994</v>
      </c>
      <c r="F708" s="139" t="n">
        <v>2017</v>
      </c>
      <c r="G708" s="139" t="s">
        <v>4</v>
      </c>
      <c r="H708" s="139" t="n">
        <v>10</v>
      </c>
      <c r="I708" s="139" t="n">
        <v>1</v>
      </c>
      <c r="J708" s="17" t="n">
        <v>3265.2</v>
      </c>
      <c r="K708" s="17" t="n">
        <v>2810.5</v>
      </c>
      <c r="L708" s="17" t="n">
        <v>0</v>
      </c>
      <c r="M708" s="140" t="n">
        <v>90</v>
      </c>
      <c r="N708" s="16" t="n">
        <f aca="false" ca="false" dt2D="false" dtr="false" t="normal">P708+Q708+R708+S708+T708</f>
        <v>2622854.51</v>
      </c>
      <c r="O708" s="17" t="n"/>
      <c r="P708" s="17" t="n">
        <v>0</v>
      </c>
      <c r="Q708" s="17" t="n"/>
      <c r="R708" s="16" t="n">
        <v>786856.35</v>
      </c>
      <c r="S708" s="16" t="n">
        <v>1835998.16</v>
      </c>
      <c r="T708" s="17" t="n">
        <v>0</v>
      </c>
      <c r="U708" s="17" t="n">
        <v>1190.671234272</v>
      </c>
      <c r="V708" s="17" t="n">
        <v>1207.283020064</v>
      </c>
      <c r="W708" s="21" t="n">
        <v>2024</v>
      </c>
      <c r="X708" s="103" t="n"/>
      <c r="Y708" s="3" t="n">
        <f aca="false" ca="false" dt2D="false" dtr="false" t="normal">+(K708*16.89+L708*28.62)*12*0.85</f>
        <v>484187.319</v>
      </c>
      <c r="Z708" s="3" t="n">
        <f aca="false" ca="false" dt2D="false" dtr="false" t="normal">+(K708*16.89+L708*28.62)*12*30-'[1]Лист1'!$AQ$148</f>
        <v>12778520.879999999</v>
      </c>
      <c r="AA708" s="3" t="n">
        <f aca="false" ca="false" dt2D="false" dtr="false" t="normal">+N708-AB708</f>
        <v>0</v>
      </c>
      <c r="AB708" s="16" t="n">
        <f aca="false" ca="false" dt2D="false" dtr="false" t="normal">'Приложение №2'!E706</f>
        <v>2622854.51</v>
      </c>
      <c r="AC708" s="17" t="n">
        <v>0</v>
      </c>
      <c r="AD708" s="17" t="n">
        <v>0</v>
      </c>
      <c r="AE708" s="17" t="n">
        <v>0</v>
      </c>
      <c r="AF708" s="17" t="n">
        <v>0</v>
      </c>
      <c r="AG708" s="17" t="n">
        <v>0</v>
      </c>
      <c r="AH708" s="17" t="n"/>
      <c r="AI708" s="17" t="n"/>
      <c r="AJ708" s="17" t="n">
        <v>0</v>
      </c>
      <c r="AK708" s="17" t="n">
        <v>2622854.51</v>
      </c>
      <c r="AL708" s="17" t="n">
        <v>0</v>
      </c>
      <c r="AM708" s="17" t="n">
        <v>0</v>
      </c>
      <c r="AN708" s="17" t="n">
        <v>0</v>
      </c>
      <c r="AO708" s="17" t="n"/>
      <c r="AP708" s="17" t="n"/>
      <c r="AQ708" s="188" t="n"/>
      <c r="AR708" s="241" t="n">
        <f aca="false" ca="false" dt2D="false" dtr="false" t="normal">COUNTIF(AC708:AN708, "&gt;0")</f>
        <v>1</v>
      </c>
    </row>
    <row ht="15.75" outlineLevel="0" r="709">
      <c r="A709" s="240" t="n">
        <f aca="false" ca="false" dt2D="false" dtr="false" t="normal">A708+1</f>
        <v>684</v>
      </c>
      <c r="B709" s="138" t="s">
        <v>76</v>
      </c>
      <c r="C709" s="138" t="s">
        <v>104</v>
      </c>
      <c r="D709" s="138" t="s">
        <v>246</v>
      </c>
      <c r="E709" s="139" t="n">
        <v>1989</v>
      </c>
      <c r="F709" s="139" t="n">
        <v>2017</v>
      </c>
      <c r="G709" s="139" t="s">
        <v>4</v>
      </c>
      <c r="H709" s="139" t="n">
        <v>10</v>
      </c>
      <c r="I709" s="139" t="n">
        <v>1</v>
      </c>
      <c r="J709" s="17" t="n">
        <v>3562.9</v>
      </c>
      <c r="K709" s="17" t="n">
        <v>3068</v>
      </c>
      <c r="L709" s="17" t="n">
        <v>0</v>
      </c>
      <c r="M709" s="140" t="n">
        <v>120</v>
      </c>
      <c r="N709" s="16" t="n">
        <f aca="false" ca="false" dt2D="false" dtr="false" t="normal">P709+Q709+R709+S709+T709</f>
        <v>2460076.9699999997</v>
      </c>
      <c r="O709" s="17" t="n"/>
      <c r="P709" s="17" t="n">
        <v>0</v>
      </c>
      <c r="Q709" s="17" t="n"/>
      <c r="R709" s="16" t="n">
        <v>695009.07</v>
      </c>
      <c r="S709" s="16" t="n">
        <v>1765067.9</v>
      </c>
      <c r="T709" s="17" t="n">
        <v>0</v>
      </c>
      <c r="U709" s="17" t="n">
        <v>4712.02335049937</v>
      </c>
      <c r="V709" s="17" t="n">
        <v>1208.283020064</v>
      </c>
      <c r="W709" s="21" t="n">
        <v>2024</v>
      </c>
      <c r="X709" s="103" t="n">
        <f aca="false" ca="false" dt2D="false" dtr="false" t="normal">+'[1]Лист1'!$BC$149</f>
        <v>468663.01</v>
      </c>
      <c r="Y709" s="3" t="n">
        <f aca="false" ca="false" dt2D="false" dtr="false" t="normal">+(K709*16.89+L709*28.62)*12*0.85</f>
        <v>528548.904</v>
      </c>
      <c r="Z709" s="3" t="n">
        <f aca="false" ca="false" dt2D="false" dtr="false" t="normal">+(K709*16.89+L709*28.62)*12*30</f>
        <v>18654667.2</v>
      </c>
      <c r="AA709" s="3" t="n">
        <f aca="false" ca="false" dt2D="false" dtr="false" t="normal">+N709-AB709</f>
        <v>0</v>
      </c>
      <c r="AB709" s="16" t="n">
        <f aca="false" ca="false" dt2D="false" dtr="false" t="normal">'Приложение №2'!E707</f>
        <v>2460076.97</v>
      </c>
      <c r="AC709" s="17" t="n"/>
      <c r="AD709" s="17" t="n"/>
      <c r="AE709" s="17" t="n">
        <v>0</v>
      </c>
      <c r="AF709" s="17" t="n">
        <v>0</v>
      </c>
      <c r="AG709" s="17" t="n">
        <v>0</v>
      </c>
      <c r="AH709" s="17" t="n"/>
      <c r="AI709" s="17" t="n">
        <v>0</v>
      </c>
      <c r="AJ709" s="17" t="n"/>
      <c r="AK709" s="17" t="n">
        <v>2460076.97</v>
      </c>
      <c r="AL709" s="17" t="n"/>
      <c r="AM709" s="17" t="n">
        <v>0</v>
      </c>
      <c r="AN709" s="17" t="n">
        <v>0</v>
      </c>
      <c r="AO709" s="17" t="n"/>
      <c r="AP709" s="17" t="n"/>
      <c r="AQ709" s="188" t="n"/>
      <c r="AR709" s="241" t="n">
        <f aca="false" ca="false" dt2D="false" dtr="false" t="normal">COUNTIF(AC709:AN709, "&gt;0")</f>
        <v>1</v>
      </c>
    </row>
    <row ht="15.75" outlineLevel="0" r="710">
      <c r="A710" s="240" t="n">
        <f aca="false" ca="false" dt2D="false" dtr="false" t="normal">A709+1</f>
        <v>685</v>
      </c>
      <c r="B710" s="138" t="n">
        <f aca="false" ca="false" dt2D="false" dtr="false" t="normal">+B708+1</f>
        <v>223</v>
      </c>
      <c r="C710" s="138" t="s">
        <v>104</v>
      </c>
      <c r="D710" s="138" t="s">
        <v>128</v>
      </c>
      <c r="E710" s="139" t="n">
        <v>1990</v>
      </c>
      <c r="F710" s="139" t="n">
        <v>2017</v>
      </c>
      <c r="G710" s="139" t="s">
        <v>4</v>
      </c>
      <c r="H710" s="139" t="n">
        <v>9</v>
      </c>
      <c r="I710" s="139" t="n">
        <v>2</v>
      </c>
      <c r="J710" s="17" t="n">
        <v>9044.7</v>
      </c>
      <c r="K710" s="17" t="n">
        <v>7731.7</v>
      </c>
      <c r="L710" s="17" t="n">
        <v>0</v>
      </c>
      <c r="M710" s="140" t="n">
        <v>294</v>
      </c>
      <c r="N710" s="16" t="n">
        <f aca="false" ca="false" dt2D="false" dtr="false" t="normal">P710+Q710+R710+S710+T710</f>
        <v>4022669.56</v>
      </c>
      <c r="O710" s="17" t="n"/>
      <c r="P710" s="17" t="n">
        <v>0</v>
      </c>
      <c r="Q710" s="17" t="n"/>
      <c r="R710" s="16" t="n">
        <v>1210552.27</v>
      </c>
      <c r="S710" s="16" t="n">
        <v>2812117.29</v>
      </c>
      <c r="T710" s="17" t="n"/>
      <c r="U710" s="17" t="n">
        <v>635.890939165021</v>
      </c>
      <c r="V710" s="17" t="n">
        <v>635.890939165021</v>
      </c>
      <c r="W710" s="21" t="n">
        <v>2024</v>
      </c>
      <c r="Y710" s="3" t="n">
        <f aca="false" ca="false" dt2D="false" dtr="false" t="normal">+(K710*16.89+L710*28.62)*12*0.85</f>
        <v>1332001.8126</v>
      </c>
      <c r="Z710" s="3" t="n">
        <f aca="false" ca="false" dt2D="false" dtr="false" t="normal">+(K710*16.89+L710*28.62)*12*30-'[1]Лист1'!$AQ$151</f>
        <v>35988037.54</v>
      </c>
      <c r="AB710" s="16" t="n">
        <f aca="false" ca="false" dt2D="false" dtr="false" t="normal">'Приложение №2'!E708</f>
        <v>4022669.56</v>
      </c>
      <c r="AC710" s="17" t="n"/>
      <c r="AD710" s="17" t="n"/>
      <c r="AE710" s="17" t="n"/>
      <c r="AF710" s="17" t="n"/>
      <c r="AG710" s="17" t="n">
        <v>0</v>
      </c>
      <c r="AH710" s="17" t="n"/>
      <c r="AI710" s="17" t="n"/>
      <c r="AJ710" s="17" t="n">
        <v>0</v>
      </c>
      <c r="AK710" s="17" t="n">
        <v>0</v>
      </c>
      <c r="AL710" s="17" t="n">
        <v>3968655.74</v>
      </c>
      <c r="AM710" s="17" t="n">
        <v>0</v>
      </c>
      <c r="AN710" s="17" t="n">
        <v>0</v>
      </c>
      <c r="AO710" s="17" t="n"/>
      <c r="AP710" s="17" t="n"/>
      <c r="AQ710" s="188" t="n"/>
      <c r="AR710" s="241" t="n">
        <f aca="false" ca="false" dt2D="false" dtr="false" t="normal">COUNTIF(AC710:AN710, "&gt;0")</f>
        <v>1</v>
      </c>
    </row>
    <row ht="15.75" outlineLevel="0" r="711">
      <c r="A711" s="240" t="n">
        <f aca="false" ca="false" dt2D="false" dtr="false" t="normal">A710+1</f>
        <v>686</v>
      </c>
      <c r="B711" s="138" t="s">
        <v>76</v>
      </c>
      <c r="C711" s="138" t="s">
        <v>104</v>
      </c>
      <c r="D711" s="138" t="s">
        <v>266</v>
      </c>
      <c r="E711" s="139" t="n">
        <v>1995</v>
      </c>
      <c r="F711" s="139" t="n">
        <v>2002</v>
      </c>
      <c r="G711" s="139" t="s">
        <v>4</v>
      </c>
      <c r="H711" s="139" t="n">
        <v>10</v>
      </c>
      <c r="I711" s="139" t="n">
        <v>1</v>
      </c>
      <c r="J711" s="17" t="n">
        <v>3274.9</v>
      </c>
      <c r="K711" s="17" t="n">
        <v>3274.9</v>
      </c>
      <c r="L711" s="17" t="n">
        <v>0</v>
      </c>
      <c r="M711" s="140" t="n">
        <v>107</v>
      </c>
      <c r="N711" s="16" t="n">
        <f aca="false" ca="false" dt2D="false" dtr="false" t="normal">P711+Q711+R711+S711+T711</f>
        <v>6516218</v>
      </c>
      <c r="O711" s="17" t="n"/>
      <c r="P711" s="17" t="n">
        <v>0</v>
      </c>
      <c r="Q711" s="17" t="n"/>
      <c r="R711" s="16" t="n">
        <v>1530938.1</v>
      </c>
      <c r="S711" s="16" t="n">
        <v>4985279.9</v>
      </c>
      <c r="T711" s="17" t="n"/>
      <c r="U711" s="17" t="n">
        <v>2458.6706249324</v>
      </c>
      <c r="V711" s="17" t="n">
        <v>2458.6706249324</v>
      </c>
      <c r="W711" s="21" t="n">
        <v>2024</v>
      </c>
      <c r="Y711" s="3" t="n">
        <f aca="false" ca="false" dt2D="false" dtr="false" t="normal">+(K711*16.89+L711*28.62)*12*0.85</f>
        <v>564193.2222000001</v>
      </c>
      <c r="Z711" s="3" t="n">
        <f aca="false" ca="false" dt2D="false" dtr="false" t="normal">+(K711*16.89+L711*28.62)*12*30-'[1]Лист1'!$AQ$166</f>
        <v>17619826.22</v>
      </c>
      <c r="AA711" s="3" t="n">
        <f aca="false" ca="false" dt2D="false" dtr="false" t="normal">N711-AB711</f>
        <v>0</v>
      </c>
      <c r="AB711" s="16" t="n">
        <f aca="false" ca="false" dt2D="false" dtr="false" t="normal">'Приложение №2'!E709</f>
        <v>6516218</v>
      </c>
      <c r="AC711" s="17" t="n">
        <v>6483838.38</v>
      </c>
      <c r="AD711" s="17" t="n">
        <v>0</v>
      </c>
      <c r="AE711" s="17" t="n">
        <v>0</v>
      </c>
      <c r="AF711" s="17" t="n"/>
      <c r="AG711" s="17" t="n">
        <v>0</v>
      </c>
      <c r="AH711" s="17" t="n"/>
      <c r="AI711" s="17" t="n"/>
      <c r="AJ711" s="17" t="n">
        <v>0</v>
      </c>
      <c r="AK711" s="17" t="n">
        <v>0</v>
      </c>
      <c r="AL711" s="17" t="n"/>
      <c r="AM711" s="17" t="n">
        <v>0</v>
      </c>
      <c r="AN711" s="17" t="n">
        <v>0</v>
      </c>
      <c r="AO711" s="17" t="n"/>
      <c r="AP711" s="17" t="n"/>
      <c r="AQ711" s="188" t="n"/>
      <c r="AR711" s="241" t="n">
        <f aca="false" ca="false" dt2D="false" dtr="false" t="normal">COUNTIF(AC711:AN711, "&gt;0")</f>
        <v>1</v>
      </c>
    </row>
    <row ht="15.75" outlineLevel="0" r="712">
      <c r="A712" s="240" t="n">
        <f aca="false" ca="false" dt2D="false" dtr="false" t="normal">A711+1</f>
        <v>687</v>
      </c>
      <c r="B712" s="138" t="n">
        <f aca="false" ca="false" dt2D="false" dtr="false" t="normal">B710+1</f>
        <v>224</v>
      </c>
      <c r="C712" s="138" t="s">
        <v>104</v>
      </c>
      <c r="D712" s="138" t="s">
        <v>581</v>
      </c>
      <c r="E712" s="139" t="n">
        <v>1979</v>
      </c>
      <c r="F712" s="139" t="n">
        <v>2015</v>
      </c>
      <c r="G712" s="139" t="s">
        <v>4</v>
      </c>
      <c r="H712" s="139" t="n">
        <v>5</v>
      </c>
      <c r="I712" s="139" t="n">
        <v>4</v>
      </c>
      <c r="J712" s="17" t="n">
        <v>4063.4</v>
      </c>
      <c r="K712" s="17" t="n">
        <v>3700.2</v>
      </c>
      <c r="L712" s="17" t="n">
        <v>117.2</v>
      </c>
      <c r="M712" s="140" t="n">
        <v>192</v>
      </c>
      <c r="N712" s="16" t="n">
        <f aca="false" ca="false" dt2D="false" dtr="false" t="normal">P712+Q712+R712+S712+T712</f>
        <v>9248464.34</v>
      </c>
      <c r="O712" s="17" t="n"/>
      <c r="P712" s="17" t="n">
        <v>0</v>
      </c>
      <c r="Q712" s="17" t="n"/>
      <c r="R712" s="16" t="n">
        <v>463535.23</v>
      </c>
      <c r="S712" s="16" t="n">
        <v>8784929.11</v>
      </c>
      <c r="T712" s="16" t="n"/>
      <c r="U712" s="17" t="n">
        <v>3776.05893061532</v>
      </c>
      <c r="V712" s="17" t="n">
        <v>1222.283020064</v>
      </c>
      <c r="W712" s="21" t="n">
        <v>2024</v>
      </c>
      <c r="Y712" s="3" t="n">
        <f aca="false" ca="false" dt2D="false" dtr="false" t="normal">+(K712*12.71+L712*25.41)*12*0.85</f>
        <v>510077.4588</v>
      </c>
      <c r="Z712" s="3" t="n">
        <f aca="false" ca="false" dt2D="false" dtr="false" t="normal">+(K712*12.71+L712*25.41)*12*30-'[1]Лист1'!$AQ$172</f>
        <v>14550308.74</v>
      </c>
      <c r="AB712" s="16" t="n">
        <f aca="false" ca="false" dt2D="false" dtr="false" t="normal">'Приложение №2'!E710</f>
        <v>9248464.34</v>
      </c>
      <c r="AC712" s="17" t="n">
        <v>0</v>
      </c>
      <c r="AD712" s="17" t="n">
        <v>0</v>
      </c>
      <c r="AE712" s="17" t="n">
        <v>0</v>
      </c>
      <c r="AF712" s="17" t="n">
        <v>0</v>
      </c>
      <c r="AG712" s="17" t="n">
        <v>0</v>
      </c>
      <c r="AH712" s="17" t="n"/>
      <c r="AI712" s="17" t="n"/>
      <c r="AJ712" s="17" t="n">
        <v>0</v>
      </c>
      <c r="AK712" s="17" t="n">
        <v>9169688.35</v>
      </c>
      <c r="AL712" s="17" t="n">
        <v>0</v>
      </c>
      <c r="AM712" s="17" t="n">
        <v>0</v>
      </c>
      <c r="AN712" s="17" t="n">
        <v>0</v>
      </c>
      <c r="AO712" s="17" t="n"/>
      <c r="AP712" s="17" t="n"/>
      <c r="AQ712" s="188" t="n"/>
      <c r="AR712" s="241" t="n">
        <f aca="false" ca="false" dt2D="false" dtr="false" t="normal">COUNTIF(AC712:AN712, "&gt;0")</f>
        <v>1</v>
      </c>
    </row>
    <row ht="15.75" outlineLevel="0" r="713">
      <c r="A713" s="240" t="n">
        <f aca="false" ca="false" dt2D="false" dtr="false" t="normal">A712+1</f>
        <v>688</v>
      </c>
      <c r="B713" s="138" t="s">
        <v>76</v>
      </c>
      <c r="C713" s="138" t="s">
        <v>104</v>
      </c>
      <c r="D713" s="138" t="s">
        <v>282</v>
      </c>
      <c r="E713" s="139" t="n">
        <v>1992</v>
      </c>
      <c r="F713" s="139" t="n">
        <v>1992</v>
      </c>
      <c r="G713" s="139" t="s">
        <v>4</v>
      </c>
      <c r="H713" s="139" t="n">
        <v>2</v>
      </c>
      <c r="I713" s="139" t="n">
        <v>8</v>
      </c>
      <c r="J713" s="17" t="n">
        <v>962.7</v>
      </c>
      <c r="K713" s="17" t="n">
        <v>961.6</v>
      </c>
      <c r="L713" s="17" t="n">
        <v>0</v>
      </c>
      <c r="M713" s="140" t="n">
        <v>42</v>
      </c>
      <c r="N713" s="16" t="n">
        <f aca="false" ca="false" dt2D="false" dtr="false" t="normal">P713+Q713+R713+S713+T713</f>
        <v>5103601.54</v>
      </c>
      <c r="O713" s="17" t="n"/>
      <c r="P713" s="17" t="n"/>
      <c r="Q713" s="17" t="n"/>
      <c r="R713" s="16" t="n">
        <v>264678.12</v>
      </c>
      <c r="S713" s="16" t="n">
        <v>1425398.48</v>
      </c>
      <c r="T713" s="16" t="n">
        <v>3413524.94</v>
      </c>
      <c r="U713" s="17" t="n">
        <v>22867.4703734881</v>
      </c>
      <c r="V713" s="17" t="n">
        <v>1227.283020064</v>
      </c>
      <c r="W713" s="21" t="n">
        <v>2024</v>
      </c>
      <c r="X713" s="103" t="n">
        <v>189434.55</v>
      </c>
      <c r="Y713" s="3" t="n">
        <f aca="false" ca="false" dt2D="false" dtr="false" t="normal">+(K713*12.71+L713*25.41)*12*0.85</f>
        <v>124663.74720000001</v>
      </c>
      <c r="Z713" s="3" t="n">
        <f aca="false" ca="false" dt2D="false" dtr="false" t="normal">+(K713*12.71+L713*25.41)*12*30</f>
        <v>4399896.960000001</v>
      </c>
      <c r="AB713" s="16" t="n">
        <f aca="false" ca="false" dt2D="false" dtr="false" t="normal">'Приложение №2'!E711</f>
        <v>5103601.54</v>
      </c>
      <c r="AC713" s="17" t="n">
        <v>0</v>
      </c>
      <c r="AD713" s="17" t="n">
        <v>0</v>
      </c>
      <c r="AE713" s="17" t="n">
        <v>0</v>
      </c>
      <c r="AF713" s="17" t="n">
        <v>0</v>
      </c>
      <c r="AG713" s="17" t="n">
        <v>0</v>
      </c>
      <c r="AH713" s="17" t="n"/>
      <c r="AI713" s="17" t="n"/>
      <c r="AJ713" s="17" t="n">
        <v>0</v>
      </c>
      <c r="AK713" s="17" t="n">
        <v>5103601.54</v>
      </c>
      <c r="AL713" s="17" t="n">
        <v>0</v>
      </c>
      <c r="AM713" s="17" t="n"/>
      <c r="AN713" s="17" t="n">
        <v>0</v>
      </c>
      <c r="AO713" s="17" t="n"/>
      <c r="AP713" s="17" t="n"/>
      <c r="AQ713" s="188" t="n"/>
      <c r="AR713" s="241" t="n">
        <f aca="false" ca="false" dt2D="false" dtr="false" t="normal">COUNTIF(AC713:AN713, "&gt;0")</f>
        <v>1</v>
      </c>
    </row>
    <row ht="15.75" outlineLevel="0" r="714">
      <c r="A714" s="240" t="n">
        <f aca="false" ca="false" dt2D="false" dtr="false" t="normal">A713+1</f>
        <v>689</v>
      </c>
      <c r="B714" s="138" t="n">
        <f aca="false" ca="false" dt2D="false" dtr="false" t="normal">B712+1</f>
        <v>225</v>
      </c>
      <c r="C714" s="138" t="s">
        <v>104</v>
      </c>
      <c r="D714" s="138" t="s">
        <v>582</v>
      </c>
      <c r="E714" s="139" t="n">
        <v>1991</v>
      </c>
      <c r="F714" s="139" t="n">
        <v>1999</v>
      </c>
      <c r="G714" s="139" t="s">
        <v>4</v>
      </c>
      <c r="H714" s="139" t="n">
        <v>2</v>
      </c>
      <c r="I714" s="139" t="n">
        <v>8</v>
      </c>
      <c r="J714" s="17" t="n">
        <v>1042.9</v>
      </c>
      <c r="K714" s="17" t="n">
        <v>988.8</v>
      </c>
      <c r="L714" s="17" t="n">
        <v>54.1</v>
      </c>
      <c r="M714" s="140" t="n">
        <v>39</v>
      </c>
      <c r="N714" s="16" t="n">
        <f aca="false" ca="false" dt2D="false" dtr="false" t="normal">P714+Q714+R714+S714+T714</f>
        <v>10768790.21</v>
      </c>
      <c r="O714" s="17" t="n"/>
      <c r="P714" s="17" t="n">
        <v>0</v>
      </c>
      <c r="Q714" s="17" t="n"/>
      <c r="R714" s="16" t="n">
        <v>436812.94</v>
      </c>
      <c r="S714" s="16" t="n">
        <v>4561326</v>
      </c>
      <c r="T714" s="16" t="n">
        <v>5770651.27</v>
      </c>
      <c r="U714" s="17" t="n">
        <v>12664.131824465</v>
      </c>
      <c r="V714" s="17" t="n">
        <v>1242.283020064</v>
      </c>
      <c r="W714" s="21" t="n">
        <v>2024</v>
      </c>
      <c r="X714" s="103" t="n">
        <v>15373.83</v>
      </c>
      <c r="Y714" s="3" t="n">
        <f aca="false" ca="false" dt2D="false" dtr="false" t="normal">+(K714*12.71+L714*25.41)*12*0.85</f>
        <v>142211.7558</v>
      </c>
      <c r="Z714" s="3" t="n">
        <f aca="false" ca="false" dt2D="false" dtr="false" t="normal">+(K714*12.71+L714*25.41)*12*30</f>
        <v>5019238.440000001</v>
      </c>
      <c r="AA714" s="3" t="n">
        <f aca="false" ca="false" dt2D="false" dtr="false" t="normal">+N714-AB714</f>
        <v>0</v>
      </c>
      <c r="AB714" s="16" t="n">
        <f aca="false" ca="false" dt2D="false" dtr="false" t="normal">'Приложение №2'!E712</f>
        <v>10768790.21</v>
      </c>
      <c r="AC714" s="17" t="n">
        <v>0</v>
      </c>
      <c r="AD714" s="17" t="n">
        <v>0</v>
      </c>
      <c r="AE714" s="17" t="n">
        <v>0</v>
      </c>
      <c r="AF714" s="17" t="n">
        <v>0</v>
      </c>
      <c r="AG714" s="17" t="n">
        <v>0</v>
      </c>
      <c r="AH714" s="17" t="n"/>
      <c r="AI714" s="17" t="n"/>
      <c r="AJ714" s="17" t="n">
        <v>0</v>
      </c>
      <c r="AK714" s="17" t="n">
        <v>0</v>
      </c>
      <c r="AL714" s="17" t="n">
        <v>0</v>
      </c>
      <c r="AM714" s="17" t="n">
        <v>10768790.21</v>
      </c>
      <c r="AN714" s="17" t="n">
        <v>0</v>
      </c>
      <c r="AO714" s="17" t="n"/>
      <c r="AP714" s="17" t="n"/>
      <c r="AQ714" s="188" t="n"/>
      <c r="AR714" s="241" t="n">
        <f aca="false" ca="false" dt2D="false" dtr="false" t="normal">COUNTIF(AC714:AN714, "&gt;0")</f>
        <v>1</v>
      </c>
    </row>
    <row ht="15.75" outlineLevel="0" r="715">
      <c r="A715" s="240" t="n">
        <f aca="false" ca="false" dt2D="false" dtr="false" t="normal">A714+1</f>
        <v>690</v>
      </c>
      <c r="B715" s="138" t="s">
        <v>76</v>
      </c>
      <c r="C715" s="138" t="s">
        <v>177</v>
      </c>
      <c r="D715" s="138" t="s">
        <v>220</v>
      </c>
      <c r="E715" s="139" t="n">
        <v>1989</v>
      </c>
      <c r="F715" s="139" t="n">
        <v>2017</v>
      </c>
      <c r="G715" s="139" t="s">
        <v>4</v>
      </c>
      <c r="H715" s="139" t="n">
        <v>9</v>
      </c>
      <c r="I715" s="139" t="n">
        <v>3</v>
      </c>
      <c r="J715" s="17" t="n">
        <v>7106.9</v>
      </c>
      <c r="K715" s="17" t="n">
        <v>6247.4</v>
      </c>
      <c r="L715" s="17" t="n">
        <v>0</v>
      </c>
      <c r="M715" s="140" t="n">
        <v>266</v>
      </c>
      <c r="N715" s="16" t="n">
        <f aca="false" ca="false" dt2D="false" dtr="false" t="normal">P715+Q715+R715+S715+T715</f>
        <v>6402530.38</v>
      </c>
      <c r="O715" s="17" t="n"/>
      <c r="P715" s="17" t="n">
        <v>0</v>
      </c>
      <c r="Q715" s="17" t="n"/>
      <c r="R715" s="16" t="n">
        <v>512202.43</v>
      </c>
      <c r="S715" s="16" t="n">
        <v>5890327.95</v>
      </c>
      <c r="T715" s="16" t="n"/>
      <c r="U715" s="17" t="n">
        <v>7522.68767618924</v>
      </c>
      <c r="V715" s="17" t="n">
        <v>7522.68767618924</v>
      </c>
      <c r="W715" s="21" t="n">
        <v>2024</v>
      </c>
      <c r="Y715" s="3" t="n">
        <f aca="false" ca="false" dt2D="false" dtr="false" t="normal">+(K715*17.26+L715*29.25)*12*0.85</f>
        <v>1099867.2648</v>
      </c>
      <c r="Z715" s="3" t="n">
        <f aca="false" ca="false" dt2D="false" dtr="false" t="normal">+(K715*17.26+L715*29.25)*12*30-'[1]Лист1'!$AQ$264</f>
        <v>19762970.39</v>
      </c>
      <c r="AA715" s="3" t="n">
        <f aca="false" ca="false" dt2D="false" dtr="false" t="normal">+N715-AB715</f>
        <v>0</v>
      </c>
      <c r="AB715" s="16" t="n">
        <f aca="false" ca="false" dt2D="false" dtr="false" t="normal">'Приложение №2'!E713</f>
        <v>6402530.38</v>
      </c>
      <c r="AC715" s="17" t="n">
        <v>6402530.38</v>
      </c>
      <c r="AD715" s="17" t="n"/>
      <c r="AE715" s="17" t="n"/>
      <c r="AF715" s="17" t="n"/>
      <c r="AG715" s="17" t="n">
        <v>0</v>
      </c>
      <c r="AH715" s="17" t="n"/>
      <c r="AI715" s="17" t="n"/>
      <c r="AJ715" s="17" t="n">
        <v>0</v>
      </c>
      <c r="AK715" s="17" t="n"/>
      <c r="AL715" s="17" t="n">
        <v>0</v>
      </c>
      <c r="AM715" s="17" t="n"/>
      <c r="AN715" s="17" t="n">
        <v>0</v>
      </c>
      <c r="AO715" s="17" t="n"/>
      <c r="AP715" s="17" t="n"/>
      <c r="AQ715" s="188" t="n"/>
      <c r="AR715" s="241" t="n">
        <f aca="false" ca="false" dt2D="false" dtr="false" t="normal">COUNTIF(AC715:AN715, "&gt;0")</f>
        <v>1</v>
      </c>
    </row>
    <row ht="15.75" outlineLevel="0" r="716">
      <c r="A716" s="240" t="n">
        <f aca="false" ca="false" dt2D="false" dtr="false" t="normal">A715+1</f>
        <v>691</v>
      </c>
      <c r="B716" s="138" t="s">
        <v>76</v>
      </c>
      <c r="C716" s="138" t="s">
        <v>177</v>
      </c>
      <c r="D716" s="138" t="s">
        <v>224</v>
      </c>
      <c r="E716" s="139" t="n">
        <v>1994</v>
      </c>
      <c r="F716" s="139" t="n">
        <v>2013</v>
      </c>
      <c r="G716" s="139" t="s">
        <v>4</v>
      </c>
      <c r="H716" s="139" t="n">
        <v>9</v>
      </c>
      <c r="I716" s="139" t="n">
        <v>3</v>
      </c>
      <c r="J716" s="17" t="n">
        <v>7891.7</v>
      </c>
      <c r="K716" s="17" t="n">
        <v>6600.8</v>
      </c>
      <c r="L716" s="17" t="n">
        <v>0</v>
      </c>
      <c r="M716" s="140" t="n">
        <v>291</v>
      </c>
      <c r="N716" s="16" t="n">
        <f aca="false" ca="false" dt2D="false" dtr="false" t="normal">P716+Q716+R716+S716+T716</f>
        <v>4667209.49</v>
      </c>
      <c r="O716" s="17" t="n"/>
      <c r="P716" s="17" t="n">
        <v>0</v>
      </c>
      <c r="Q716" s="17" t="n"/>
      <c r="R716" s="16" t="n"/>
      <c r="S716" s="16" t="n">
        <v>4667209.49</v>
      </c>
      <c r="T716" s="16" t="n"/>
      <c r="U716" s="17" t="n">
        <v>1911.37085745352</v>
      </c>
      <c r="V716" s="17" t="n">
        <v>1911.37085745352</v>
      </c>
      <c r="W716" s="21" t="n">
        <v>2024</v>
      </c>
      <c r="X716" s="12" t="n"/>
      <c r="Y716" s="3" t="n">
        <f aca="false" ca="false" dt2D="false" dtr="false" t="normal">+(K716*17.26+L716*29.25)*12*0.85</f>
        <v>1162084.0416</v>
      </c>
      <c r="Z716" s="3" t="n">
        <f aca="false" ca="false" dt2D="false" dtr="false" t="normal">+(K716*17.26+L716*29.25)*12*30-'[1]Лист1'!$AQ$266</f>
        <v>26820829.690000013</v>
      </c>
      <c r="AB716" s="16" t="n">
        <f aca="false" ca="false" dt2D="false" dtr="false" t="normal">'Приложение №2'!E714</f>
        <v>4667209.49</v>
      </c>
      <c r="AC716" s="17" t="n">
        <v>4667209.49</v>
      </c>
      <c r="AD716" s="17" t="n">
        <v>0</v>
      </c>
      <c r="AE716" s="157" t="n"/>
      <c r="AF716" s="17" t="n"/>
      <c r="AG716" s="17" t="n"/>
      <c r="AH716" s="17" t="n"/>
      <c r="AI716" s="17" t="n"/>
      <c r="AJ716" s="17" t="n">
        <v>0</v>
      </c>
      <c r="AK716" s="17" t="n"/>
      <c r="AL716" s="17" t="n">
        <v>0</v>
      </c>
      <c r="AM716" s="17" t="n"/>
      <c r="AN716" s="17" t="n">
        <v>0</v>
      </c>
      <c r="AO716" s="17" t="n"/>
      <c r="AP716" s="17" t="n"/>
      <c r="AQ716" s="188" t="n"/>
      <c r="AR716" s="241" t="n">
        <f aca="false" ca="false" dt2D="false" dtr="false" t="normal">COUNTIF(AC716:AN716, "&gt;0")</f>
        <v>1</v>
      </c>
      <c r="AS716" s="242" t="n">
        <v>2013425.71</v>
      </c>
    </row>
    <row customFormat="true" ht="15.75" outlineLevel="0" r="717" s="184">
      <c r="A717" s="240" t="n">
        <f aca="false" ca="false" dt2D="false" dtr="false" t="normal">A716+1</f>
        <v>692</v>
      </c>
      <c r="B717" s="138" t="n">
        <f aca="false" ca="false" dt2D="false" dtr="false" t="normal">B714+1</f>
        <v>226</v>
      </c>
      <c r="C717" s="138" t="s">
        <v>177</v>
      </c>
      <c r="D717" s="138" t="s">
        <v>584</v>
      </c>
      <c r="E717" s="139" t="s">
        <v>353</v>
      </c>
      <c r="F717" s="139" t="n"/>
      <c r="G717" s="139" t="s">
        <v>4</v>
      </c>
      <c r="H717" s="139" t="s">
        <v>159</v>
      </c>
      <c r="I717" s="139" t="s">
        <v>312</v>
      </c>
      <c r="J717" s="17" t="n">
        <v>5658.4</v>
      </c>
      <c r="K717" s="17" t="n">
        <v>4959.9</v>
      </c>
      <c r="L717" s="17" t="n">
        <v>0</v>
      </c>
      <c r="M717" s="140" t="n">
        <v>203</v>
      </c>
      <c r="N717" s="16" t="n">
        <f aca="false" ca="false" dt2D="false" dtr="false" t="normal">P717+Q717+R717+S717+T717</f>
        <v>2518265.15</v>
      </c>
      <c r="O717" s="17" t="n">
        <v>0</v>
      </c>
      <c r="P717" s="17" t="n">
        <v>0</v>
      </c>
      <c r="Q717" s="17" t="n"/>
      <c r="R717" s="16" t="n">
        <v>678055.59</v>
      </c>
      <c r="S717" s="16" t="n">
        <v>1840209.56</v>
      </c>
      <c r="T717" s="16" t="n">
        <v>0</v>
      </c>
      <c r="U717" s="17" t="n">
        <v>1100.71499223775</v>
      </c>
      <c r="V717" s="17" t="n">
        <v>1100.71499223775</v>
      </c>
      <c r="W717" s="21" t="n">
        <v>2024</v>
      </c>
      <c r="Y717" s="3" t="n">
        <f aca="false" ca="false" dt2D="false" dtr="false" t="normal">+(K717*12.98+L717*25.97)*12*0.85</f>
        <v>656670.9204</v>
      </c>
      <c r="Z717" s="3" t="n">
        <f aca="false" ca="false" dt2D="false" dtr="false" t="normal">+(K717*12.98+L717*25.97)*12*30-'[1]Лист1'!$AQ$275</f>
        <v>17501186.939999998</v>
      </c>
      <c r="AA717" s="3" t="n">
        <f aca="false" ca="false" dt2D="false" dtr="false" t="normal">+N717-AB717</f>
        <v>0</v>
      </c>
      <c r="AB717" s="16" t="n">
        <f aca="false" ca="false" dt2D="false" dtr="false" t="normal">'Приложение №2'!E715</f>
        <v>2518265.15</v>
      </c>
      <c r="AC717" s="17" t="n"/>
      <c r="AD717" s="17" t="n">
        <v>2518265.15</v>
      </c>
      <c r="AE717" s="17" t="n"/>
      <c r="AF717" s="17" t="n"/>
      <c r="AG717" s="17" t="n"/>
      <c r="AH717" s="17" t="n"/>
      <c r="AI717" s="17" t="n"/>
      <c r="AJ717" s="17" t="n"/>
      <c r="AK717" s="17" t="n"/>
      <c r="AL717" s="17" t="n"/>
      <c r="AM717" s="17" t="n"/>
      <c r="AN717" s="17" t="n"/>
      <c r="AO717" s="17" t="n"/>
      <c r="AP717" s="17" t="n"/>
      <c r="AQ717" s="188" t="n"/>
      <c r="AR717" s="241" t="n">
        <f aca="false" ca="false" dt2D="false" dtr="false" t="normal">COUNTIF(AC717:AN717, "&gt;0")</f>
        <v>1</v>
      </c>
      <c r="AT717" s="187" t="n"/>
    </row>
    <row customFormat="true" ht="15.75" outlineLevel="0" r="718" s="184">
      <c r="A718" s="240" t="n">
        <f aca="false" ca="false" dt2D="false" dtr="false" t="normal">A717+1</f>
        <v>693</v>
      </c>
      <c r="B718" s="138" t="n">
        <f aca="false" ca="false" dt2D="false" dtr="false" t="normal">B717+1</f>
        <v>227</v>
      </c>
      <c r="C718" s="138" t="s">
        <v>177</v>
      </c>
      <c r="D718" s="138" t="s">
        <v>586</v>
      </c>
      <c r="E718" s="139" t="s">
        <v>28</v>
      </c>
      <c r="F718" s="139" t="n"/>
      <c r="G718" s="139" t="s">
        <v>4</v>
      </c>
      <c r="H718" s="139" t="s">
        <v>159</v>
      </c>
      <c r="I718" s="139" t="s">
        <v>159</v>
      </c>
      <c r="J718" s="17" t="n">
        <v>4040.3</v>
      </c>
      <c r="K718" s="17" t="n">
        <v>3442.7</v>
      </c>
      <c r="L718" s="17" t="n">
        <v>0</v>
      </c>
      <c r="M718" s="140" t="n">
        <v>157</v>
      </c>
      <c r="N718" s="16" t="n">
        <f aca="false" ca="false" dt2D="false" dtr="false" t="normal">P718+Q718+R718+S718+T718</f>
        <v>2308731.31</v>
      </c>
      <c r="O718" s="17" t="n">
        <v>0</v>
      </c>
      <c r="P718" s="17" t="n">
        <v>0</v>
      </c>
      <c r="Q718" s="17" t="n"/>
      <c r="R718" s="16" t="n">
        <v>512866.19</v>
      </c>
      <c r="S718" s="16" t="n">
        <v>1795865.12</v>
      </c>
      <c r="T718" s="243" t="n"/>
      <c r="U718" s="17" t="n">
        <v>1115.80506869608</v>
      </c>
      <c r="V718" s="17" t="n">
        <v>1115.80506869608</v>
      </c>
      <c r="W718" s="21" t="n">
        <v>2024</v>
      </c>
      <c r="Y718" s="3" t="n">
        <f aca="false" ca="false" dt2D="false" dtr="false" t="normal">+(K718*12.98+L718*25.97)*12*0.85</f>
        <v>455799.70920000004</v>
      </c>
      <c r="Z718" s="3" t="n">
        <f aca="false" ca="false" dt2D="false" dtr="false" t="normal">+(K718*12.98+L718*25.97)*12*30-'[1]Лист1'!$AQ$276</f>
        <v>12108162.570000002</v>
      </c>
      <c r="AA718" s="3" t="n">
        <f aca="false" ca="false" dt2D="false" dtr="false" t="normal">+N718-AB718</f>
        <v>0</v>
      </c>
      <c r="AB718" s="16" t="n">
        <f aca="false" ca="false" dt2D="false" dtr="false" t="normal">'Приложение №2'!E716</f>
        <v>2308731.31</v>
      </c>
      <c r="AC718" s="17" t="n"/>
      <c r="AD718" s="17" t="n">
        <v>2308731.31</v>
      </c>
      <c r="AE718" s="17" t="n"/>
      <c r="AF718" s="17" t="n"/>
      <c r="AG718" s="17" t="n"/>
      <c r="AH718" s="17" t="n"/>
      <c r="AI718" s="17" t="n"/>
      <c r="AJ718" s="17" t="n"/>
      <c r="AK718" s="17" t="n"/>
      <c r="AL718" s="17" t="n"/>
      <c r="AM718" s="17" t="n"/>
      <c r="AN718" s="17" t="n"/>
      <c r="AO718" s="17" t="n"/>
      <c r="AP718" s="17" t="n"/>
      <c r="AQ718" s="188" t="n"/>
      <c r="AR718" s="241" t="n">
        <f aca="false" ca="false" dt2D="false" dtr="false" t="normal">COUNTIF(AC718:AN718, "&gt;0")</f>
        <v>1</v>
      </c>
      <c r="AT718" s="187" t="n"/>
    </row>
    <row customFormat="true" ht="15.75" outlineLevel="0" r="719" s="184">
      <c r="A719" s="240" t="n">
        <f aca="false" ca="false" dt2D="false" dtr="false" t="normal">A718+1</f>
        <v>694</v>
      </c>
      <c r="B719" s="138" t="s">
        <v>76</v>
      </c>
      <c r="C719" s="138" t="s">
        <v>177</v>
      </c>
      <c r="D719" s="138" t="s">
        <v>346</v>
      </c>
      <c r="E719" s="139" t="s">
        <v>347</v>
      </c>
      <c r="F719" s="139" t="n"/>
      <c r="G719" s="139" t="s">
        <v>4</v>
      </c>
      <c r="H719" s="139" t="s">
        <v>159</v>
      </c>
      <c r="I719" s="139" t="s">
        <v>5</v>
      </c>
      <c r="J719" s="17" t="n">
        <v>1276.4</v>
      </c>
      <c r="K719" s="17" t="n">
        <v>1181.5</v>
      </c>
      <c r="L719" s="17" t="n">
        <v>48.4</v>
      </c>
      <c r="M719" s="140" t="n">
        <v>69</v>
      </c>
      <c r="N719" s="16" t="n">
        <f aca="false" ca="false" dt2D="false" dtr="false" t="normal">P719+Q719+R719+S719+T719</f>
        <v>2813800.8</v>
      </c>
      <c r="O719" s="17" t="n">
        <v>0</v>
      </c>
      <c r="P719" s="17" t="n">
        <v>0</v>
      </c>
      <c r="Q719" s="17" t="n"/>
      <c r="R719" s="16" t="n">
        <v>91454.65</v>
      </c>
      <c r="S719" s="16" t="n">
        <v>1189308.14</v>
      </c>
      <c r="T719" s="16" t="n">
        <v>1533038.01</v>
      </c>
      <c r="U719" s="17" t="n">
        <v>16969.400865557</v>
      </c>
      <c r="V719" s="17" t="n">
        <v>1267.283020064</v>
      </c>
      <c r="W719" s="21" t="n">
        <v>2024</v>
      </c>
      <c r="X719" s="103" t="n"/>
      <c r="Y719" s="3" t="n">
        <f aca="false" ca="false" dt2D="false" dtr="false" t="normal">+(K719*12.98+L719*25.97)*12*0.85</f>
        <v>169246.7436</v>
      </c>
      <c r="Z719" s="3" t="n">
        <f aca="false" ca="false" dt2D="false" dtr="false" t="normal">+(K719*12.98+L719*25.97)*12*30-'[1]Лист1'!$AQ$277</f>
        <v>1189308.1399999997</v>
      </c>
      <c r="AA719" s="3" t="n">
        <f aca="false" ca="false" dt2D="false" dtr="false" t="normal">Z719-S719</f>
        <v>0</v>
      </c>
      <c r="AB719" s="16" t="n">
        <f aca="false" ca="false" dt2D="false" dtr="false" t="normal">'Приложение №2'!E717</f>
        <v>2813800.8</v>
      </c>
      <c r="AC719" s="17" t="n">
        <v>2813800.8</v>
      </c>
      <c r="AD719" s="17" t="n"/>
      <c r="AE719" s="17" t="n"/>
      <c r="AF719" s="17" t="n"/>
      <c r="AG719" s="17" t="n"/>
      <c r="AH719" s="17" t="n"/>
      <c r="AI719" s="17" t="n"/>
      <c r="AJ719" s="17" t="n">
        <v>0</v>
      </c>
      <c r="AK719" s="17" t="n"/>
      <c r="AL719" s="17" t="n">
        <v>0</v>
      </c>
      <c r="AM719" s="17" t="n"/>
      <c r="AN719" s="17" t="n"/>
      <c r="AO719" s="17" t="n"/>
      <c r="AP719" s="17" t="n"/>
      <c r="AQ719" s="188" t="n"/>
      <c r="AR719" s="241" t="n">
        <f aca="false" ca="false" dt2D="false" dtr="false" t="normal">COUNTIF(AC719:AN719, "&gt;0")</f>
        <v>1</v>
      </c>
      <c r="AT719" s="187" t="n"/>
    </row>
    <row ht="15.75" outlineLevel="0" r="720">
      <c r="A720" s="240" t="n">
        <f aca="false" ca="false" dt2D="false" dtr="false" t="normal">A719+1</f>
        <v>695</v>
      </c>
      <c r="B720" s="138" t="n">
        <f aca="false" ca="false" dt2D="false" dtr="false" t="normal">+B718+1</f>
        <v>228</v>
      </c>
      <c r="C720" s="138" t="s">
        <v>177</v>
      </c>
      <c r="D720" s="138" t="s">
        <v>589</v>
      </c>
      <c r="E720" s="139" t="n">
        <v>1975</v>
      </c>
      <c r="F720" s="139" t="n">
        <v>2013</v>
      </c>
      <c r="G720" s="139" t="s">
        <v>4</v>
      </c>
      <c r="H720" s="139" t="n">
        <v>4</v>
      </c>
      <c r="I720" s="139" t="n">
        <v>6</v>
      </c>
      <c r="J720" s="17" t="n">
        <v>4262.6</v>
      </c>
      <c r="K720" s="17" t="n">
        <v>3725.7</v>
      </c>
      <c r="L720" s="17" t="n">
        <v>243.2</v>
      </c>
      <c r="M720" s="140" t="n">
        <v>159</v>
      </c>
      <c r="N720" s="16" t="n">
        <f aca="false" ca="false" dt2D="false" dtr="false" t="normal">P720+Q720+R720+S720+T720</f>
        <v>4694252.12</v>
      </c>
      <c r="O720" s="17" t="n"/>
      <c r="P720" s="17" t="n">
        <v>0</v>
      </c>
      <c r="Q720" s="17" t="n"/>
      <c r="R720" s="16" t="n">
        <v>775614.7</v>
      </c>
      <c r="S720" s="16" t="n">
        <v>3918637.42</v>
      </c>
      <c r="T720" s="16" t="n"/>
      <c r="U720" s="17" t="n">
        <v>2689.64318575412</v>
      </c>
      <c r="V720" s="17" t="n">
        <v>2689.64318575412</v>
      </c>
      <c r="W720" s="21" t="n">
        <v>2024</v>
      </c>
      <c r="Y720" s="3" t="n">
        <f aca="false" ca="false" dt2D="false" dtr="false" t="normal">+(K720*12.71+L720*25.41)*12*0.85</f>
        <v>546040.2618000001</v>
      </c>
      <c r="Z720" s="3" t="n">
        <f aca="false" ca="false" dt2D="false" dtr="false" t="normal">+(K720*12.71+L720*25.41)*12*30-'[1]Лист1'!$AQ$278</f>
        <v>4824899.7200000025</v>
      </c>
      <c r="AA720" s="3" t="n">
        <f aca="false" ca="false" dt2D="false" dtr="false" t="normal">N719-AB719</f>
        <v>0</v>
      </c>
      <c r="AB720" s="16" t="n">
        <f aca="false" ca="false" dt2D="false" dtr="false" t="normal">'Приложение №2'!E718</f>
        <v>4694252.12</v>
      </c>
      <c r="AC720" s="17" t="n">
        <v>4656460.68</v>
      </c>
      <c r="AD720" s="17" t="n">
        <v>0</v>
      </c>
      <c r="AE720" s="17" t="n">
        <v>0</v>
      </c>
      <c r="AF720" s="17" t="n">
        <v>0</v>
      </c>
      <c r="AG720" s="17" t="n">
        <v>0</v>
      </c>
      <c r="AH720" s="17" t="n"/>
      <c r="AI720" s="17" t="n"/>
      <c r="AJ720" s="17" t="n">
        <v>0</v>
      </c>
      <c r="AK720" s="17" t="n"/>
      <c r="AL720" s="17" t="n">
        <v>0</v>
      </c>
      <c r="AM720" s="17" t="n"/>
      <c r="AN720" s="17" t="n">
        <v>0</v>
      </c>
      <c r="AO720" s="17" t="n"/>
      <c r="AP720" s="17" t="n"/>
      <c r="AQ720" s="188" t="n"/>
      <c r="AR720" s="241" t="n">
        <f aca="false" ca="false" dt2D="false" dtr="false" t="normal">COUNTIF(AC720:AN720, "&gt;0")</f>
        <v>1</v>
      </c>
    </row>
    <row ht="15.75" outlineLevel="0" r="721">
      <c r="A721" s="240" t="n">
        <f aca="false" ca="false" dt2D="false" dtr="false" t="normal">A720+1</f>
        <v>696</v>
      </c>
      <c r="B721" s="138" t="s">
        <v>76</v>
      </c>
      <c r="C721" s="138" t="s">
        <v>177</v>
      </c>
      <c r="D721" s="138" t="s">
        <v>358</v>
      </c>
      <c r="E721" s="139" t="n">
        <v>1978</v>
      </c>
      <c r="F721" s="139" t="n">
        <v>2008</v>
      </c>
      <c r="G721" s="139" t="s">
        <v>4</v>
      </c>
      <c r="H721" s="139" t="n">
        <v>5</v>
      </c>
      <c r="I721" s="139" t="n">
        <v>4</v>
      </c>
      <c r="J721" s="17" t="n">
        <v>4929.7</v>
      </c>
      <c r="K721" s="17" t="n">
        <v>4335.1</v>
      </c>
      <c r="L721" s="17" t="n">
        <v>0</v>
      </c>
      <c r="M721" s="140" t="n">
        <v>213</v>
      </c>
      <c r="N721" s="16" t="n">
        <f aca="false" ca="false" dt2D="false" dtr="false" t="normal">P721+Q721+R721+S721+T721</f>
        <v>24818398.01</v>
      </c>
      <c r="O721" s="17" t="n"/>
      <c r="P721" s="17" t="n">
        <v>0</v>
      </c>
      <c r="Q721" s="17" t="n"/>
      <c r="R721" s="16" t="n">
        <v>78908.88</v>
      </c>
      <c r="S721" s="16" t="n">
        <v>7426129.4</v>
      </c>
      <c r="T721" s="16" t="n">
        <v>17313359.73</v>
      </c>
      <c r="U721" s="17" t="n">
        <v>5940.74469890911</v>
      </c>
      <c r="V721" s="17" t="n">
        <v>1279.283020064</v>
      </c>
      <c r="W721" s="21" t="n">
        <v>2024</v>
      </c>
      <c r="X721" s="12" t="n"/>
      <c r="Y721" s="3" t="n">
        <f aca="false" ca="false" dt2D="false" dtr="false" t="normal">+(K721*12.98+L721*25.97)*12*0.85</f>
        <v>573949.8996000001</v>
      </c>
      <c r="Z721" s="3" t="n">
        <f aca="false" ca="false" dt2D="false" dtr="false" t="normal">+(K721*12.98+L721*25.97)*12*30-'[1]Лист1'!$AQ$284</f>
        <v>6819947.460000001</v>
      </c>
      <c r="AB721" s="16" t="n">
        <f aca="false" ca="false" dt2D="false" dtr="false" t="normal">'Приложение №2'!E719</f>
        <v>24818398.01</v>
      </c>
      <c r="AC721" s="17" t="n">
        <v>0</v>
      </c>
      <c r="AD721" s="17" t="n"/>
      <c r="AE721" s="17" t="n"/>
      <c r="AF721" s="17" t="n"/>
      <c r="AG721" s="17" t="n"/>
      <c r="AH721" s="17" t="n"/>
      <c r="AI721" s="17" t="n"/>
      <c r="AJ721" s="17" t="n">
        <v>0</v>
      </c>
      <c r="AK721" s="17" t="n">
        <v>0</v>
      </c>
      <c r="AL721" s="17" t="n">
        <v>0</v>
      </c>
      <c r="AM721" s="17" t="n">
        <v>24818398.01</v>
      </c>
      <c r="AN721" s="17" t="n">
        <v>0</v>
      </c>
      <c r="AO721" s="17" t="n"/>
      <c r="AP721" s="17" t="n"/>
      <c r="AQ721" s="188" t="n"/>
      <c r="AR721" s="241" t="n">
        <f aca="false" ca="false" dt2D="false" dtr="false" t="normal">COUNTIF(AC721:AN721, "&gt;0")</f>
        <v>1</v>
      </c>
    </row>
    <row ht="15.75" outlineLevel="0" r="722">
      <c r="A722" s="240" t="n">
        <f aca="false" ca="false" dt2D="false" dtr="false" t="normal">A721+1</f>
        <v>697</v>
      </c>
      <c r="B722" s="138" t="n">
        <f aca="false" ca="false" dt2D="false" dtr="false" t="normal">B720+1</f>
        <v>229</v>
      </c>
      <c r="C722" s="138" t="s">
        <v>177</v>
      </c>
      <c r="D722" s="138" t="s">
        <v>551</v>
      </c>
      <c r="E722" s="139" t="n">
        <v>1972</v>
      </c>
      <c r="F722" s="139" t="n">
        <v>2013</v>
      </c>
      <c r="G722" s="139" t="s">
        <v>4</v>
      </c>
      <c r="H722" s="139" t="n">
        <v>4</v>
      </c>
      <c r="I722" s="139" t="n">
        <v>4</v>
      </c>
      <c r="J722" s="17" t="n">
        <v>3047.8</v>
      </c>
      <c r="K722" s="17" t="n">
        <v>2789.4</v>
      </c>
      <c r="L722" s="17" t="n">
        <v>0</v>
      </c>
      <c r="M722" s="140" t="n">
        <v>107</v>
      </c>
      <c r="N722" s="16" t="n">
        <f aca="false" ca="false" dt2D="false" dtr="false" t="normal">P722+Q722+R722+S722+T722</f>
        <v>1429584.02</v>
      </c>
      <c r="O722" s="17" t="n"/>
      <c r="P722" s="17" t="n">
        <v>0</v>
      </c>
      <c r="Q722" s="17" t="n"/>
      <c r="R722" s="16" t="n">
        <v>298744.74</v>
      </c>
      <c r="S722" s="16" t="n"/>
      <c r="T722" s="16" t="n">
        <v>1130839.28</v>
      </c>
      <c r="U722" s="17" t="n">
        <v>7603.05611937301</v>
      </c>
      <c r="V722" s="17" t="n">
        <v>7603.05611937301</v>
      </c>
      <c r="W722" s="21" t="n">
        <v>2024</v>
      </c>
      <c r="X722" s="12" t="n">
        <f aca="false" ca="false" dt2D="false" dtr="false" t="normal">1184908.35-361522.2864-R271</f>
        <v>0</v>
      </c>
      <c r="Y722" s="3" t="n">
        <f aca="false" ca="false" dt2D="false" dtr="false" t="normal">+(K722*12.98+L722*25.97)*12*0.85</f>
        <v>369305.4024</v>
      </c>
      <c r="Z722" s="3" t="n">
        <f aca="false" ca="false" dt2D="false" dtr="false" t="normal">+(K722*12.98+L722*25.97)*12*30-'[1]Лист1'!$AQ$291</f>
        <v>12544663.75</v>
      </c>
      <c r="AB722" s="16" t="n">
        <f aca="false" ca="false" dt2D="false" dtr="false" t="normal">'Приложение №2'!E720</f>
        <v>1429584.02</v>
      </c>
      <c r="AC722" s="17" t="n"/>
      <c r="AD722" s="17" t="n"/>
      <c r="AE722" s="17" t="n"/>
      <c r="AF722" s="17" t="n"/>
      <c r="AG722" s="17" t="n">
        <v>1361334.68</v>
      </c>
      <c r="AH722" s="17" t="n"/>
      <c r="AI722" s="17" t="n">
        <v>0</v>
      </c>
      <c r="AJ722" s="17" t="n">
        <v>0</v>
      </c>
      <c r="AK722" s="17" t="n"/>
      <c r="AL722" s="17" t="n">
        <v>0</v>
      </c>
      <c r="AM722" s="17" t="n"/>
      <c r="AN722" s="17" t="n"/>
      <c r="AO722" s="17" t="n"/>
      <c r="AP722" s="17" t="n"/>
      <c r="AQ722" s="188" t="n"/>
      <c r="AR722" s="241" t="n">
        <f aca="false" ca="false" dt2D="false" dtr="false" t="normal">COUNTIF(AC722:AN722, "&gt;0")</f>
        <v>1</v>
      </c>
    </row>
    <row ht="15.75" outlineLevel="0" r="723">
      <c r="A723" s="240" t="n">
        <f aca="false" ca="false" dt2D="false" dtr="false" t="normal">A722+1</f>
        <v>698</v>
      </c>
      <c r="B723" s="138" t="n">
        <f aca="false" ca="false" dt2D="false" dtr="false" t="normal">B722+1</f>
        <v>230</v>
      </c>
      <c r="C723" s="138" t="s">
        <v>177</v>
      </c>
      <c r="D723" s="138" t="s">
        <v>268</v>
      </c>
      <c r="E723" s="139" t="n">
        <v>1964</v>
      </c>
      <c r="F723" s="139" t="n">
        <v>2013</v>
      </c>
      <c r="G723" s="139" t="s">
        <v>4</v>
      </c>
      <c r="H723" s="139" t="n">
        <v>4</v>
      </c>
      <c r="I723" s="139" t="n">
        <v>2</v>
      </c>
      <c r="J723" s="17" t="n">
        <v>1348</v>
      </c>
      <c r="K723" s="17" t="n">
        <v>1248.9</v>
      </c>
      <c r="L723" s="17" t="n">
        <v>0</v>
      </c>
      <c r="M723" s="140" t="n">
        <v>74</v>
      </c>
      <c r="N723" s="16" t="n">
        <f aca="false" ca="false" dt2D="false" dtr="false" t="normal">P723+Q723+R723+S723+T723</f>
        <v>1265830.5</v>
      </c>
      <c r="O723" s="17" t="n"/>
      <c r="P723" s="17" t="n">
        <v>0</v>
      </c>
      <c r="Q723" s="17" t="n"/>
      <c r="R723" s="16" t="n">
        <v>147132.91</v>
      </c>
      <c r="S723" s="16" t="n">
        <v>1118697.59</v>
      </c>
      <c r="T723" s="16" t="n"/>
      <c r="U723" s="17" t="n">
        <v>1159.19327605836</v>
      </c>
      <c r="V723" s="17" t="n">
        <v>1159.19327605836</v>
      </c>
      <c r="W723" s="21" t="n">
        <v>2024</v>
      </c>
      <c r="Y723" s="3" t="n">
        <f aca="false" ca="false" dt2D="false" dtr="false" t="normal">+(K723*12.98+L723*25.97)*12*0.85</f>
        <v>165349.36440000002</v>
      </c>
      <c r="Z723" s="3" t="n">
        <f aca="false" ca="false" dt2D="false" dtr="false" t="normal">+(K723*12.98+L723*25.97)*12*30-'[1]Лист1'!$AQ$308</f>
        <v>2340559.7400000007</v>
      </c>
      <c r="AB723" s="16" t="n">
        <f aca="false" ca="false" dt2D="false" dtr="false" t="normal">'Приложение №2'!E721</f>
        <v>1265830.5</v>
      </c>
      <c r="AC723" s="17" t="n"/>
      <c r="AD723" s="17" t="n">
        <v>773824.99</v>
      </c>
      <c r="AE723" s="17" t="n"/>
      <c r="AF723" s="17" t="n">
        <v>492005.51</v>
      </c>
      <c r="AG723" s="17" t="n"/>
      <c r="AH723" s="17" t="n"/>
      <c r="AI723" s="17" t="n"/>
      <c r="AJ723" s="17" t="n">
        <v>0</v>
      </c>
      <c r="AK723" s="17" t="n"/>
      <c r="AL723" s="17" t="n">
        <v>0</v>
      </c>
      <c r="AM723" s="17" t="n">
        <v>0</v>
      </c>
      <c r="AN723" s="17" t="n">
        <v>0</v>
      </c>
      <c r="AO723" s="17" t="n"/>
      <c r="AP723" s="17" t="n"/>
      <c r="AQ723" s="188" t="n"/>
      <c r="AR723" s="241" t="n">
        <f aca="false" ca="false" dt2D="false" dtr="false" t="normal">COUNTIF(AC723:AN723, "&gt;0")</f>
        <v>2</v>
      </c>
    </row>
    <row ht="15.75" outlineLevel="0" r="724">
      <c r="A724" s="240" t="n">
        <f aca="false" ca="false" dt2D="false" dtr="false" t="normal">A723+1</f>
        <v>699</v>
      </c>
      <c r="B724" s="138" t="s">
        <v>76</v>
      </c>
      <c r="C724" s="138" t="s">
        <v>177</v>
      </c>
      <c r="D724" s="138" t="s">
        <v>394</v>
      </c>
      <c r="E724" s="139" t="n">
        <v>1981</v>
      </c>
      <c r="F724" s="139" t="n">
        <v>2013</v>
      </c>
      <c r="G724" s="139" t="s">
        <v>4</v>
      </c>
      <c r="H724" s="139" t="n">
        <v>5</v>
      </c>
      <c r="I724" s="139" t="n">
        <v>4</v>
      </c>
      <c r="J724" s="17" t="n">
        <v>4887.3</v>
      </c>
      <c r="K724" s="17" t="n">
        <v>4312.9</v>
      </c>
      <c r="L724" s="17" t="n">
        <v>0</v>
      </c>
      <c r="M724" s="140" t="n">
        <v>195</v>
      </c>
      <c r="N724" s="16" t="n">
        <f aca="false" ca="false" dt2D="false" dtr="false" t="normal">P724+Q724+R724+S724+T724</f>
        <v>18727527.81</v>
      </c>
      <c r="O724" s="17" t="n"/>
      <c r="P724" s="17" t="n">
        <v>0</v>
      </c>
      <c r="Q724" s="17" t="n"/>
      <c r="R724" s="16" t="n"/>
      <c r="S724" s="16" t="n">
        <v>4064485.12</v>
      </c>
      <c r="T724" s="16" t="n">
        <v>14663042.69</v>
      </c>
      <c r="U724" s="17" t="n">
        <v>16925.2601604879</v>
      </c>
      <c r="V724" s="17" t="n">
        <v>1306.283020064</v>
      </c>
      <c r="W724" s="21" t="n">
        <v>2024</v>
      </c>
      <c r="X724" s="12" t="n"/>
      <c r="Y724" s="3" t="n">
        <f aca="false" ca="false" dt2D="false" dtr="false" t="normal">+(K724*12.98+L724*25.97)*12*0.85</f>
        <v>571010.7084</v>
      </c>
      <c r="Z724" s="3" t="n">
        <f aca="false" ca="false" dt2D="false" dtr="false" t="normal">+(K724*12.98+L724*25.97)*12*30-'[1]Лист1'!$AQ$313</f>
        <v>14847554.670000002</v>
      </c>
      <c r="AB724" s="16" t="n">
        <f aca="false" ca="false" dt2D="false" dtr="false" t="normal">'Приложение №2'!E722</f>
        <v>18727527.81</v>
      </c>
      <c r="AC724" s="17" t="n">
        <v>9534404.98</v>
      </c>
      <c r="AD724" s="17" t="n">
        <v>5463949.45</v>
      </c>
      <c r="AE724" s="17" t="n"/>
      <c r="AF724" s="17" t="n">
        <v>3729173.38</v>
      </c>
      <c r="AG724" s="17" t="n"/>
      <c r="AH724" s="17" t="n"/>
      <c r="AI724" s="17" t="n"/>
      <c r="AJ724" s="17" t="n"/>
      <c r="AK724" s="17" t="n"/>
      <c r="AL724" s="17" t="n">
        <v>0</v>
      </c>
      <c r="AM724" s="17" t="n"/>
      <c r="AN724" s="17" t="n"/>
      <c r="AO724" s="17" t="n"/>
      <c r="AP724" s="17" t="n"/>
      <c r="AQ724" s="188" t="n"/>
      <c r="AR724" s="241" t="n">
        <f aca="false" ca="false" dt2D="false" dtr="false" t="normal">COUNTIF(AC724:AN724, "&gt;0")</f>
        <v>3</v>
      </c>
    </row>
    <row ht="15.75" outlineLevel="0" r="725">
      <c r="A725" s="240" t="n">
        <f aca="false" ca="false" dt2D="false" dtr="false" t="normal">A724+1</f>
        <v>700</v>
      </c>
      <c r="B725" s="138" t="n">
        <f aca="false" ca="false" dt2D="false" dtr="false" t="normal">B723+1</f>
        <v>231</v>
      </c>
      <c r="C725" s="138" t="s">
        <v>177</v>
      </c>
      <c r="D725" s="138" t="s">
        <v>587</v>
      </c>
      <c r="E725" s="139" t="n">
        <v>1973</v>
      </c>
      <c r="F725" s="139" t="n">
        <v>2011</v>
      </c>
      <c r="G725" s="139" t="s">
        <v>4</v>
      </c>
      <c r="H725" s="139" t="n">
        <v>5</v>
      </c>
      <c r="I725" s="139" t="n">
        <v>4</v>
      </c>
      <c r="J725" s="17" t="n">
        <v>3343.7</v>
      </c>
      <c r="K725" s="17" t="n">
        <v>3061.9</v>
      </c>
      <c r="L725" s="17" t="n">
        <v>0</v>
      </c>
      <c r="M725" s="140" t="n">
        <v>160</v>
      </c>
      <c r="N725" s="16" t="n">
        <f aca="false" ca="false" dt2D="false" dtr="false" t="normal">P725+Q725+R725+S725+T725</f>
        <v>1864807.79</v>
      </c>
      <c r="O725" s="17" t="n"/>
      <c r="P725" s="17" t="n">
        <v>0</v>
      </c>
      <c r="Q725" s="17" t="n"/>
      <c r="R725" s="16" t="n">
        <v>360722.44</v>
      </c>
      <c r="S725" s="16" t="n">
        <v>1504085.35</v>
      </c>
      <c r="T725" s="16" t="n">
        <v>0</v>
      </c>
      <c r="U725" s="17" t="n">
        <v>5206.53421589557</v>
      </c>
      <c r="V725" s="17" t="n">
        <v>5206.53421589557</v>
      </c>
      <c r="W725" s="21" t="n">
        <v>2024</v>
      </c>
      <c r="Y725" s="3" t="n">
        <f aca="false" ca="false" dt2D="false" dtr="false" t="normal">+(K725*12.71+L725*25.41)*12*0.85</f>
        <v>396950.8398</v>
      </c>
      <c r="Z725" s="3" t="n">
        <f aca="false" ca="false" dt2D="false" dtr="false" t="normal">+(K725*12.71+L725*25.41)*12*30-'[1]Лист1'!$AQ$323</f>
        <v>8092122.210000001</v>
      </c>
      <c r="AB725" s="16" t="n">
        <f aca="false" ca="false" dt2D="false" dtr="false" t="normal">'Приложение №2'!E723</f>
        <v>1864807.79</v>
      </c>
      <c r="AC725" s="17" t="n">
        <v>0</v>
      </c>
      <c r="AD725" s="17" t="n">
        <v>0</v>
      </c>
      <c r="AE725" s="17" t="n">
        <v>2606967.97</v>
      </c>
      <c r="AF725" s="17" t="n">
        <v>0</v>
      </c>
      <c r="AG725" s="17" t="n">
        <v>0</v>
      </c>
      <c r="AH725" s="17" t="n"/>
      <c r="AI725" s="17" t="n"/>
      <c r="AJ725" s="17" t="n">
        <v>0</v>
      </c>
      <c r="AK725" s="17" t="n"/>
      <c r="AL725" s="17" t="n">
        <v>0</v>
      </c>
      <c r="AM725" s="17" t="n"/>
      <c r="AN725" s="17" t="n">
        <v>0</v>
      </c>
      <c r="AO725" s="17" t="n"/>
      <c r="AP725" s="17" t="n"/>
      <c r="AQ725" s="188" t="n"/>
      <c r="AR725" s="241" t="n">
        <f aca="false" ca="false" dt2D="false" dtr="false" t="normal">COUNTIF(AC725:AN725, "&gt;0")</f>
        <v>1</v>
      </c>
    </row>
    <row ht="15.75" outlineLevel="0" r="726">
      <c r="A726" s="240" t="n">
        <f aca="false" ca="false" dt2D="false" dtr="false" t="normal">A725+1</f>
        <v>701</v>
      </c>
      <c r="B726" s="138" t="s">
        <v>76</v>
      </c>
      <c r="C726" s="138" t="s">
        <v>177</v>
      </c>
      <c r="D726" s="138" t="s">
        <v>303</v>
      </c>
      <c r="E726" s="139" t="n">
        <v>1966</v>
      </c>
      <c r="F726" s="139" t="n">
        <v>2013</v>
      </c>
      <c r="G726" s="139" t="s">
        <v>4</v>
      </c>
      <c r="H726" s="139" t="n">
        <v>4</v>
      </c>
      <c r="I726" s="139" t="n">
        <v>6</v>
      </c>
      <c r="J726" s="17" t="n">
        <v>2829.5</v>
      </c>
      <c r="K726" s="17" t="n">
        <v>2537.8</v>
      </c>
      <c r="L726" s="17" t="n">
        <v>230.6</v>
      </c>
      <c r="M726" s="140" t="n">
        <v>144</v>
      </c>
      <c r="N726" s="16" t="n">
        <f aca="false" ca="false" dt2D="false" dtr="false" t="normal">P726+Q726+R726+S726+T726</f>
        <v>1245773.46</v>
      </c>
      <c r="O726" s="17" t="n"/>
      <c r="P726" s="17" t="n">
        <v>0</v>
      </c>
      <c r="Q726" s="17" t="n"/>
      <c r="R726" s="16" t="n">
        <v>46977.83</v>
      </c>
      <c r="S726" s="16" t="n"/>
      <c r="T726" s="16" t="n">
        <v>1198795.63</v>
      </c>
      <c r="U726" s="17" t="n">
        <v>10013.2315696325</v>
      </c>
      <c r="V726" s="17" t="n">
        <v>1324.283020064</v>
      </c>
      <c r="W726" s="21" t="n">
        <v>2024</v>
      </c>
      <c r="X726" s="202" t="n"/>
      <c r="Y726" s="3" t="n">
        <f aca="false" ca="false" dt2D="false" dtr="false" t="normal">+(K726*12.98+L726*25.97)*12*0.85</f>
        <v>397079.1252</v>
      </c>
      <c r="Z726" s="3" t="n">
        <f aca="false" ca="false" dt2D="false" dtr="false" t="normal">+(K726*12.98+L726*25.97)*12*30-'[1]Лист1'!$AQ$327</f>
        <v>-184243.98000000045</v>
      </c>
      <c r="AB726" s="16" t="n">
        <f aca="false" ca="false" dt2D="false" dtr="false" t="normal">'Приложение №2'!E724</f>
        <v>1245773.46</v>
      </c>
      <c r="AC726" s="17" t="n"/>
      <c r="AD726" s="17" t="n">
        <v>1245773.46</v>
      </c>
      <c r="AE726" s="17" t="n"/>
      <c r="AF726" s="17" t="n"/>
      <c r="AG726" s="17" t="n"/>
      <c r="AH726" s="17" t="n"/>
      <c r="AI726" s="17" t="n"/>
      <c r="AJ726" s="17" t="n"/>
      <c r="AK726" s="17" t="n"/>
      <c r="AL726" s="17" t="n">
        <v>0</v>
      </c>
      <c r="AM726" s="17" t="n"/>
      <c r="AN726" s="17" t="n"/>
      <c r="AO726" s="17" t="n"/>
      <c r="AP726" s="17" t="n"/>
      <c r="AQ726" s="188" t="n"/>
      <c r="AR726" s="241" t="n">
        <f aca="false" ca="false" dt2D="false" dtr="false" t="normal">COUNTIF(AC726:AN726, "&gt;0")</f>
        <v>1</v>
      </c>
    </row>
    <row ht="15.75" outlineLevel="0" r="727">
      <c r="A727" s="240" t="n">
        <f aca="false" ca="false" dt2D="false" dtr="false" t="normal">A726+1</f>
        <v>702</v>
      </c>
      <c r="B727" s="138" t="n">
        <f aca="false" ca="false" dt2D="false" dtr="false" t="normal">B725+1</f>
        <v>232</v>
      </c>
      <c r="C727" s="138" t="s">
        <v>177</v>
      </c>
      <c r="D727" s="138" t="s">
        <v>591</v>
      </c>
      <c r="E727" s="139" t="n">
        <v>1968</v>
      </c>
      <c r="F727" s="139" t="n">
        <v>2013</v>
      </c>
      <c r="G727" s="139" t="s">
        <v>4</v>
      </c>
      <c r="H727" s="139" t="n">
        <v>5</v>
      </c>
      <c r="I727" s="139" t="n">
        <v>5</v>
      </c>
      <c r="J727" s="17" t="n">
        <v>3261.1</v>
      </c>
      <c r="K727" s="17" t="n">
        <v>2512.5</v>
      </c>
      <c r="L727" s="17" t="n">
        <v>664.8</v>
      </c>
      <c r="M727" s="140" t="n">
        <v>128</v>
      </c>
      <c r="N727" s="16" t="n">
        <f aca="false" ca="false" dt2D="false" dtr="false" t="normal">P727+Q727+R727+S727+T727</f>
        <v>1676753.94</v>
      </c>
      <c r="O727" s="17" t="n"/>
      <c r="P727" s="17" t="n">
        <v>0</v>
      </c>
      <c r="Q727" s="17" t="n"/>
      <c r="R727" s="16" t="n">
        <v>452637.8</v>
      </c>
      <c r="S727" s="16" t="n">
        <v>252754.92</v>
      </c>
      <c r="T727" s="16" t="n">
        <v>971361.22</v>
      </c>
      <c r="U727" s="17" t="n">
        <v>1016.77576941163</v>
      </c>
      <c r="V727" s="17" t="n">
        <v>1016.77576941163</v>
      </c>
      <c r="W727" s="21" t="n">
        <v>2024</v>
      </c>
      <c r="Y727" s="3" t="n">
        <f aca="false" ca="false" dt2D="false" dtr="false" t="normal">+(K727*12.98+L727*25.97)*12*0.85</f>
        <v>508746.4812</v>
      </c>
      <c r="Z727" s="3" t="n">
        <f aca="false" ca="false" dt2D="false" dtr="false" t="normal">+(K727*12.98+L727*25.97)*12*30-'[1]Лист1'!$AQ$332</f>
        <v>14071234.81</v>
      </c>
      <c r="AB727" s="16" t="n">
        <f aca="false" ca="false" dt2D="false" dtr="false" t="normal">'Приложение №2'!E725</f>
        <v>1676753.94</v>
      </c>
      <c r="AC727" s="17" t="n"/>
      <c r="AD727" s="17" t="n"/>
      <c r="AE727" s="17" t="n">
        <v>705392.72</v>
      </c>
      <c r="AF727" s="17" t="n"/>
      <c r="AG727" s="17" t="n"/>
      <c r="AH727" s="17" t="n"/>
      <c r="AI727" s="17" t="n"/>
      <c r="AJ727" s="17" t="n"/>
      <c r="AK727" s="17" t="n"/>
      <c r="AL727" s="17" t="n"/>
      <c r="AM727" s="17" t="n"/>
      <c r="AN727" s="17" t="n">
        <v>0</v>
      </c>
      <c r="AO727" s="17" t="n"/>
      <c r="AP727" s="17" t="n"/>
      <c r="AQ727" s="188" t="n"/>
      <c r="AR727" s="241" t="n">
        <f aca="false" ca="false" dt2D="false" dtr="false" t="normal">COUNTIF(AC727:AN727, "&gt;0")</f>
        <v>1</v>
      </c>
    </row>
    <row customFormat="true" ht="15.75" outlineLevel="0" r="728" s="184">
      <c r="A728" s="240" t="n">
        <f aca="false" ca="false" dt2D="false" dtr="false" t="normal">A727+1</f>
        <v>703</v>
      </c>
      <c r="B728" s="138" t="s">
        <v>76</v>
      </c>
      <c r="C728" s="138" t="s">
        <v>177</v>
      </c>
      <c r="D728" s="138" t="s">
        <v>316</v>
      </c>
      <c r="E728" s="139" t="s">
        <v>28</v>
      </c>
      <c r="F728" s="139" t="n"/>
      <c r="G728" s="139" t="s">
        <v>4</v>
      </c>
      <c r="H728" s="139" t="s">
        <v>159</v>
      </c>
      <c r="I728" s="139" t="s">
        <v>312</v>
      </c>
      <c r="J728" s="17" t="n">
        <v>5678.2</v>
      </c>
      <c r="K728" s="17" t="n">
        <v>4923.8</v>
      </c>
      <c r="L728" s="17" t="n">
        <v>69.9</v>
      </c>
      <c r="M728" s="140" t="n">
        <v>234</v>
      </c>
      <c r="N728" s="16" t="n">
        <f aca="false" ca="false" dt2D="false" dtr="false" t="normal">P728+Q728+R728+S728+T728</f>
        <v>18725946.22</v>
      </c>
      <c r="O728" s="17" t="n">
        <v>0</v>
      </c>
      <c r="P728" s="17" t="n">
        <v>0</v>
      </c>
      <c r="Q728" s="17" t="n"/>
      <c r="R728" s="16" t="n">
        <v>1546146.95</v>
      </c>
      <c r="S728" s="16" t="n">
        <v>3789801.97</v>
      </c>
      <c r="T728" s="16" t="n">
        <v>13389997.3</v>
      </c>
      <c r="U728" s="17" t="n">
        <v>2000.17354200408</v>
      </c>
      <c r="V728" s="17" t="n">
        <v>2000.17354200408</v>
      </c>
      <c r="W728" s="21" t="n">
        <v>2024</v>
      </c>
      <c r="X728" s="192" t="n"/>
      <c r="Y728" s="3" t="n">
        <f aca="false" ca="false" dt2D="false" dtr="false" t="normal">+(K728*12.98+L728*25.97)*12*0.85</f>
        <v>670407.5154000001</v>
      </c>
      <c r="Z728" s="3" t="n">
        <f aca="false" ca="false" dt2D="false" dtr="false" t="normal">+(K728*12.98+L728*25.97)*12*30-'[1]Лист1'!$AQ$335</f>
        <v>3992439.860000007</v>
      </c>
      <c r="AA728" s="3" t="n">
        <f aca="false" ca="false" dt2D="false" dtr="false" t="normal">N728-AB728</f>
        <v>0</v>
      </c>
      <c r="AB728" s="16" t="n">
        <f aca="false" ca="false" dt2D="false" dtr="false" t="normal">'Приложение №2'!E726</f>
        <v>18725946.22</v>
      </c>
      <c r="AC728" s="17" t="n">
        <v>8642752.76</v>
      </c>
      <c r="AD728" s="17" t="n">
        <v>3166684.8</v>
      </c>
      <c r="AE728" s="17" t="n">
        <v>2702263.7</v>
      </c>
      <c r="AF728" s="17" t="n">
        <v>4214244.96</v>
      </c>
      <c r="AG728" s="17" t="n"/>
      <c r="AH728" s="17" t="n"/>
      <c r="AI728" s="17" t="n"/>
      <c r="AJ728" s="17" t="n"/>
      <c r="AK728" s="17" t="n"/>
      <c r="AL728" s="17" t="n"/>
      <c r="AM728" s="17" t="n"/>
      <c r="AN728" s="17" t="n"/>
      <c r="AO728" s="17" t="n"/>
      <c r="AP728" s="17" t="n"/>
      <c r="AQ728" s="188" t="n"/>
      <c r="AR728" s="241" t="n">
        <f aca="false" ca="false" dt2D="false" dtr="false" t="normal">COUNTIF(AC728:AN728, "&gt;0")</f>
        <v>4</v>
      </c>
      <c r="AT728" s="187" t="n"/>
    </row>
    <row customFormat="true" ht="15.75" outlineLevel="0" r="729" s="184">
      <c r="A729" s="240" t="n">
        <f aca="false" ca="false" dt2D="false" dtr="false" t="normal">A728+1</f>
        <v>704</v>
      </c>
      <c r="B729" s="138" t="s">
        <v>76</v>
      </c>
      <c r="C729" s="138" t="s">
        <v>177</v>
      </c>
      <c r="D729" s="138" t="s">
        <v>434</v>
      </c>
      <c r="E729" s="139" t="s">
        <v>28</v>
      </c>
      <c r="F729" s="139" t="n"/>
      <c r="G729" s="139" t="s">
        <v>4</v>
      </c>
      <c r="H729" s="139" t="s">
        <v>159</v>
      </c>
      <c r="I729" s="139" t="s">
        <v>312</v>
      </c>
      <c r="J729" s="17" t="n">
        <v>5563.5</v>
      </c>
      <c r="K729" s="17" t="n">
        <v>4878.9</v>
      </c>
      <c r="L729" s="17" t="n">
        <v>141.3</v>
      </c>
      <c r="M729" s="140" t="n">
        <v>240</v>
      </c>
      <c r="N729" s="16" t="n">
        <f aca="false" ca="false" dt2D="false" dtr="false" t="normal">P729+Q729+R729+S729+T729</f>
        <v>18777068.41</v>
      </c>
      <c r="O729" s="17" t="n">
        <v>0</v>
      </c>
      <c r="P729" s="17" t="n">
        <v>0</v>
      </c>
      <c r="Q729" s="17" t="n"/>
      <c r="R729" s="16" t="n">
        <v>910350.06</v>
      </c>
      <c r="S729" s="16" t="n">
        <v>4414762.79</v>
      </c>
      <c r="T729" s="16" t="n">
        <v>13451955.56</v>
      </c>
      <c r="U729" s="17" t="n">
        <v>10763.8161162197</v>
      </c>
      <c r="V729" s="17" t="n">
        <v>10763.8161162197</v>
      </c>
      <c r="W729" s="21" t="n">
        <v>2024</v>
      </c>
      <c r="X729" s="192" t="n"/>
      <c r="Y729" s="3" t="n">
        <f aca="false" ca="false" dt2D="false" dtr="false" t="normal">+(K729*12.98+L729*25.97)*12*0.85</f>
        <v>683376.3665999998</v>
      </c>
      <c r="Z729" s="3" t="n">
        <f aca="false" ca="false" dt2D="false" dtr="false" t="normal">+(K729*12.98+L729*25.97)*12*30-'[1]Лист1'!$AQ$336</f>
        <v>4113347.7299999967</v>
      </c>
      <c r="AA729" s="3" t="n"/>
      <c r="AB729" s="16" t="n">
        <f aca="false" ca="false" dt2D="false" dtr="false" t="normal">'Приложение №2'!E727</f>
        <v>18777068.41</v>
      </c>
      <c r="AC729" s="17" t="n">
        <v>8489249.92</v>
      </c>
      <c r="AD729" s="17" t="n">
        <v>3460760.4</v>
      </c>
      <c r="AE729" s="17" t="n">
        <v>2702263.7</v>
      </c>
      <c r="AF729" s="17" t="n">
        <v>4124794.39</v>
      </c>
      <c r="AG729" s="17" t="n"/>
      <c r="AH729" s="17" t="n"/>
      <c r="AI729" s="17" t="n"/>
      <c r="AJ729" s="17" t="n"/>
      <c r="AK729" s="17" t="n"/>
      <c r="AL729" s="17" t="n"/>
      <c r="AM729" s="17" t="n"/>
      <c r="AN729" s="17" t="n"/>
      <c r="AO729" s="17" t="n"/>
      <c r="AP729" s="17" t="n"/>
      <c r="AQ729" s="188" t="n"/>
      <c r="AR729" s="241" t="n">
        <f aca="false" ca="false" dt2D="false" dtr="false" t="normal">COUNTIF(AC729:AN729, "&gt;0")</f>
        <v>4</v>
      </c>
      <c r="AT729" s="187" t="n"/>
    </row>
    <row ht="15.75" outlineLevel="0" r="730">
      <c r="A730" s="240" t="n">
        <f aca="false" ca="false" dt2D="false" dtr="false" t="normal">A729+1</f>
        <v>705</v>
      </c>
      <c r="B730" s="138" t="s">
        <v>76</v>
      </c>
      <c r="C730" s="138" t="s">
        <v>177</v>
      </c>
      <c r="D730" s="138" t="s">
        <v>328</v>
      </c>
      <c r="E730" s="139" t="n">
        <v>1975</v>
      </c>
      <c r="F730" s="139" t="n">
        <v>2013</v>
      </c>
      <c r="G730" s="139" t="s">
        <v>4</v>
      </c>
      <c r="H730" s="139" t="n">
        <v>4</v>
      </c>
      <c r="I730" s="139" t="n">
        <v>6</v>
      </c>
      <c r="J730" s="17" t="n">
        <v>5531.3</v>
      </c>
      <c r="K730" s="17" t="n">
        <v>4842.7</v>
      </c>
      <c r="L730" s="17" t="n">
        <v>189.7</v>
      </c>
      <c r="M730" s="140" t="n">
        <v>235</v>
      </c>
      <c r="N730" s="16" t="n">
        <f aca="false" ca="false" dt2D="false" dtr="false" t="normal">P730+Q730+R730+S730+T730</f>
        <v>7650833.65</v>
      </c>
      <c r="O730" s="17" t="n"/>
      <c r="P730" s="17" t="n">
        <v>0</v>
      </c>
      <c r="Q730" s="17" t="n"/>
      <c r="R730" s="16" t="n">
        <v>1026537.41</v>
      </c>
      <c r="S730" s="16" t="n">
        <v>6624296.24</v>
      </c>
      <c r="T730" s="16" t="n"/>
      <c r="U730" s="17" t="n">
        <v>2581.2418368051</v>
      </c>
      <c r="V730" s="17" t="n">
        <v>2581.2418368051</v>
      </c>
      <c r="W730" s="21" t="n">
        <v>2024</v>
      </c>
      <c r="X730" s="12" t="n"/>
      <c r="Y730" s="3" t="n">
        <f aca="false" ca="false" dt2D="false" dtr="false" t="normal">+(K730*12.98+L730*25.97)*12*0.85</f>
        <v>691404.501</v>
      </c>
      <c r="Z730" s="3" t="n">
        <f aca="false" ca="false" dt2D="false" dtr="false" t="normal">+(K730*12.98+L730*25.97)*12*30-'[1]Лист1'!$AQ$343</f>
        <v>21447104.53</v>
      </c>
      <c r="AB730" s="16" t="n">
        <f aca="false" ca="false" dt2D="false" dtr="false" t="normal">'Приложение №2'!E728</f>
        <v>7650833.649999999</v>
      </c>
      <c r="AC730" s="17" t="n"/>
      <c r="AD730" s="17" t="n">
        <v>5132408.83</v>
      </c>
      <c r="AE730" s="17" t="n"/>
      <c r="AF730" s="17" t="n">
        <v>2627357.42</v>
      </c>
      <c r="AG730" s="17" t="n"/>
      <c r="AH730" s="17" t="n"/>
      <c r="AI730" s="17" t="n"/>
      <c r="AJ730" s="17" t="n">
        <v>0</v>
      </c>
      <c r="AK730" s="17" t="n"/>
      <c r="AL730" s="17" t="n">
        <v>0</v>
      </c>
      <c r="AM730" s="17" t="n"/>
      <c r="AN730" s="17" t="n"/>
      <c r="AO730" s="17" t="n"/>
      <c r="AP730" s="17" t="n"/>
      <c r="AQ730" s="188" t="n"/>
      <c r="AR730" s="241" t="n">
        <f aca="false" ca="false" dt2D="false" dtr="false" t="normal">COUNTIF(AC730:AN730, "&gt;0")</f>
        <v>2</v>
      </c>
    </row>
    <row ht="15.75" outlineLevel="0" r="731">
      <c r="A731" s="240" t="n">
        <f aca="false" ca="false" dt2D="false" dtr="false" t="normal">A730+1</f>
        <v>706</v>
      </c>
      <c r="B731" s="138" t="n">
        <f aca="false" ca="false" dt2D="false" dtr="false" t="normal">B727+1</f>
        <v>233</v>
      </c>
      <c r="C731" s="138" t="s">
        <v>177</v>
      </c>
      <c r="D731" s="138" t="s">
        <v>329</v>
      </c>
      <c r="E731" s="139" t="n">
        <v>1974</v>
      </c>
      <c r="F731" s="139" t="n">
        <v>2013</v>
      </c>
      <c r="G731" s="139" t="s">
        <v>4</v>
      </c>
      <c r="H731" s="139" t="n">
        <v>4</v>
      </c>
      <c r="I731" s="139" t="n">
        <v>4</v>
      </c>
      <c r="J731" s="17" t="n">
        <v>3940.9</v>
      </c>
      <c r="K731" s="17" t="n">
        <v>3373.8</v>
      </c>
      <c r="L731" s="17" t="n">
        <v>212.7</v>
      </c>
      <c r="M731" s="140" t="n">
        <v>166</v>
      </c>
      <c r="N731" s="16" t="n">
        <f aca="false" ca="false" dt2D="false" dtr="false" t="normal">P731+Q731+R731+S731+T731</f>
        <v>1950514.2999999998</v>
      </c>
      <c r="O731" s="17" t="n"/>
      <c r="P731" s="17" t="n">
        <v>0</v>
      </c>
      <c r="Q731" s="17" t="n"/>
      <c r="R731" s="16" t="n">
        <v>396466.4</v>
      </c>
      <c r="S731" s="16" t="n">
        <v>1554047.9</v>
      </c>
      <c r="T731" s="16" t="n">
        <v>0</v>
      </c>
      <c r="U731" s="17" t="n">
        <v>614.240721104347</v>
      </c>
      <c r="V731" s="17" t="n">
        <v>614.240721104347</v>
      </c>
      <c r="W731" s="21" t="n">
        <v>2024</v>
      </c>
      <c r="X731" s="12" t="n"/>
      <c r="Y731" s="3" t="n">
        <f aca="false" ca="false" dt2D="false" dtr="false" t="normal">+(K731*12.98+L731*25.97)*12*0.85</f>
        <v>503020.57859999995</v>
      </c>
      <c r="Z731" s="3" t="n">
        <f aca="false" ca="false" dt2D="false" dtr="false" t="normal">+(K731*12.98+L731*25.97)*12*30-'[1]Лист1'!$AQ$344</f>
        <v>6772430.17</v>
      </c>
      <c r="AA731" s="3" t="n">
        <f aca="false" ca="false" dt2D="false" dtr="false" t="normal">+N731-AB731</f>
        <v>0</v>
      </c>
      <c r="AB731" s="16" t="n">
        <f aca="false" ca="false" dt2D="false" dtr="false" t="normal">'Приложение №2'!E729</f>
        <v>1950514.3</v>
      </c>
      <c r="AC731" s="17" t="n"/>
      <c r="AD731" s="157" t="n">
        <v>1950514.3</v>
      </c>
      <c r="AE731" s="17" t="n"/>
      <c r="AF731" s="17" t="n"/>
      <c r="AG731" s="17" t="n"/>
      <c r="AH731" s="17" t="n"/>
      <c r="AI731" s="17" t="n"/>
      <c r="AJ731" s="17" t="n"/>
      <c r="AK731" s="17" t="n"/>
      <c r="AL731" s="17" t="n"/>
      <c r="AM731" s="17" t="n"/>
      <c r="AN731" s="17" t="n"/>
      <c r="AO731" s="17" t="n"/>
      <c r="AP731" s="17" t="n"/>
      <c r="AQ731" s="188" t="n"/>
      <c r="AR731" s="241" t="n">
        <f aca="false" ca="false" dt2D="false" dtr="false" t="normal">COUNTIF(AC731:AN731, "&gt;0")</f>
        <v>1</v>
      </c>
      <c r="AS731" s="3" t="n"/>
    </row>
    <row ht="15.75" outlineLevel="0" r="732">
      <c r="A732" s="240" t="n">
        <f aca="false" ca="false" dt2D="false" dtr="false" t="normal">A731+1</f>
        <v>707</v>
      </c>
      <c r="B732" s="138" t="s">
        <v>76</v>
      </c>
      <c r="C732" s="138" t="s">
        <v>177</v>
      </c>
      <c r="D732" s="138" t="s">
        <v>330</v>
      </c>
      <c r="E732" s="139" t="n">
        <v>1977</v>
      </c>
      <c r="F732" s="139" t="n">
        <v>2013</v>
      </c>
      <c r="G732" s="139" t="s">
        <v>4</v>
      </c>
      <c r="H732" s="139" t="n">
        <v>9</v>
      </c>
      <c r="I732" s="139" t="n">
        <v>1</v>
      </c>
      <c r="J732" s="17" t="n">
        <v>2362.6</v>
      </c>
      <c r="K732" s="17" t="n">
        <v>1902.4</v>
      </c>
      <c r="L732" s="17" t="n">
        <v>195.5</v>
      </c>
      <c r="M732" s="140" t="n">
        <v>72</v>
      </c>
      <c r="N732" s="16" t="n">
        <f aca="false" ca="false" dt2D="false" dtr="false" t="normal">P732+Q732+R732+S732+T732</f>
        <v>1397547.49</v>
      </c>
      <c r="O732" s="17" t="n"/>
      <c r="P732" s="17" t="n">
        <v>0</v>
      </c>
      <c r="Q732" s="17" t="n"/>
      <c r="R732" s="16" t="n"/>
      <c r="S732" s="16" t="n">
        <v>1397547.49</v>
      </c>
      <c r="T732" s="16" t="n"/>
      <c r="U732" s="17" t="n">
        <v>10664.5584199513</v>
      </c>
      <c r="V732" s="17" t="n">
        <v>1341.283020064</v>
      </c>
      <c r="W732" s="21" t="n">
        <v>2024</v>
      </c>
      <c r="X732" s="12" t="n"/>
      <c r="Y732" s="3" t="n">
        <f aca="false" ca="false" dt2D="false" dtr="false" t="normal">+(K732*17.26+L732*29.25)*12*0.85</f>
        <v>393248.7498000001</v>
      </c>
      <c r="Z732" s="3" t="n">
        <f aca="false" ca="false" dt2D="false" dtr="false" t="normal">+(K732*17.26+L732*29.25)*12*30-'[1]Лист1'!$AQ$345</f>
        <v>9294693.340000004</v>
      </c>
      <c r="AB732" s="16" t="n">
        <f aca="false" ca="false" dt2D="false" dtr="false" t="normal">'Приложение №2'!E730</f>
        <v>1397547.49</v>
      </c>
      <c r="AC732" s="17" t="n"/>
      <c r="AD732" s="17" t="n">
        <v>1397547.49</v>
      </c>
      <c r="AE732" s="17" t="n"/>
      <c r="AF732" s="17" t="n"/>
      <c r="AG732" s="17" t="n"/>
      <c r="AH732" s="17" t="n"/>
      <c r="AI732" s="17" t="n"/>
      <c r="AJ732" s="17" t="n">
        <v>0</v>
      </c>
      <c r="AK732" s="17" t="n">
        <v>0</v>
      </c>
      <c r="AL732" s="17" t="n">
        <v>0</v>
      </c>
      <c r="AM732" s="17" t="n"/>
      <c r="AN732" s="17" t="n">
        <v>0</v>
      </c>
      <c r="AO732" s="17" t="n"/>
      <c r="AP732" s="17" t="n"/>
      <c r="AQ732" s="188" t="n"/>
      <c r="AR732" s="241" t="n">
        <f aca="false" ca="false" dt2D="false" dtr="false" t="normal">COUNTIF(AC732:AN732, "&gt;0")</f>
        <v>1</v>
      </c>
    </row>
    <row ht="15.75" outlineLevel="0" r="733">
      <c r="A733" s="240" t="n">
        <f aca="false" ca="false" dt2D="false" dtr="false" t="normal">A732+1</f>
        <v>708</v>
      </c>
      <c r="B733" s="138" t="s">
        <v>76</v>
      </c>
      <c r="C733" s="138" t="s">
        <v>177</v>
      </c>
      <c r="D733" s="138" t="s">
        <v>324</v>
      </c>
      <c r="E733" s="139" t="n">
        <v>1977</v>
      </c>
      <c r="F733" s="139" t="n">
        <v>2013</v>
      </c>
      <c r="G733" s="139" t="s">
        <v>4</v>
      </c>
      <c r="H733" s="139" t="n">
        <v>9</v>
      </c>
      <c r="I733" s="139" t="n">
        <v>1</v>
      </c>
      <c r="J733" s="17" t="n">
        <v>2365.99</v>
      </c>
      <c r="K733" s="17" t="n">
        <v>1903.5</v>
      </c>
      <c r="L733" s="17" t="n">
        <v>136</v>
      </c>
      <c r="M733" s="140" t="n">
        <v>71</v>
      </c>
      <c r="N733" s="16" t="n">
        <f aca="false" ca="false" dt2D="false" dtr="false" t="normal">P733+Q733+R733+S733+T733</f>
        <v>2108794.91</v>
      </c>
      <c r="O733" s="17" t="n"/>
      <c r="P733" s="17" t="n">
        <v>0</v>
      </c>
      <c r="Q733" s="17" t="n"/>
      <c r="R733" s="16" t="n"/>
      <c r="S733" s="16" t="n">
        <v>2108794.91</v>
      </c>
      <c r="T733" s="16" t="n">
        <v>0</v>
      </c>
      <c r="U733" s="17" t="n">
        <v>10343.4567487209</v>
      </c>
      <c r="V733" s="17" t="n">
        <v>1334.283020064</v>
      </c>
      <c r="W733" s="21" t="n">
        <v>2024</v>
      </c>
      <c r="X733" s="12" t="n"/>
      <c r="Y733" s="3" t="n">
        <f aca="false" ca="false" dt2D="false" dtr="false" t="normal">+(K733*17.26+L733*29.25)*12*0.85</f>
        <v>375690.58200000005</v>
      </c>
      <c r="Z733" s="3" t="n">
        <f aca="false" ca="false" dt2D="false" dtr="false" t="normal">+(K733*17.26+L733*29.25)*12*30-'[1]Лист1'!$AQ$346</f>
        <v>10006024.8</v>
      </c>
      <c r="AA733" s="3" t="n">
        <f aca="false" ca="false" dt2D="false" dtr="false" t="normal">+N733-AB733</f>
        <v>0</v>
      </c>
      <c r="AB733" s="16" t="n">
        <f aca="false" ca="false" dt2D="false" dtr="false" t="normal">'Приложение №2'!E731</f>
        <v>2108794.91</v>
      </c>
      <c r="AC733" s="17" t="n"/>
      <c r="AD733" s="17" t="n">
        <v>1063489.17</v>
      </c>
      <c r="AE733" s="17" t="n">
        <v>0</v>
      </c>
      <c r="AF733" s="17" t="n">
        <v>1045305.74</v>
      </c>
      <c r="AG733" s="17" t="n"/>
      <c r="AH733" s="17" t="n"/>
      <c r="AI733" s="17" t="n"/>
      <c r="AJ733" s="17" t="n">
        <v>0</v>
      </c>
      <c r="AK733" s="17" t="n">
        <v>0</v>
      </c>
      <c r="AL733" s="17" t="n">
        <v>0</v>
      </c>
      <c r="AM733" s="17" t="n"/>
      <c r="AN733" s="17" t="n">
        <v>0</v>
      </c>
      <c r="AO733" s="17" t="n"/>
      <c r="AP733" s="17" t="n"/>
      <c r="AQ733" s="188" t="n"/>
      <c r="AR733" s="241" t="n">
        <f aca="false" ca="false" dt2D="false" dtr="false" t="normal">COUNTIF(AC733:AN733, "&gt;0")</f>
        <v>2</v>
      </c>
    </row>
    <row ht="15.75" outlineLevel="0" r="734">
      <c r="A734" s="240" t="n">
        <f aca="false" ca="false" dt2D="false" dtr="false" t="normal">A733+1</f>
        <v>709</v>
      </c>
      <c r="B734" s="138" t="s">
        <v>76</v>
      </c>
      <c r="C734" s="138" t="s">
        <v>177</v>
      </c>
      <c r="D734" s="138" t="s">
        <v>450</v>
      </c>
      <c r="E734" s="139" t="n">
        <v>1977</v>
      </c>
      <c r="F734" s="139" t="n">
        <v>2013</v>
      </c>
      <c r="G734" s="139" t="s">
        <v>4</v>
      </c>
      <c r="H734" s="139" t="n">
        <v>9</v>
      </c>
      <c r="I734" s="139" t="n">
        <v>1</v>
      </c>
      <c r="J734" s="17" t="n">
        <v>2366.89</v>
      </c>
      <c r="K734" s="17" t="n">
        <v>1904.8</v>
      </c>
      <c r="L734" s="17" t="n">
        <v>41.8</v>
      </c>
      <c r="M734" s="140" t="n">
        <v>59</v>
      </c>
      <c r="N734" s="16" t="n">
        <f aca="false" ca="false" dt2D="false" dtr="false" t="normal">P734+Q734+R734+S734+T734</f>
        <v>2371403.8</v>
      </c>
      <c r="O734" s="17" t="n"/>
      <c r="P734" s="17" t="n">
        <v>0</v>
      </c>
      <c r="Q734" s="17" t="n"/>
      <c r="R734" s="16" t="n"/>
      <c r="S734" s="16" t="n">
        <v>2371403.8</v>
      </c>
      <c r="T734" s="16" t="n"/>
      <c r="U734" s="17" t="n">
        <v>9884.32031756091</v>
      </c>
      <c r="V734" s="17" t="n">
        <v>1335.283020064</v>
      </c>
      <c r="W734" s="21" t="n">
        <v>2024</v>
      </c>
      <c r="X734" s="12" t="n"/>
      <c r="Y734" s="3" t="n">
        <f aca="false" ca="false" dt2D="false" dtr="false" t="normal">+(K734*17.26+L734*29.25)*12*0.85</f>
        <v>347814.87960000004</v>
      </c>
      <c r="Z734" s="3" t="n">
        <f aca="false" ca="false" dt2D="false" dtr="false" t="normal">+(K734*17.26+L734*29.25)*12*30-'[1]Лист1'!$AQ$347</f>
        <v>8962102.080000002</v>
      </c>
      <c r="AB734" s="16" t="n">
        <f aca="false" ca="false" dt2D="false" dtr="false" t="normal">'Приложение №2'!E732</f>
        <v>2371403.8</v>
      </c>
      <c r="AC734" s="17" t="n"/>
      <c r="AD734" s="17" t="n">
        <v>1063489.17</v>
      </c>
      <c r="AE734" s="17" t="n"/>
      <c r="AF734" s="17" t="n">
        <v>1307914.63</v>
      </c>
      <c r="AG734" s="17" t="n"/>
      <c r="AH734" s="17" t="n"/>
      <c r="AI734" s="17" t="n"/>
      <c r="AJ734" s="17" t="n">
        <v>0</v>
      </c>
      <c r="AK734" s="17" t="n">
        <v>0</v>
      </c>
      <c r="AL734" s="17" t="n">
        <v>0</v>
      </c>
      <c r="AM734" s="17" t="n"/>
      <c r="AN734" s="17" t="n">
        <v>0</v>
      </c>
      <c r="AO734" s="17" t="n"/>
      <c r="AP734" s="17" t="n"/>
      <c r="AQ734" s="188" t="n"/>
      <c r="AR734" s="241" t="n">
        <f aca="false" ca="false" dt2D="false" dtr="false" t="normal">COUNTIF(AC734:AN734, "&gt;0")</f>
        <v>2</v>
      </c>
    </row>
    <row ht="15.75" outlineLevel="0" r="735">
      <c r="A735" s="240" t="n">
        <f aca="false" ca="false" dt2D="false" dtr="false" t="normal">A734+1</f>
        <v>710</v>
      </c>
      <c r="B735" s="138" t="s">
        <v>76</v>
      </c>
      <c r="C735" s="138" t="s">
        <v>177</v>
      </c>
      <c r="D735" s="138" t="s">
        <v>453</v>
      </c>
      <c r="E735" s="139" t="n">
        <v>1995</v>
      </c>
      <c r="F735" s="139" t="n">
        <v>2013</v>
      </c>
      <c r="G735" s="139" t="s">
        <v>4</v>
      </c>
      <c r="H735" s="139" t="n">
        <v>4</v>
      </c>
      <c r="I735" s="139" t="n">
        <v>3</v>
      </c>
      <c r="J735" s="17" t="n">
        <v>1839</v>
      </c>
      <c r="K735" s="17" t="n">
        <v>1773.6</v>
      </c>
      <c r="L735" s="17" t="n">
        <v>0</v>
      </c>
      <c r="M735" s="140" t="n">
        <v>81</v>
      </c>
      <c r="N735" s="16" t="n">
        <f aca="false" ca="false" dt2D="false" dtr="false" t="normal">P735+Q735+R735+S735+T735</f>
        <v>3630748.1999999997</v>
      </c>
      <c r="O735" s="17" t="n"/>
      <c r="P735" s="17" t="n">
        <v>0</v>
      </c>
      <c r="Q735" s="17" t="n"/>
      <c r="R735" s="16" t="n">
        <v>501048.38</v>
      </c>
      <c r="S735" s="16" t="n">
        <v>2593216.36</v>
      </c>
      <c r="T735" s="16" t="n">
        <v>536483.46</v>
      </c>
      <c r="U735" s="17" t="n">
        <v>6733.3702283361</v>
      </c>
      <c r="V735" s="17" t="n">
        <v>1342.283020064</v>
      </c>
      <c r="W735" s="21" t="n">
        <v>2024</v>
      </c>
      <c r="X735" s="103" t="n">
        <v>590587.34</v>
      </c>
      <c r="Y735" s="3" t="n">
        <f aca="false" ca="false" dt2D="false" dtr="false" t="normal">+(K735*12.71+L735*25.41)*12*0.85</f>
        <v>229933.0512</v>
      </c>
      <c r="Z735" s="3" t="n">
        <f aca="false" ca="false" dt2D="false" dtr="false" t="normal">+(K735*12.71+L735*25.41)*12*30</f>
        <v>8115284.16</v>
      </c>
      <c r="AA735" s="3" t="n">
        <f aca="false" ca="false" dt2D="false" dtr="false" t="normal">+N735-AB735</f>
        <v>0</v>
      </c>
      <c r="AB735" s="16" t="n">
        <f aca="false" ca="false" dt2D="false" dtr="false" t="normal">'Приложение №2'!E733</f>
        <v>3630748.2</v>
      </c>
      <c r="AC735" s="17" t="n"/>
      <c r="AD735" s="17" t="n">
        <v>1974259.12</v>
      </c>
      <c r="AE735" s="17" t="n"/>
      <c r="AF735" s="17" t="n">
        <v>1656489.08</v>
      </c>
      <c r="AG735" s="17" t="n">
        <v>0</v>
      </c>
      <c r="AH735" s="17" t="n"/>
      <c r="AI735" s="17" t="n"/>
      <c r="AJ735" s="17" t="n">
        <v>0</v>
      </c>
      <c r="AK735" s="17" t="n"/>
      <c r="AL735" s="17" t="n"/>
      <c r="AM735" s="17" t="n"/>
      <c r="AN735" s="17" t="n">
        <v>0</v>
      </c>
      <c r="AO735" s="17" t="n"/>
      <c r="AP735" s="17" t="n"/>
      <c r="AQ735" s="188" t="n"/>
      <c r="AR735" s="241" t="n">
        <f aca="false" ca="false" dt2D="false" dtr="false" t="normal">COUNTIF(AC735:AN735, "&gt;0")</f>
        <v>2</v>
      </c>
      <c r="AS735" s="3" t="n"/>
    </row>
    <row ht="15.75" outlineLevel="0" r="736">
      <c r="A736" s="240" t="n">
        <f aca="false" ca="false" dt2D="false" dtr="false" t="normal">A735+1</f>
        <v>711</v>
      </c>
      <c r="B736" s="138" t="n">
        <f aca="false" ca="false" dt2D="false" dtr="false" t="normal">B731+1</f>
        <v>234</v>
      </c>
      <c r="C736" s="138" t="s">
        <v>82</v>
      </c>
      <c r="D736" s="138" t="s">
        <v>594</v>
      </c>
      <c r="E736" s="139" t="n">
        <v>1982</v>
      </c>
      <c r="F736" s="139" t="n"/>
      <c r="G736" s="139" t="s">
        <v>4</v>
      </c>
      <c r="H736" s="139" t="n">
        <v>5</v>
      </c>
      <c r="I736" s="139" t="n">
        <v>4</v>
      </c>
      <c r="J736" s="17" t="n">
        <v>3359.7</v>
      </c>
      <c r="K736" s="17" t="n">
        <v>2436.8</v>
      </c>
      <c r="L736" s="17" t="n">
        <v>338.7</v>
      </c>
      <c r="M736" s="140" t="n">
        <v>80</v>
      </c>
      <c r="N736" s="16" t="n">
        <f aca="false" ca="false" dt2D="false" dtr="false" t="normal">P736+Q736+R736+S736+T736</f>
        <v>520542.46</v>
      </c>
      <c r="O736" s="17" t="n"/>
      <c r="P736" s="17" t="n">
        <v>0</v>
      </c>
      <c r="Q736" s="17" t="n"/>
      <c r="R736" s="16" t="n">
        <v>520542.46</v>
      </c>
      <c r="S736" s="17" t="n">
        <v>0</v>
      </c>
      <c r="T736" s="16" t="n">
        <v>0</v>
      </c>
      <c r="U736" s="17" t="n">
        <v>187.549075842191</v>
      </c>
      <c r="V736" s="17" t="n">
        <v>187.549075842191</v>
      </c>
      <c r="W736" s="21" t="n">
        <v>2024</v>
      </c>
      <c r="X736" s="202" t="n">
        <v>1376675.93</v>
      </c>
      <c r="Y736" s="3" t="n">
        <f aca="false" ca="false" dt2D="false" dtr="false" t="normal">+(K736*12.71+L736*25.41)*12*0.85</f>
        <v>403696.569</v>
      </c>
      <c r="Z736" s="3" t="n">
        <f aca="false" ca="false" dt2D="false" dtr="false" t="normal">+(K736*12.71+L736*25.41)*12*30</f>
        <v>14248114.200000001</v>
      </c>
      <c r="AA736" s="3" t="n">
        <f aca="false" ca="false" dt2D="false" dtr="false" t="normal">+N736-AB736</f>
        <v>0</v>
      </c>
      <c r="AB736" s="16" t="n">
        <f aca="false" ca="false" dt2D="false" dtr="false" t="normal">'Приложение №2'!E734</f>
        <v>520542.46</v>
      </c>
      <c r="AC736" s="17" t="n"/>
      <c r="AD736" s="17" t="n"/>
      <c r="AE736" s="17" t="n"/>
      <c r="AF736" s="17" t="n">
        <v>520542.46</v>
      </c>
      <c r="AG736" s="17" t="n"/>
      <c r="AH736" s="17" t="n"/>
      <c r="AI736" s="17" t="n"/>
      <c r="AJ736" s="17" t="n"/>
      <c r="AK736" s="17" t="n"/>
      <c r="AL736" s="17" t="n"/>
      <c r="AM736" s="17" t="n"/>
      <c r="AN736" s="17" t="n"/>
      <c r="AO736" s="17" t="n"/>
      <c r="AP736" s="17" t="n"/>
      <c r="AQ736" s="188" t="n"/>
      <c r="AR736" s="241" t="n">
        <f aca="false" ca="false" dt2D="false" dtr="false" t="normal">COUNTIF(AC736:AN736, "&gt;0")</f>
        <v>1</v>
      </c>
    </row>
    <row ht="15.75" outlineLevel="0" r="737">
      <c r="A737" s="240" t="n">
        <f aca="false" ca="false" dt2D="false" dtr="false" t="normal">A736+1</f>
        <v>712</v>
      </c>
      <c r="B737" s="138" t="n">
        <f aca="false" ca="false" dt2D="false" dtr="false" t="normal">B736+1</f>
        <v>235</v>
      </c>
      <c r="C737" s="138" t="s">
        <v>82</v>
      </c>
      <c r="D737" s="138" t="s">
        <v>596</v>
      </c>
      <c r="E737" s="139" t="n">
        <v>1970</v>
      </c>
      <c r="F737" s="139" t="n">
        <v>2013</v>
      </c>
      <c r="G737" s="139" t="s">
        <v>4</v>
      </c>
      <c r="H737" s="139" t="n">
        <v>4</v>
      </c>
      <c r="I737" s="139" t="n">
        <v>2</v>
      </c>
      <c r="J737" s="17" t="n">
        <v>1446.8</v>
      </c>
      <c r="K737" s="17" t="n">
        <v>1340.5</v>
      </c>
      <c r="L737" s="17" t="n">
        <v>0</v>
      </c>
      <c r="M737" s="140" t="n">
        <v>57</v>
      </c>
      <c r="N737" s="16" t="n">
        <f aca="false" ca="false" dt2D="false" dtr="false" t="normal">P737+Q737+R737+S737+T737</f>
        <v>1421363.24</v>
      </c>
      <c r="O737" s="17" t="n"/>
      <c r="P737" s="17" t="n">
        <v>0</v>
      </c>
      <c r="Q737" s="17" t="n"/>
      <c r="R737" s="16" t="n">
        <v>1046121.21</v>
      </c>
      <c r="S737" s="16" t="n">
        <v>375242.03</v>
      </c>
      <c r="T737" s="17" t="n"/>
      <c r="U737" s="17" t="n">
        <v>1453.03128492187</v>
      </c>
      <c r="V737" s="17" t="n">
        <v>1453.03128492187</v>
      </c>
      <c r="W737" s="21" t="n">
        <v>2024</v>
      </c>
      <c r="X737" s="1" t="n">
        <v>888196.9</v>
      </c>
      <c r="Y737" s="3" t="n">
        <f aca="false" ca="false" dt2D="false" dtr="false" t="normal">+(K737*12.71+L737*25.41)*12*0.85</f>
        <v>173785.101</v>
      </c>
      <c r="Z737" s="3" t="n">
        <f aca="false" ca="false" dt2D="false" dtr="false" t="normal">+(K737*12.71+L737*25.41)*12*30</f>
        <v>6133591.8</v>
      </c>
      <c r="AB737" s="16" t="n">
        <f aca="false" ca="false" dt2D="false" dtr="false" t="normal">'Приложение №2'!E735</f>
        <v>1421363.24</v>
      </c>
      <c r="AC737" s="17" t="n"/>
      <c r="AD737" s="17" t="n"/>
      <c r="AE737" s="157" t="n">
        <v>1421363.24</v>
      </c>
      <c r="AF737" s="17" t="n">
        <v>0</v>
      </c>
      <c r="AG737" s="17" t="n">
        <v>0</v>
      </c>
      <c r="AH737" s="17" t="n"/>
      <c r="AI737" s="17" t="n"/>
      <c r="AJ737" s="17" t="n">
        <v>0</v>
      </c>
      <c r="AK737" s="17" t="n">
        <v>0</v>
      </c>
      <c r="AL737" s="17" t="n">
        <v>0</v>
      </c>
      <c r="AM737" s="17" t="n">
        <v>0</v>
      </c>
      <c r="AN737" s="17" t="n">
        <v>0</v>
      </c>
      <c r="AO737" s="17" t="n"/>
      <c r="AP737" s="17" t="n"/>
      <c r="AQ737" s="188" t="n"/>
      <c r="AR737" s="241" t="n">
        <f aca="false" ca="false" dt2D="false" dtr="false" t="normal">COUNTIF(AC737:AN737, "&gt;0")</f>
        <v>1</v>
      </c>
    </row>
    <row ht="15.75" outlineLevel="0" r="738">
      <c r="A738" s="240" t="n">
        <f aca="false" ca="false" dt2D="false" dtr="false" t="normal">A737+1</f>
        <v>713</v>
      </c>
      <c r="B738" s="138" t="n">
        <f aca="false" ca="false" dt2D="false" dtr="false" t="normal">B737+1</f>
        <v>236</v>
      </c>
      <c r="C738" s="138" t="s">
        <v>82</v>
      </c>
      <c r="D738" s="138" t="s">
        <v>598</v>
      </c>
      <c r="E738" s="139" t="n">
        <v>1965</v>
      </c>
      <c r="F738" s="139" t="n">
        <v>2006</v>
      </c>
      <c r="G738" s="139" t="s">
        <v>4</v>
      </c>
      <c r="H738" s="139" t="n">
        <v>3</v>
      </c>
      <c r="I738" s="139" t="n">
        <v>2</v>
      </c>
      <c r="J738" s="17" t="n">
        <v>1057</v>
      </c>
      <c r="K738" s="17" t="n">
        <v>910.1</v>
      </c>
      <c r="L738" s="17" t="n">
        <v>0</v>
      </c>
      <c r="M738" s="140" t="n">
        <v>42</v>
      </c>
      <c r="N738" s="16" t="n">
        <f aca="false" ca="false" dt2D="false" dtr="false" t="normal">P738+Q738+R738+S738+T738</f>
        <v>1293781.6</v>
      </c>
      <c r="O738" s="17" t="n"/>
      <c r="P738" s="17" t="n">
        <v>0</v>
      </c>
      <c r="Q738" s="17" t="n"/>
      <c r="R738" s="16" t="n">
        <v>107218.88</v>
      </c>
      <c r="S738" s="16" t="n">
        <v>1186562.72</v>
      </c>
      <c r="T738" s="16" t="n">
        <v>0</v>
      </c>
      <c r="U738" s="17" t="n">
        <v>1500.06317892166</v>
      </c>
      <c r="V738" s="17" t="n">
        <v>1500.06317892166</v>
      </c>
      <c r="W738" s="21" t="n">
        <v>2024</v>
      </c>
      <c r="Y738" s="3" t="n">
        <f aca="false" ca="false" dt2D="false" dtr="false" t="normal">+(K738*12.71+L738*25.41)*12*0.85</f>
        <v>117987.18420000002</v>
      </c>
      <c r="Z738" s="3" t="n">
        <f aca="false" ca="false" dt2D="false" dtr="false" t="normal">+(K738*12.71+L738*25.41)*12*30-'[1]Лист1'!$AQ$28</f>
        <v>3980229.0600000005</v>
      </c>
      <c r="AA738" s="3" t="n">
        <f aca="false" ca="false" dt2D="false" dtr="false" t="normal">+N738-AB738</f>
        <v>0</v>
      </c>
      <c r="AB738" s="16" t="n">
        <f aca="false" ca="false" dt2D="false" dtr="false" t="normal">'Приложение №2'!E736</f>
        <v>1293781.6</v>
      </c>
      <c r="AC738" s="17" t="n"/>
      <c r="AD738" s="17" t="n"/>
      <c r="AE738" s="157" t="n">
        <v>1293781.6</v>
      </c>
      <c r="AF738" s="17" t="n">
        <v>0</v>
      </c>
      <c r="AG738" s="17" t="n">
        <v>0</v>
      </c>
      <c r="AH738" s="17" t="n"/>
      <c r="AI738" s="17" t="n"/>
      <c r="AJ738" s="17" t="n">
        <v>0</v>
      </c>
      <c r="AK738" s="17" t="n">
        <v>0</v>
      </c>
      <c r="AL738" s="17" t="n">
        <v>0</v>
      </c>
      <c r="AM738" s="17" t="n">
        <v>0</v>
      </c>
      <c r="AN738" s="17" t="n">
        <v>0</v>
      </c>
      <c r="AO738" s="17" t="n"/>
      <c r="AP738" s="17" t="n"/>
      <c r="AQ738" s="188" t="n"/>
      <c r="AR738" s="241" t="n">
        <f aca="false" ca="false" dt2D="false" dtr="false" t="normal">COUNTIF(AC738:AN738, "&gt;0")</f>
        <v>1</v>
      </c>
    </row>
    <row ht="15.75" outlineLevel="0" r="739">
      <c r="A739" s="240" t="n">
        <f aca="false" ca="false" dt2D="false" dtr="false" t="normal">A738+1</f>
        <v>714</v>
      </c>
      <c r="B739" s="138" t="s">
        <v>76</v>
      </c>
      <c r="C739" s="138" t="s">
        <v>82</v>
      </c>
      <c r="D739" s="138" t="s">
        <v>483</v>
      </c>
      <c r="E739" s="139" t="n">
        <v>1993</v>
      </c>
      <c r="F739" s="139" t="n">
        <v>2013</v>
      </c>
      <c r="G739" s="139" t="s">
        <v>4</v>
      </c>
      <c r="H739" s="139" t="n">
        <v>5</v>
      </c>
      <c r="I739" s="139" t="n">
        <v>4</v>
      </c>
      <c r="J739" s="17" t="n">
        <v>3395.5</v>
      </c>
      <c r="K739" s="17" t="n">
        <v>2227.23</v>
      </c>
      <c r="L739" s="17" t="n">
        <v>0</v>
      </c>
      <c r="M739" s="140" t="n">
        <v>37</v>
      </c>
      <c r="N739" s="16" t="n">
        <f aca="false" ca="false" dt2D="false" dtr="false" t="normal">P739+Q739+R739+S739+T739</f>
        <v>1598147.38</v>
      </c>
      <c r="O739" s="17" t="n"/>
      <c r="P739" s="17" t="n">
        <v>0</v>
      </c>
      <c r="Q739" s="17" t="n"/>
      <c r="R739" s="16" t="n"/>
      <c r="S739" s="16" t="n">
        <v>1598147.38</v>
      </c>
      <c r="T739" s="243" t="n"/>
      <c r="U739" s="17" t="n">
        <v>2851.08924296104</v>
      </c>
      <c r="V739" s="17" t="n">
        <v>2851.08924296104</v>
      </c>
      <c r="W739" s="21" t="n">
        <v>2024</v>
      </c>
      <c r="X739" s="1" t="n">
        <v>77200.68</v>
      </c>
      <c r="Y739" s="3" t="n">
        <f aca="false" ca="false" dt2D="false" dtr="false" t="normal">+(K739*12.71+L739*25.41)*12*0.85</f>
        <v>288742.55166</v>
      </c>
      <c r="Z739" s="3" t="n">
        <f aca="false" ca="false" dt2D="false" dtr="false" t="normal">+(K739*12.71+L739*25.41)*12*30</f>
        <v>10190913.588</v>
      </c>
      <c r="AA739" s="3" t="n">
        <f aca="false" ca="false" dt2D="false" dtr="false" t="normal">+N739-AB739</f>
        <v>0</v>
      </c>
      <c r="AB739" s="16" t="n">
        <f aca="false" ca="false" dt2D="false" dtr="false" t="normal">'Приложение №2'!E737</f>
        <v>1598147.38</v>
      </c>
      <c r="AC739" s="17" t="n">
        <v>0</v>
      </c>
      <c r="AD739" s="17" t="n">
        <v>0</v>
      </c>
      <c r="AE739" s="17" t="n"/>
      <c r="AF739" s="17" t="n">
        <v>1598147.38</v>
      </c>
      <c r="AG739" s="17" t="n">
        <v>0</v>
      </c>
      <c r="AH739" s="17" t="n"/>
      <c r="AI739" s="17" t="n"/>
      <c r="AJ739" s="17" t="n">
        <v>0</v>
      </c>
      <c r="AK739" s="17" t="n">
        <v>0</v>
      </c>
      <c r="AL739" s="17" t="n">
        <v>0</v>
      </c>
      <c r="AM739" s="17" t="n">
        <v>0</v>
      </c>
      <c r="AN739" s="17" t="n">
        <v>0</v>
      </c>
      <c r="AO739" s="17" t="n"/>
      <c r="AP739" s="17" t="n"/>
      <c r="AQ739" s="188" t="n"/>
      <c r="AR739" s="241" t="n">
        <f aca="false" ca="false" dt2D="false" dtr="false" t="normal">COUNTIF(AC739:AN739, "&gt;0")</f>
        <v>1</v>
      </c>
    </row>
    <row ht="15.75" outlineLevel="0" r="740">
      <c r="A740" s="240" t="n">
        <f aca="false" ca="false" dt2D="false" dtr="false" t="normal">A739+1</f>
        <v>715</v>
      </c>
      <c r="B740" s="138" t="s">
        <v>76</v>
      </c>
      <c r="C740" s="138" t="s">
        <v>82</v>
      </c>
      <c r="D740" s="138" t="s">
        <v>490</v>
      </c>
      <c r="E740" s="139" t="n">
        <v>1965</v>
      </c>
      <c r="F740" s="139" t="n">
        <v>2006</v>
      </c>
      <c r="G740" s="139" t="s">
        <v>4</v>
      </c>
      <c r="H740" s="139" t="n">
        <v>3</v>
      </c>
      <c r="I740" s="139" t="n">
        <v>2</v>
      </c>
      <c r="J740" s="17" t="n">
        <v>1034.1</v>
      </c>
      <c r="K740" s="17" t="n">
        <v>959.8</v>
      </c>
      <c r="L740" s="17" t="n">
        <v>0</v>
      </c>
      <c r="M740" s="140" t="n">
        <v>25</v>
      </c>
      <c r="N740" s="16" t="n">
        <f aca="false" ca="false" dt2D="false" dtr="false" t="normal">P740+Q740+R740+S740+T740</f>
        <v>1245617.88</v>
      </c>
      <c r="O740" s="17" t="n"/>
      <c r="P740" s="17" t="n">
        <v>0</v>
      </c>
      <c r="Q740" s="17" t="n"/>
      <c r="R740" s="16" t="n"/>
      <c r="S740" s="16" t="n">
        <v>1245617.88</v>
      </c>
      <c r="T740" s="17" t="n">
        <v>0</v>
      </c>
      <c r="U740" s="17" t="n">
        <v>7746.6906716509</v>
      </c>
      <c r="V740" s="17" t="n">
        <v>7746.6906716509</v>
      </c>
      <c r="W740" s="21" t="n">
        <v>2024</v>
      </c>
      <c r="Y740" s="3" t="n">
        <f aca="false" ca="false" dt2D="false" dtr="false" t="normal">+(K740*12.71+L740*25.41)*12*0.85</f>
        <v>124430.39159999999</v>
      </c>
      <c r="Z740" s="3" t="n">
        <f aca="false" ca="false" dt2D="false" dtr="false" t="normal">+(K740*12.71+L740*25.41)*12*30-'[1]Лист1'!$AQ$34</f>
        <v>3637065.44</v>
      </c>
      <c r="AA740" s="3" t="n">
        <f aca="false" ca="false" dt2D="false" dtr="false" t="normal">+N740-AB740</f>
        <v>0</v>
      </c>
      <c r="AB740" s="16" t="n">
        <f aca="false" ca="false" dt2D="false" dtr="false" t="normal">'Приложение №2'!E738</f>
        <v>1245617.88</v>
      </c>
      <c r="AC740" s="17" t="n"/>
      <c r="AD740" s="17" t="n"/>
      <c r="AE740" s="157" t="n">
        <v>1245617.88</v>
      </c>
      <c r="AF740" s="17" t="n">
        <v>0</v>
      </c>
      <c r="AG740" s="17" t="n">
        <v>0</v>
      </c>
      <c r="AH740" s="17" t="n"/>
      <c r="AI740" s="17" t="n"/>
      <c r="AJ740" s="17" t="n">
        <v>0</v>
      </c>
      <c r="AK740" s="17" t="n"/>
      <c r="AL740" s="17" t="n">
        <v>0</v>
      </c>
      <c r="AM740" s="17" t="n"/>
      <c r="AN740" s="17" t="n">
        <v>0</v>
      </c>
      <c r="AO740" s="17" t="n"/>
      <c r="AP740" s="17" t="n"/>
      <c r="AQ740" s="188" t="n"/>
      <c r="AR740" s="241" t="n">
        <f aca="false" ca="false" dt2D="false" dtr="false" t="normal">COUNTIF(AC740:AN740, "&gt;0")</f>
        <v>1</v>
      </c>
    </row>
    <row ht="15.75" outlineLevel="0" r="741">
      <c r="A741" s="240" t="n">
        <f aca="false" ca="false" dt2D="false" dtr="false" t="normal">A740+1</f>
        <v>716</v>
      </c>
      <c r="B741" s="138" t="n">
        <f aca="false" ca="false" dt2D="false" dtr="false" t="normal">B738+1</f>
        <v>237</v>
      </c>
      <c r="C741" s="138" t="s">
        <v>82</v>
      </c>
      <c r="D741" s="138" t="s">
        <v>603</v>
      </c>
      <c r="E741" s="139" t="n">
        <v>1975</v>
      </c>
      <c r="F741" s="139" t="n"/>
      <c r="G741" s="139" t="s">
        <v>4</v>
      </c>
      <c r="H741" s="139" t="n">
        <v>4</v>
      </c>
      <c r="I741" s="139" t="n">
        <v>3</v>
      </c>
      <c r="J741" s="17" t="n">
        <v>2248.5</v>
      </c>
      <c r="K741" s="17" t="n">
        <v>1870.6</v>
      </c>
      <c r="L741" s="17" t="n">
        <v>291.1</v>
      </c>
      <c r="M741" s="140" t="n">
        <v>72</v>
      </c>
      <c r="N741" s="16" t="n">
        <f aca="false" ca="false" dt2D="false" dtr="false" t="normal">P741+Q741+R741+S741+T741</f>
        <v>640276.6</v>
      </c>
      <c r="O741" s="17" t="n"/>
      <c r="P741" s="17" t="n">
        <v>0</v>
      </c>
      <c r="Q741" s="17" t="n"/>
      <c r="R741" s="16" t="n">
        <v>640276.6</v>
      </c>
      <c r="S741" s="17" t="n">
        <v>0</v>
      </c>
      <c r="T741" s="243" t="n">
        <v>0</v>
      </c>
      <c r="U741" s="17" t="n">
        <v>296.191238377203</v>
      </c>
      <c r="V741" s="17" t="n">
        <v>296.191238377203</v>
      </c>
      <c r="W741" s="21" t="n">
        <v>2024</v>
      </c>
      <c r="X741" s="202" t="n">
        <v>344959.67</v>
      </c>
      <c r="Y741" s="3" t="n">
        <f aca="false" ca="false" dt2D="false" dtr="false" t="normal">+(K741*12.71+L741*25.41)*12*0.85</f>
        <v>317956.20540000004</v>
      </c>
      <c r="Z741" s="3" t="n">
        <f aca="false" ca="false" dt2D="false" dtr="false" t="normal">+(K741*12.71+L741*25.41)*12*30</f>
        <v>11221983.720000003</v>
      </c>
      <c r="AA741" s="3" t="n">
        <f aca="false" ca="false" dt2D="false" dtr="false" t="normal">+N741-AB741</f>
        <v>0</v>
      </c>
      <c r="AB741" s="16" t="n">
        <f aca="false" ca="false" dt2D="false" dtr="false" t="normal">'Приложение №2'!E739</f>
        <v>640276.6</v>
      </c>
      <c r="AC741" s="17" t="n"/>
      <c r="AD741" s="17" t="n"/>
      <c r="AE741" s="17" t="n"/>
      <c r="AF741" s="17" t="n">
        <v>640276.6</v>
      </c>
      <c r="AG741" s="17" t="n"/>
      <c r="AH741" s="17" t="n"/>
      <c r="AI741" s="17" t="n"/>
      <c r="AJ741" s="17" t="n"/>
      <c r="AK741" s="17" t="n"/>
      <c r="AL741" s="17" t="n"/>
      <c r="AM741" s="17" t="n"/>
      <c r="AN741" s="17" t="n"/>
      <c r="AO741" s="17" t="n"/>
      <c r="AP741" s="17" t="n"/>
      <c r="AQ741" s="188" t="n"/>
      <c r="AR741" s="241" t="n">
        <f aca="false" ca="false" dt2D="false" dtr="false" t="normal">COUNTIF(AC741:AN741, "&gt;0")</f>
        <v>1</v>
      </c>
    </row>
    <row ht="15.75" outlineLevel="0" r="742">
      <c r="A742" s="240" t="n">
        <f aca="false" ca="false" dt2D="false" dtr="false" t="normal">A741+1</f>
        <v>717</v>
      </c>
      <c r="B742" s="138" t="n">
        <f aca="false" ca="false" dt2D="false" dtr="false" t="normal">B741+1</f>
        <v>238</v>
      </c>
      <c r="C742" s="138" t="s">
        <v>82</v>
      </c>
      <c r="D742" s="138" t="s">
        <v>605</v>
      </c>
      <c r="E742" s="139" t="n">
        <v>1974</v>
      </c>
      <c r="F742" s="139" t="n">
        <v>2013</v>
      </c>
      <c r="G742" s="139" t="s">
        <v>4</v>
      </c>
      <c r="H742" s="139" t="n">
        <v>4</v>
      </c>
      <c r="I742" s="139" t="n">
        <v>3</v>
      </c>
      <c r="J742" s="17" t="n">
        <v>2238.2</v>
      </c>
      <c r="K742" s="17" t="n">
        <v>2068.45</v>
      </c>
      <c r="L742" s="17" t="n">
        <v>0</v>
      </c>
      <c r="M742" s="140" t="n">
        <v>74</v>
      </c>
      <c r="N742" s="16" t="n">
        <f aca="false" ca="false" dt2D="false" dtr="false" t="normal">P742+Q742+R742+S742+T742</f>
        <v>2435971.49</v>
      </c>
      <c r="O742" s="17" t="n"/>
      <c r="P742" s="17" t="n">
        <v>0</v>
      </c>
      <c r="Q742" s="17" t="n"/>
      <c r="R742" s="16" t="n">
        <v>930049.2</v>
      </c>
      <c r="S742" s="16" t="n">
        <v>1505922.29</v>
      </c>
      <c r="T742" s="17" t="n"/>
      <c r="U742" s="17" t="n">
        <v>1511.83073101516</v>
      </c>
      <c r="V742" s="17" t="n">
        <v>1511.83073101516</v>
      </c>
      <c r="W742" s="21" t="n">
        <v>2024</v>
      </c>
      <c r="X742" s="1" t="n">
        <v>686365.11</v>
      </c>
      <c r="Y742" s="3" t="n">
        <f aca="false" ca="false" dt2D="false" dtr="false" t="normal">+(K742*12.71+L742*25.41)*12*0.85</f>
        <v>268157.99489999993</v>
      </c>
      <c r="Z742" s="3" t="n">
        <f aca="false" ca="false" dt2D="false" dtr="false" t="normal">+(K742*12.71+L742*25.41)*12*30</f>
        <v>9464399.819999998</v>
      </c>
      <c r="AA742" s="3" t="n">
        <f aca="false" ca="false" dt2D="false" dtr="false" t="normal">+N742-AB742</f>
        <v>0</v>
      </c>
      <c r="AB742" s="16" t="n">
        <f aca="false" ca="false" dt2D="false" dtr="false" t="normal">'Приложение №2'!E740</f>
        <v>2435971.49</v>
      </c>
      <c r="AC742" s="17" t="n">
        <v>0</v>
      </c>
      <c r="AD742" s="17" t="n">
        <v>0</v>
      </c>
      <c r="AE742" s="157" t="n">
        <v>2435971.49</v>
      </c>
      <c r="AF742" s="17" t="n">
        <v>0</v>
      </c>
      <c r="AG742" s="17" t="n">
        <v>0</v>
      </c>
      <c r="AH742" s="17" t="n"/>
      <c r="AI742" s="17" t="n"/>
      <c r="AJ742" s="17" t="n">
        <v>0</v>
      </c>
      <c r="AK742" s="17" t="n">
        <v>0</v>
      </c>
      <c r="AL742" s="17" t="n">
        <v>0</v>
      </c>
      <c r="AM742" s="17" t="n">
        <v>0</v>
      </c>
      <c r="AN742" s="17" t="n">
        <v>0</v>
      </c>
      <c r="AO742" s="17" t="n"/>
      <c r="AP742" s="17" t="n"/>
      <c r="AQ742" s="188" t="n"/>
      <c r="AR742" s="241" t="n">
        <f aca="false" ca="false" dt2D="false" dtr="false" t="normal">COUNTIF(AC742:AN742, "&gt;0")</f>
        <v>1</v>
      </c>
    </row>
    <row ht="15.75" outlineLevel="0" r="743">
      <c r="A743" s="240" t="n">
        <f aca="false" ca="false" dt2D="false" dtr="false" t="normal">A742+1</f>
        <v>718</v>
      </c>
      <c r="B743" s="138" t="n">
        <f aca="false" ca="false" dt2D="false" dtr="false" t="normal">B742+1</f>
        <v>239</v>
      </c>
      <c r="C743" s="138" t="s">
        <v>82</v>
      </c>
      <c r="D743" s="138" t="s">
        <v>607</v>
      </c>
      <c r="E743" s="139" t="n">
        <v>1976</v>
      </c>
      <c r="F743" s="139" t="n"/>
      <c r="G743" s="139" t="s">
        <v>4</v>
      </c>
      <c r="H743" s="139" t="n">
        <v>4</v>
      </c>
      <c r="I743" s="139" t="n">
        <v>6</v>
      </c>
      <c r="J743" s="17" t="n">
        <v>4614</v>
      </c>
      <c r="K743" s="17" t="n">
        <v>4270.7</v>
      </c>
      <c r="L743" s="17" t="n">
        <v>0</v>
      </c>
      <c r="M743" s="140" t="n">
        <v>148</v>
      </c>
      <c r="N743" s="16" t="n">
        <f aca="false" ca="false" dt2D="false" dtr="false" t="normal">P743+Q743+R743+S743+T743</f>
        <v>1357157.63</v>
      </c>
      <c r="O743" s="17" t="n"/>
      <c r="P743" s="17" t="n">
        <v>0</v>
      </c>
      <c r="Q743" s="17" t="n"/>
      <c r="R743" s="16" t="n">
        <v>503131.17</v>
      </c>
      <c r="S743" s="16" t="n">
        <v>854026.46</v>
      </c>
      <c r="T743" s="243" t="n">
        <v>0</v>
      </c>
      <c r="U743" s="17" t="n">
        <v>317.783414896855</v>
      </c>
      <c r="V743" s="17" t="n">
        <v>317.783414896855</v>
      </c>
      <c r="W743" s="21" t="n">
        <v>2024</v>
      </c>
      <c r="X743" s="202" t="n"/>
      <c r="Y743" s="3" t="n">
        <f aca="false" ca="false" dt2D="false" dtr="false" t="normal">+(K743*12.71+L743*25.41)*12*0.85</f>
        <v>553662.0893999999</v>
      </c>
      <c r="Z743" s="3" t="n">
        <f aca="false" ca="false" dt2D="false" dtr="false" t="normal">+(K743*12.71+L743*25.41)*12*30-'[1]Лист1'!$AQ$39</f>
        <v>19261635.52</v>
      </c>
      <c r="AA743" s="3" t="n">
        <f aca="false" ca="false" dt2D="false" dtr="false" t="normal">+N743-AB743</f>
        <v>0</v>
      </c>
      <c r="AB743" s="16" t="n">
        <f aca="false" ca="false" dt2D="false" dtr="false" t="normal">'Приложение №2'!E741</f>
        <v>1357157.63</v>
      </c>
      <c r="AC743" s="17" t="n"/>
      <c r="AD743" s="17" t="n"/>
      <c r="AE743" s="17" t="n"/>
      <c r="AF743" s="17" t="n">
        <v>1357157.63</v>
      </c>
      <c r="AG743" s="17" t="n"/>
      <c r="AH743" s="17" t="n"/>
      <c r="AI743" s="17" t="n"/>
      <c r="AJ743" s="17" t="n"/>
      <c r="AK743" s="17" t="n"/>
      <c r="AL743" s="17" t="n"/>
      <c r="AM743" s="17" t="n"/>
      <c r="AN743" s="17" t="n"/>
      <c r="AO743" s="17" t="n"/>
      <c r="AP743" s="17" t="n"/>
      <c r="AQ743" s="188" t="n"/>
      <c r="AR743" s="241" t="n">
        <f aca="false" ca="false" dt2D="false" dtr="false" t="normal">COUNTIF(AC743:AN743, "&gt;0")</f>
        <v>1</v>
      </c>
    </row>
    <row ht="15.75" outlineLevel="0" r="744">
      <c r="A744" s="240" t="n">
        <f aca="false" ca="false" dt2D="false" dtr="false" t="normal">A743+1</f>
        <v>719</v>
      </c>
      <c r="B744" s="138" t="n">
        <f aca="false" ca="false" dt2D="false" dtr="false" t="normal">B743+1</f>
        <v>240</v>
      </c>
      <c r="C744" s="138" t="s">
        <v>82</v>
      </c>
      <c r="D744" s="138" t="s">
        <v>608</v>
      </c>
      <c r="E744" s="139" t="n">
        <v>1981</v>
      </c>
      <c r="F744" s="139" t="n"/>
      <c r="G744" s="139" t="s">
        <v>4</v>
      </c>
      <c r="H744" s="139" t="n">
        <v>5</v>
      </c>
      <c r="I744" s="139" t="n">
        <v>4</v>
      </c>
      <c r="J744" s="17" t="n">
        <v>3315.7</v>
      </c>
      <c r="K744" s="17" t="n">
        <v>2406</v>
      </c>
      <c r="L744" s="17" t="n">
        <v>444.3</v>
      </c>
      <c r="M744" s="140" t="n">
        <v>83</v>
      </c>
      <c r="N744" s="16" t="n">
        <f aca="false" ca="false" dt2D="false" dtr="false" t="normal">P744+Q744+R744+S744+T744</f>
        <v>530132.51</v>
      </c>
      <c r="O744" s="17" t="n"/>
      <c r="P744" s="17" t="n">
        <v>0</v>
      </c>
      <c r="Q744" s="17" t="n"/>
      <c r="R744" s="16" t="n">
        <v>530132.51</v>
      </c>
      <c r="S744" s="16" t="n">
        <v>0</v>
      </c>
      <c r="T744" s="243" t="n">
        <v>0</v>
      </c>
      <c r="U744" s="17" t="n">
        <v>185.991828930288</v>
      </c>
      <c r="V744" s="17" t="n">
        <v>185.991828930288</v>
      </c>
      <c r="W744" s="21" t="n">
        <v>2024</v>
      </c>
      <c r="X744" s="202" t="n">
        <v>1643663.48</v>
      </c>
      <c r="Y744" s="3" t="n">
        <f aca="false" ca="false" dt2D="false" dtr="false" t="normal">+(K744*12.71+L744*25.41)*12*0.85</f>
        <v>427073.2146</v>
      </c>
      <c r="Z744" s="3" t="n">
        <f aca="false" ca="false" dt2D="false" dtr="false" t="normal">+(K744*12.71+L744*25.41)*12*30</f>
        <v>15073172.28</v>
      </c>
      <c r="AA744" s="3" t="n">
        <f aca="false" ca="false" dt2D="false" dtr="false" t="normal">+N744-AB744</f>
        <v>0</v>
      </c>
      <c r="AB744" s="16" t="n">
        <f aca="false" ca="false" dt2D="false" dtr="false" t="normal">'Приложение №2'!E742</f>
        <v>530132.51</v>
      </c>
      <c r="AC744" s="17" t="n"/>
      <c r="AD744" s="17" t="n"/>
      <c r="AE744" s="17" t="n"/>
      <c r="AF744" s="17" t="n">
        <v>530132.51</v>
      </c>
      <c r="AG744" s="17" t="n"/>
      <c r="AH744" s="17" t="n"/>
      <c r="AI744" s="17" t="n"/>
      <c r="AJ744" s="17" t="n"/>
      <c r="AK744" s="17" t="n"/>
      <c r="AL744" s="17" t="n"/>
      <c r="AM744" s="17" t="n"/>
      <c r="AN744" s="17" t="n"/>
      <c r="AO744" s="17" t="n"/>
      <c r="AP744" s="17" t="n"/>
      <c r="AQ744" s="188" t="n"/>
      <c r="AR744" s="241" t="n">
        <f aca="false" ca="false" dt2D="false" dtr="false" t="normal">COUNTIF(AC744:AN744, "&gt;0")</f>
        <v>1</v>
      </c>
    </row>
    <row ht="15.75" outlineLevel="0" r="745">
      <c r="A745" s="240" t="n">
        <f aca="false" ca="false" dt2D="false" dtr="false" t="normal">A744+1</f>
        <v>720</v>
      </c>
      <c r="B745" s="138" t="s">
        <v>76</v>
      </c>
      <c r="C745" s="138" t="s">
        <v>356</v>
      </c>
      <c r="D745" s="138" t="s">
        <v>360</v>
      </c>
      <c r="E745" s="139" t="n">
        <v>1969</v>
      </c>
      <c r="F745" s="139" t="n">
        <v>1969</v>
      </c>
      <c r="G745" s="139" t="s">
        <v>4</v>
      </c>
      <c r="H745" s="139" t="n">
        <v>4</v>
      </c>
      <c r="I745" s="139" t="n">
        <v>4</v>
      </c>
      <c r="J745" s="17" t="n">
        <v>1301.1</v>
      </c>
      <c r="K745" s="17" t="n">
        <v>1206.1</v>
      </c>
      <c r="L745" s="17" t="n">
        <v>0</v>
      </c>
      <c r="M745" s="140" t="n">
        <v>55</v>
      </c>
      <c r="N745" s="16" t="n">
        <f aca="false" ca="false" dt2D="false" dtr="false" t="normal">P745+Q745+R745+S745+T745</f>
        <v>1303632.49</v>
      </c>
      <c r="O745" s="17" t="n"/>
      <c r="P745" s="17" t="n">
        <v>0</v>
      </c>
      <c r="Q745" s="17" t="n"/>
      <c r="R745" s="16" t="n">
        <v>129173.31</v>
      </c>
      <c r="S745" s="16" t="n">
        <v>1174459.18</v>
      </c>
      <c r="T745" s="16" t="n"/>
      <c r="U745" s="17" t="n">
        <v>6767.50786872611</v>
      </c>
      <c r="V745" s="17" t="n">
        <v>1365.283020064</v>
      </c>
      <c r="W745" s="21" t="n">
        <v>2024</v>
      </c>
      <c r="X745" s="12" t="n"/>
      <c r="Y745" s="3" t="n">
        <f aca="false" ca="false" dt2D="false" dtr="false" t="normal">+(K745*12.71+L745*25.41)*12*0.85</f>
        <v>156361.21619999997</v>
      </c>
      <c r="Z745" s="3" t="n">
        <f aca="false" ca="false" dt2D="false" dtr="false" t="normal">+(K745*12.71+L745*25.41)*12*30-'[1]Лист1'!$AQ$49</f>
        <v>4797243.369999999</v>
      </c>
      <c r="AA745" s="3" t="n">
        <f aca="false" ca="false" dt2D="false" dtr="false" t="normal">+N745-AB745</f>
        <v>0</v>
      </c>
      <c r="AB745" s="16" t="n">
        <f aca="false" ca="false" dt2D="false" dtr="false" t="normal">'Приложение №2'!E743</f>
        <v>1303632.49</v>
      </c>
      <c r="AC745" s="17" t="n"/>
      <c r="AD745" s="17" t="n"/>
      <c r="AE745" s="17" t="n">
        <v>1303632.49</v>
      </c>
      <c r="AF745" s="17" t="n"/>
      <c r="AG745" s="17" t="n"/>
      <c r="AH745" s="17" t="n"/>
      <c r="AI745" s="17" t="n"/>
      <c r="AJ745" s="17" t="n">
        <v>0</v>
      </c>
      <c r="AK745" s="157" t="n"/>
      <c r="AL745" s="17" t="n">
        <v>0</v>
      </c>
      <c r="AM745" s="17" t="n"/>
      <c r="AN745" s="17" t="n"/>
      <c r="AO745" s="17" t="n"/>
      <c r="AP745" s="17" t="n"/>
      <c r="AQ745" s="188" t="n"/>
      <c r="AR745" s="241" t="n">
        <f aca="false" ca="false" dt2D="false" dtr="false" t="normal">COUNTIF(AC745:AN745, "&gt;0")</f>
        <v>1</v>
      </c>
    </row>
    <row ht="15.75" outlineLevel="0" r="746">
      <c r="A746" s="240" t="n">
        <f aca="false" ca="false" dt2D="false" dtr="false" t="normal">A745+1</f>
        <v>721</v>
      </c>
      <c r="B746" s="138" t="s">
        <v>76</v>
      </c>
      <c r="C746" s="138" t="s">
        <v>356</v>
      </c>
      <c r="D746" s="138" t="s">
        <v>498</v>
      </c>
      <c r="E746" s="139" t="n">
        <v>1970</v>
      </c>
      <c r="F746" s="139" t="n">
        <v>1970</v>
      </c>
      <c r="G746" s="139" t="s">
        <v>4</v>
      </c>
      <c r="H746" s="139" t="n">
        <v>4</v>
      </c>
      <c r="I746" s="139" t="n">
        <v>4</v>
      </c>
      <c r="J746" s="17" t="n">
        <v>1365.1</v>
      </c>
      <c r="K746" s="17" t="n">
        <v>1195.16</v>
      </c>
      <c r="L746" s="17" t="n">
        <v>66.4</v>
      </c>
      <c r="M746" s="140" t="n">
        <v>42</v>
      </c>
      <c r="N746" s="16" t="n">
        <f aca="false" ca="false" dt2D="false" dtr="false" t="normal">P746+Q746+R746+S746+T746</f>
        <v>1313261.12</v>
      </c>
      <c r="O746" s="17" t="n"/>
      <c r="P746" s="17" t="n">
        <v>0</v>
      </c>
      <c r="Q746" s="17" t="n"/>
      <c r="R746" s="16" t="n"/>
      <c r="S746" s="16" t="n"/>
      <c r="T746" s="16" t="n">
        <v>1313261.12</v>
      </c>
      <c r="U746" s="17" t="n">
        <v>5482.30010451123</v>
      </c>
      <c r="V746" s="17" t="n">
        <v>1366.283020064</v>
      </c>
      <c r="W746" s="21" t="n">
        <v>2024</v>
      </c>
      <c r="X746" s="12" t="n"/>
      <c r="Y746" s="3" t="n">
        <f aca="false" ca="false" dt2D="false" dtr="false" t="normal">+(K746*12.71+L746*25.41)*12*0.85</f>
        <v>172152.61752</v>
      </c>
      <c r="Z746" s="3" t="n">
        <f aca="false" ca="false" dt2D="false" dtr="false" t="normal">+(K746*12.71+L746*25.41)*12*30-'[1]Лист1'!$AQ$50</f>
        <v>1421982.1860000007</v>
      </c>
      <c r="AA746" s="3" t="n">
        <f aca="false" ca="false" dt2D="false" dtr="false" t="normal">+N746-AB746</f>
        <v>0</v>
      </c>
      <c r="AB746" s="16" t="n">
        <f aca="false" ca="false" dt2D="false" dtr="false" t="normal">'Приложение №2'!E744</f>
        <v>1313261.12</v>
      </c>
      <c r="AC746" s="17" t="n"/>
      <c r="AD746" s="17" t="n"/>
      <c r="AE746" s="17" t="n">
        <v>1313261.12</v>
      </c>
      <c r="AF746" s="17" t="n"/>
      <c r="AG746" s="17" t="n">
        <v>0</v>
      </c>
      <c r="AH746" s="17" t="n"/>
      <c r="AI746" s="17" t="n"/>
      <c r="AJ746" s="17" t="n">
        <v>0</v>
      </c>
      <c r="AK746" s="17" t="n"/>
      <c r="AL746" s="17" t="n">
        <v>0</v>
      </c>
      <c r="AM746" s="17" t="n"/>
      <c r="AN746" s="17" t="n"/>
      <c r="AO746" s="17" t="n"/>
      <c r="AP746" s="17" t="n"/>
      <c r="AQ746" s="188" t="n"/>
      <c r="AR746" s="241" t="n">
        <f aca="false" ca="false" dt2D="false" dtr="false" t="normal">COUNTIF(AC746:AN746, "&gt;0")</f>
        <v>1</v>
      </c>
    </row>
    <row ht="15.75" outlineLevel="0" r="747">
      <c r="A747" s="240" t="n">
        <f aca="false" ca="false" dt2D="false" dtr="false" t="normal">A746+1</f>
        <v>722</v>
      </c>
      <c r="B747" s="138" t="s">
        <v>76</v>
      </c>
      <c r="C747" s="138" t="s">
        <v>93</v>
      </c>
      <c r="D747" s="138" t="s">
        <v>520</v>
      </c>
      <c r="E747" s="139" t="n">
        <v>1993</v>
      </c>
      <c r="F747" s="139" t="n">
        <v>2009</v>
      </c>
      <c r="G747" s="139" t="s">
        <v>4</v>
      </c>
      <c r="H747" s="139" t="n">
        <v>9</v>
      </c>
      <c r="I747" s="139" t="n">
        <v>1</v>
      </c>
      <c r="J747" s="17" t="n">
        <v>2345</v>
      </c>
      <c r="K747" s="17" t="n">
        <v>1959.1</v>
      </c>
      <c r="L747" s="17" t="n">
        <v>0</v>
      </c>
      <c r="M747" s="140" t="n">
        <v>80</v>
      </c>
      <c r="N747" s="16" t="n">
        <f aca="false" ca="false" dt2D="false" dtr="false" t="normal">P747+Q747+R747+S747+T747</f>
        <v>5252795.76</v>
      </c>
      <c r="O747" s="17" t="n"/>
      <c r="P747" s="17" t="n">
        <v>0</v>
      </c>
      <c r="Q747" s="17" t="n"/>
      <c r="R747" s="16" t="n">
        <v>498400.31</v>
      </c>
      <c r="S747" s="16" t="n">
        <v>4754395.45</v>
      </c>
      <c r="T747" s="16" t="n">
        <v>0</v>
      </c>
      <c r="U747" s="17" t="n">
        <v>5613.63290560461</v>
      </c>
      <c r="V747" s="17" t="n">
        <v>1394.283020064</v>
      </c>
      <c r="W747" s="21" t="n">
        <v>2024</v>
      </c>
      <c r="X747" s="103" t="n">
        <v>0</v>
      </c>
      <c r="Y747" s="3" t="n">
        <f aca="false" ca="false" dt2D="false" dtr="false" t="normal">+(K747*16.89+L747*28.62)*12*0.85</f>
        <v>337509.8298</v>
      </c>
      <c r="Z747" s="3" t="n">
        <f aca="false" ca="false" dt2D="false" dtr="false" t="normal">+(K747*16.89+L747*28.62)*12*30-'[1]Лист1'!$AQ$73</f>
        <v>9780197.8</v>
      </c>
      <c r="AA747" s="3" t="n">
        <f aca="false" ca="false" dt2D="false" dtr="false" t="normal">+N747-AB747</f>
        <v>0</v>
      </c>
      <c r="AB747" s="16" t="n">
        <f aca="false" ca="false" dt2D="false" dtr="false" t="normal">'Приложение №2'!E745</f>
        <v>5252795.76</v>
      </c>
      <c r="AC747" s="17" t="n"/>
      <c r="AD747" s="17" t="n">
        <v>3364670.03</v>
      </c>
      <c r="AE747" s="17" t="n">
        <v>0</v>
      </c>
      <c r="AF747" s="17" t="n">
        <v>1888125.73</v>
      </c>
      <c r="AG747" s="17" t="n">
        <v>0</v>
      </c>
      <c r="AH747" s="17" t="n"/>
      <c r="AI747" s="17" t="n"/>
      <c r="AJ747" s="17" t="n">
        <v>0</v>
      </c>
      <c r="AK747" s="17" t="n"/>
      <c r="AL747" s="17" t="n"/>
      <c r="AM747" s="17" t="n"/>
      <c r="AN747" s="17" t="n"/>
      <c r="AO747" s="17" t="n"/>
      <c r="AP747" s="17" t="n"/>
      <c r="AQ747" s="188" t="n"/>
      <c r="AR747" s="241" t="n">
        <f aca="false" ca="false" dt2D="false" dtr="false" t="normal">COUNTIF(AC747:AN747, "&gt;0")</f>
        <v>2</v>
      </c>
    </row>
    <row ht="15.75" outlineLevel="0" r="748">
      <c r="A748" s="240" t="n">
        <f aca="false" ca="false" dt2D="false" dtr="false" t="normal">A747+1</f>
        <v>723</v>
      </c>
      <c r="B748" s="138" t="n">
        <f aca="false" ca="false" dt2D="false" dtr="false" t="normal">B744+1</f>
        <v>241</v>
      </c>
      <c r="C748" s="138" t="s">
        <v>93</v>
      </c>
      <c r="D748" s="138" t="s">
        <v>612</v>
      </c>
      <c r="E748" s="139" t="n">
        <v>1968</v>
      </c>
      <c r="F748" s="139" t="n">
        <v>2015</v>
      </c>
      <c r="G748" s="139" t="s">
        <v>4</v>
      </c>
      <c r="H748" s="139" t="n">
        <v>4</v>
      </c>
      <c r="I748" s="139" t="n">
        <v>4</v>
      </c>
      <c r="J748" s="17" t="n">
        <v>2529.1</v>
      </c>
      <c r="K748" s="17" t="n">
        <v>2238.1</v>
      </c>
      <c r="L748" s="17" t="n">
        <v>227.2</v>
      </c>
      <c r="M748" s="140" t="n">
        <v>104</v>
      </c>
      <c r="N748" s="16" t="n">
        <f aca="false" ca="false" dt2D="false" dtr="false" t="normal">P748+Q748+R748+S748+T748</f>
        <v>1115132.33</v>
      </c>
      <c r="O748" s="17" t="n"/>
      <c r="P748" s="17" t="n">
        <v>0</v>
      </c>
      <c r="Q748" s="17" t="n">
        <v>0</v>
      </c>
      <c r="R748" s="16" t="n">
        <v>334539.7</v>
      </c>
      <c r="S748" s="16" t="n">
        <v>780592.63</v>
      </c>
      <c r="T748" s="16" t="n"/>
      <c r="U748" s="17" t="n">
        <v>11125.5468141852</v>
      </c>
      <c r="V748" s="17" t="n">
        <v>1386.283020064</v>
      </c>
      <c r="W748" s="21" t="n">
        <v>2024</v>
      </c>
      <c r="X748" s="12" t="n">
        <v>1112429.31</v>
      </c>
      <c r="Y748" s="3" t="n">
        <f aca="false" ca="false" dt2D="false" dtr="false" t="normal">+(K748*12.71+L748*25.41)*12*0.85</f>
        <v>349037.9106</v>
      </c>
      <c r="Z748" s="3" t="n">
        <f aca="false" ca="false" dt2D="false" dtr="false" t="normal">+(K748*12.71+L748*25.41)*12*30</f>
        <v>12318985.08</v>
      </c>
      <c r="AA748" s="3" t="n">
        <f aca="false" ca="false" dt2D="false" dtr="false" t="normal">AB748-N748</f>
        <v>0</v>
      </c>
      <c r="AB748" s="16" t="n">
        <f aca="false" ca="false" dt2D="false" dtr="false" t="normal">'Приложение №2'!E746</f>
        <v>1115132.33</v>
      </c>
      <c r="AC748" s="17" t="n"/>
      <c r="AD748" s="17" t="n"/>
      <c r="AE748" s="17" t="n">
        <v>1115132.33</v>
      </c>
      <c r="AF748" s="17" t="n"/>
      <c r="AG748" s="17" t="n">
        <v>0</v>
      </c>
      <c r="AH748" s="17" t="n"/>
      <c r="AI748" s="17" t="n"/>
      <c r="AJ748" s="17" t="n">
        <v>0</v>
      </c>
      <c r="AK748" s="17" t="n"/>
      <c r="AL748" s="17" t="n">
        <v>0</v>
      </c>
      <c r="AM748" s="17" t="n">
        <v>0</v>
      </c>
      <c r="AN748" s="17" t="n">
        <v>0</v>
      </c>
      <c r="AO748" s="17" t="n"/>
      <c r="AP748" s="17" t="n"/>
      <c r="AQ748" s="188" t="n"/>
      <c r="AR748" s="241" t="n">
        <f aca="false" ca="false" dt2D="false" dtr="false" t="normal">COUNTIF(AC748:AN748, "&gt;0")</f>
        <v>1</v>
      </c>
    </row>
    <row ht="15.75" outlineLevel="0" r="749">
      <c r="A749" s="240" t="n">
        <f aca="false" ca="false" dt2D="false" dtr="false" t="normal">A748+1</f>
        <v>724</v>
      </c>
      <c r="B749" s="138" t="n">
        <f aca="false" ca="false" dt2D="false" dtr="false" t="normal">B748+1</f>
        <v>242</v>
      </c>
      <c r="C749" s="138" t="s">
        <v>93</v>
      </c>
      <c r="D749" s="138" t="s">
        <v>613</v>
      </c>
      <c r="E749" s="139" t="n">
        <v>1969</v>
      </c>
      <c r="F749" s="139" t="n">
        <v>1969</v>
      </c>
      <c r="G749" s="139" t="s">
        <v>4</v>
      </c>
      <c r="H749" s="139" t="n">
        <v>4</v>
      </c>
      <c r="I749" s="139" t="n">
        <v>2</v>
      </c>
      <c r="J749" s="17" t="n">
        <v>1357.7</v>
      </c>
      <c r="K749" s="17" t="n">
        <v>1089.9</v>
      </c>
      <c r="L749" s="17" t="n">
        <v>150.8</v>
      </c>
      <c r="M749" s="140" t="n">
        <v>48</v>
      </c>
      <c r="N749" s="16" t="n">
        <f aca="false" ca="false" dt2D="false" dtr="false" t="normal">P749+Q749+R749+S749+T749</f>
        <v>1259175.35</v>
      </c>
      <c r="O749" s="17" t="n"/>
      <c r="P749" s="17" t="n">
        <v>0</v>
      </c>
      <c r="Q749" s="17" t="n"/>
      <c r="R749" s="16" t="n">
        <v>300845.87</v>
      </c>
      <c r="S749" s="16" t="n">
        <v>958329.48</v>
      </c>
      <c r="T749" s="16" t="n">
        <v>0</v>
      </c>
      <c r="U749" s="17" t="n">
        <v>5109.6917299789</v>
      </c>
      <c r="V749" s="17" t="n">
        <v>1391.283020064</v>
      </c>
      <c r="W749" s="21" t="n">
        <v>2024</v>
      </c>
      <c r="X749" s="12" t="n">
        <v>680410.23</v>
      </c>
      <c r="Y749" s="3" t="n">
        <f aca="false" ca="false" dt2D="false" dtr="false" t="normal">+(K749*12.71+L749*25.41)*12*0.85</f>
        <v>180381.46140000003</v>
      </c>
      <c r="Z749" s="3" t="n">
        <f aca="false" ca="false" dt2D="false" dtr="false" t="normal">+(K749*12.71+L749*25.41)*12*30</f>
        <v>6366404.5200000005</v>
      </c>
      <c r="AB749" s="16" t="n">
        <f aca="false" ca="false" dt2D="false" dtr="false" t="normal">'Приложение №2'!E747</f>
        <v>1259175.35</v>
      </c>
      <c r="AC749" s="17" t="n"/>
      <c r="AD749" s="17" t="n"/>
      <c r="AE749" s="17" t="n">
        <v>1259175.35</v>
      </c>
      <c r="AF749" s="17" t="n"/>
      <c r="AG749" s="17" t="n">
        <v>0</v>
      </c>
      <c r="AH749" s="17" t="n"/>
      <c r="AI749" s="17" t="n"/>
      <c r="AJ749" s="17" t="n">
        <v>0</v>
      </c>
      <c r="AK749" s="17" t="n">
        <v>0</v>
      </c>
      <c r="AL749" s="17" t="n">
        <v>0</v>
      </c>
      <c r="AM749" s="17" t="n">
        <v>0</v>
      </c>
      <c r="AN749" s="17" t="n">
        <v>0</v>
      </c>
      <c r="AO749" s="17" t="n"/>
      <c r="AP749" s="17" t="n"/>
      <c r="AQ749" s="188" t="n"/>
      <c r="AR749" s="241" t="n">
        <f aca="false" ca="false" dt2D="false" dtr="false" t="normal">COUNTIF(AC749:AN749, "&gt;0")</f>
        <v>1</v>
      </c>
    </row>
    <row ht="15.75" outlineLevel="0" r="750">
      <c r="A750" s="240" t="n">
        <f aca="false" ca="false" dt2D="false" dtr="false" t="normal">A749+1</f>
        <v>725</v>
      </c>
      <c r="B750" s="138" t="n">
        <f aca="false" ca="false" dt2D="false" dtr="false" t="normal">+B749+1</f>
        <v>243</v>
      </c>
      <c r="C750" s="138" t="s">
        <v>93</v>
      </c>
      <c r="D750" s="138" t="s">
        <v>615</v>
      </c>
      <c r="E750" s="139" t="n">
        <v>1972</v>
      </c>
      <c r="F750" s="139" t="n">
        <v>1972</v>
      </c>
      <c r="G750" s="139" t="s">
        <v>4</v>
      </c>
      <c r="H750" s="139" t="n">
        <v>4</v>
      </c>
      <c r="I750" s="139" t="n">
        <v>2</v>
      </c>
      <c r="J750" s="17" t="n">
        <v>1419.91</v>
      </c>
      <c r="K750" s="17" t="n">
        <v>1089.91</v>
      </c>
      <c r="L750" s="17" t="n">
        <v>330</v>
      </c>
      <c r="M750" s="140" t="n">
        <v>53</v>
      </c>
      <c r="N750" s="16" t="n">
        <f aca="false" ca="false" dt2D="false" dtr="false" t="normal">P750+Q750+R750+S750+T750</f>
        <v>1521569.9</v>
      </c>
      <c r="O750" s="17" t="n"/>
      <c r="P750" s="17" t="n">
        <v>0</v>
      </c>
      <c r="Q750" s="17" t="n"/>
      <c r="R750" s="16" t="n">
        <v>985453.7</v>
      </c>
      <c r="S750" s="16" t="n">
        <v>0</v>
      </c>
      <c r="T750" s="16" t="n">
        <v>536116.2</v>
      </c>
      <c r="U750" s="17" t="n">
        <v>946.542189293688</v>
      </c>
      <c r="V750" s="17" t="n">
        <v>946.542189293688</v>
      </c>
      <c r="W750" s="21" t="n">
        <v>2024</v>
      </c>
      <c r="X750" s="1" t="n">
        <v>827110</v>
      </c>
      <c r="Y750" s="3" t="n">
        <f aca="false" ca="false" dt2D="false" dtr="false" t="normal">+(K750*12.71+L750*25.41)*12*0.85</f>
        <v>226828.17222</v>
      </c>
      <c r="Z750" s="3" t="n">
        <f aca="false" ca="false" dt2D="false" dtr="false" t="normal">+(K750*12.71+L750*25.41)*12*30</f>
        <v>8005700.196</v>
      </c>
      <c r="AA750" s="3" t="n">
        <f aca="false" ca="false" dt2D="false" dtr="false" t="normal">+N750-AB750</f>
        <v>0</v>
      </c>
      <c r="AB750" s="16" t="n">
        <f aca="false" ca="false" dt2D="false" dtr="false" t="normal">'Приложение №2'!E748</f>
        <v>1521569.9</v>
      </c>
      <c r="AC750" s="17" t="n"/>
      <c r="AD750" s="17" t="n"/>
      <c r="AE750" s="17" t="n">
        <v>985453.7</v>
      </c>
      <c r="AF750" s="17" t="n"/>
      <c r="AG750" s="17" t="n">
        <v>0</v>
      </c>
      <c r="AH750" s="17" t="n"/>
      <c r="AI750" s="17" t="n"/>
      <c r="AJ750" s="17" t="n"/>
      <c r="AK750" s="17" t="n"/>
      <c r="AL750" s="17" t="n">
        <v>0</v>
      </c>
      <c r="AM750" s="17" t="n">
        <v>0</v>
      </c>
      <c r="AN750" s="17" t="n">
        <v>0</v>
      </c>
      <c r="AO750" s="17" t="n"/>
      <c r="AP750" s="17" t="n"/>
      <c r="AQ750" s="188" t="n"/>
      <c r="AR750" s="241" t="n">
        <f aca="false" ca="false" dt2D="false" dtr="false" t="normal">COUNTIF(AC750:AN750, "&gt;0")</f>
        <v>1</v>
      </c>
    </row>
    <row ht="15.75" outlineLevel="0" r="751">
      <c r="A751" s="240" t="n">
        <f aca="false" ca="false" dt2D="false" dtr="false" t="normal">A750+1</f>
        <v>726</v>
      </c>
      <c r="B751" s="138" t="n">
        <f aca="false" ca="false" dt2D="false" dtr="false" t="normal">B750+1</f>
        <v>244</v>
      </c>
      <c r="C751" s="138" t="s">
        <v>93</v>
      </c>
      <c r="D751" s="138" t="s">
        <v>617</v>
      </c>
      <c r="E751" s="139" t="n">
        <v>1971</v>
      </c>
      <c r="F751" s="139" t="n">
        <v>2017</v>
      </c>
      <c r="G751" s="139" t="s">
        <v>4</v>
      </c>
      <c r="H751" s="139" t="n">
        <v>4</v>
      </c>
      <c r="I751" s="139" t="n">
        <v>3</v>
      </c>
      <c r="J751" s="17" t="n">
        <v>2241.3</v>
      </c>
      <c r="K751" s="17" t="n">
        <v>1923.5</v>
      </c>
      <c r="L751" s="17" t="n">
        <v>103.1</v>
      </c>
      <c r="M751" s="140" t="n">
        <v>95</v>
      </c>
      <c r="N751" s="16" t="n">
        <f aca="false" ca="false" dt2D="false" dtr="false" t="normal">P751+Q751+R751+S751+T751</f>
        <v>1525697.72</v>
      </c>
      <c r="O751" s="17" t="n"/>
      <c r="P751" s="17" t="n">
        <v>0</v>
      </c>
      <c r="Q751" s="17" t="n"/>
      <c r="R751" s="16" t="n">
        <v>768676.62</v>
      </c>
      <c r="S751" s="16" t="n">
        <v>757021.1</v>
      </c>
      <c r="T751" s="16" t="n">
        <v>0</v>
      </c>
      <c r="U751" s="17" t="n">
        <v>1534.68233494523</v>
      </c>
      <c r="V751" s="17" t="n">
        <v>1534.68233494523</v>
      </c>
      <c r="W751" s="21" t="n">
        <v>2024</v>
      </c>
      <c r="X751" s="1" t="n">
        <v>520397.68</v>
      </c>
      <c r="Y751" s="3" t="n">
        <f aca="false" ca="false" dt2D="false" dtr="false" t="normal">+(K751*12.71+L751*25.41)*12*0.85</f>
        <v>276088.0512</v>
      </c>
      <c r="Z751" s="3" t="n">
        <f aca="false" ca="false" dt2D="false" dtr="false" t="normal">+(K751*12.71+L751*25.41)*12*30</f>
        <v>9744284.16</v>
      </c>
      <c r="AB751" s="16" t="n">
        <f aca="false" ca="false" dt2D="false" dtr="false" t="normal">'Приложение №2'!E749</f>
        <v>1525697.72</v>
      </c>
      <c r="AC751" s="17" t="n">
        <v>0</v>
      </c>
      <c r="AD751" s="17" t="n">
        <v>0</v>
      </c>
      <c r="AE751" s="17" t="n">
        <v>1525697.72</v>
      </c>
      <c r="AF751" s="17" t="n">
        <v>0</v>
      </c>
      <c r="AG751" s="17" t="n">
        <v>0</v>
      </c>
      <c r="AH751" s="17" t="n"/>
      <c r="AI751" s="17" t="n"/>
      <c r="AJ751" s="17" t="n">
        <v>0</v>
      </c>
      <c r="AK751" s="17" t="n">
        <v>0</v>
      </c>
      <c r="AL751" s="17" t="n">
        <v>0</v>
      </c>
      <c r="AM751" s="17" t="n">
        <v>0</v>
      </c>
      <c r="AN751" s="17" t="n">
        <v>0</v>
      </c>
      <c r="AO751" s="17" t="n"/>
      <c r="AP751" s="17" t="n"/>
      <c r="AQ751" s="188" t="n"/>
      <c r="AR751" s="241" t="n">
        <f aca="false" ca="false" dt2D="false" dtr="false" t="normal">COUNTIF(AC751:AN751, "&gt;0")</f>
        <v>1</v>
      </c>
    </row>
    <row ht="15.75" outlineLevel="0" r="752">
      <c r="A752" s="240" t="n">
        <f aca="false" ca="false" dt2D="false" dtr="false" t="normal">A751+1</f>
        <v>727</v>
      </c>
      <c r="B752" s="138" t="s">
        <v>76</v>
      </c>
      <c r="C752" s="138" t="s">
        <v>93</v>
      </c>
      <c r="D752" s="138" t="s">
        <v>103</v>
      </c>
      <c r="E752" s="139" t="n">
        <v>1986</v>
      </c>
      <c r="F752" s="139" t="n">
        <v>2015</v>
      </c>
      <c r="G752" s="139" t="s">
        <v>4</v>
      </c>
      <c r="H752" s="139" t="n">
        <v>9</v>
      </c>
      <c r="I752" s="139" t="n">
        <v>1</v>
      </c>
      <c r="J752" s="17" t="n">
        <v>2147.3</v>
      </c>
      <c r="K752" s="17" t="n">
        <v>1765</v>
      </c>
      <c r="L752" s="17" t="n">
        <v>118.1</v>
      </c>
      <c r="M752" s="140" t="n">
        <v>71</v>
      </c>
      <c r="N752" s="16" t="n">
        <f aca="false" ca="false" dt2D="false" dtr="false" t="normal">P752+Q752+R752+S752+T752</f>
        <v>2363298.68331</v>
      </c>
      <c r="O752" s="17" t="n"/>
      <c r="P752" s="17" t="n">
        <v>0</v>
      </c>
      <c r="Q752" s="17" t="n"/>
      <c r="R752" s="16" t="n"/>
      <c r="S752" s="16" t="n">
        <v>2363298.68331</v>
      </c>
      <c r="T752" s="16" t="n"/>
      <c r="U752" s="17" t="n">
        <v>10650.4915964548</v>
      </c>
      <c r="V752" s="17" t="n">
        <v>10650.4915964548</v>
      </c>
      <c r="W752" s="21" t="n">
        <v>2024</v>
      </c>
      <c r="Y752" s="3" t="n">
        <f aca="false" ca="false" dt2D="false" dtr="false" t="normal">+(K752*16.89+L752*28.62)*12*0.85</f>
        <v>338546.89440000005</v>
      </c>
      <c r="Z752" s="3" t="n">
        <f aca="false" ca="false" dt2D="false" dtr="false" t="normal">+(K752*16.89+L752*28.62)*12*30-'[1]Лист1'!$AQ$95</f>
        <v>10214710.230000002</v>
      </c>
      <c r="AA752" s="3" t="n">
        <f aca="false" ca="false" dt2D="false" dtr="false" t="normal">+N752-AB752</f>
        <v>0</v>
      </c>
      <c r="AB752" s="16" t="n">
        <f aca="false" ca="false" dt2D="false" dtr="false" t="normal">'Приложение №2'!E750</f>
        <v>2363298.68331</v>
      </c>
      <c r="AC752" s="17" t="n"/>
      <c r="AD752" s="17" t="n"/>
      <c r="AE752" s="17" t="n">
        <v>589782.92331</v>
      </c>
      <c r="AF752" s="17" t="n">
        <v>1773515.76</v>
      </c>
      <c r="AG752" s="17" t="n">
        <v>0</v>
      </c>
      <c r="AH752" s="17" t="n"/>
      <c r="AI752" s="17" t="n"/>
      <c r="AJ752" s="17" t="n">
        <v>0</v>
      </c>
      <c r="AK752" s="17" t="n"/>
      <c r="AL752" s="17" t="n">
        <v>0</v>
      </c>
      <c r="AM752" s="17" t="n">
        <v>0</v>
      </c>
      <c r="AN752" s="17" t="n"/>
      <c r="AO752" s="17" t="n"/>
      <c r="AP752" s="17" t="n"/>
      <c r="AQ752" s="188" t="n"/>
      <c r="AR752" s="241" t="n">
        <f aca="false" ca="false" dt2D="false" dtr="false" t="normal">COUNTIF(AC752:AN752, "&gt;0")</f>
        <v>2</v>
      </c>
    </row>
    <row ht="15.75" outlineLevel="0" r="753">
      <c r="A753" s="240" t="n">
        <f aca="false" ca="false" dt2D="false" dtr="false" t="normal">A752+1</f>
        <v>728</v>
      </c>
      <c r="B753" s="138" t="n">
        <f aca="false" ca="false" dt2D="false" dtr="false" t="normal">B751+1</f>
        <v>245</v>
      </c>
      <c r="C753" s="138" t="s">
        <v>114</v>
      </c>
      <c r="D753" s="138" t="s">
        <v>393</v>
      </c>
      <c r="E753" s="139" t="n">
        <v>1985</v>
      </c>
      <c r="F753" s="139" t="n">
        <v>1985</v>
      </c>
      <c r="G753" s="139" t="s">
        <v>4</v>
      </c>
      <c r="H753" s="139" t="n">
        <v>5</v>
      </c>
      <c r="I753" s="139" t="n">
        <v>4</v>
      </c>
      <c r="J753" s="17" t="n">
        <v>4957.5</v>
      </c>
      <c r="K753" s="17" t="n">
        <v>4305.4</v>
      </c>
      <c r="L753" s="17" t="n">
        <v>651.2</v>
      </c>
      <c r="M753" s="140" t="n">
        <v>166</v>
      </c>
      <c r="N753" s="16" t="n">
        <f aca="false" ca="false" dt2D="false" dtr="false" t="normal">P753+Q753+R753+S753+T753</f>
        <v>16592400.52</v>
      </c>
      <c r="O753" s="17" t="n"/>
      <c r="P753" s="17" t="n">
        <v>0</v>
      </c>
      <c r="Q753" s="17" t="n"/>
      <c r="R753" s="16" t="n">
        <v>2394987.8</v>
      </c>
      <c r="S753" s="16" t="n">
        <v>11599011.4</v>
      </c>
      <c r="T753" s="16" t="n">
        <v>2598401.32</v>
      </c>
      <c r="U753" s="17" t="n">
        <v>3984.03290454485</v>
      </c>
      <c r="V753" s="17" t="n">
        <v>3984.03290454485</v>
      </c>
      <c r="W753" s="21" t="n">
        <v>2024</v>
      </c>
      <c r="Y753" s="3" t="n">
        <f aca="false" ca="false" dt2D="false" dtr="false" t="normal">+(K753*12.71+L753*25.41)*12*0.85</f>
        <v>726939.9852000001</v>
      </c>
      <c r="Z753" s="3" t="n">
        <f aca="false" ca="false" dt2D="false" dtr="false" t="normal">+(K753*12.71+L753*25.41)*12*30-'[1]Лист1'!$AQ$112</f>
        <v>13938484.360000003</v>
      </c>
      <c r="AA753" s="3" t="n">
        <f aca="false" ca="false" dt2D="false" dtr="false" t="normal">+N753-AB753</f>
        <v>0</v>
      </c>
      <c r="AB753" s="16" t="n">
        <f aca="false" ca="false" dt2D="false" dtr="false" t="normal">'Приложение №2'!E751</f>
        <v>16592400.52</v>
      </c>
      <c r="AC753" s="17" t="n">
        <v>11804046.44</v>
      </c>
      <c r="AD753" s="17" t="n">
        <v>4788354.08</v>
      </c>
      <c r="AE753" s="17" t="n">
        <v>0</v>
      </c>
      <c r="AF753" s="17" t="n">
        <v>0</v>
      </c>
      <c r="AG753" s="17" t="n">
        <v>0</v>
      </c>
      <c r="AH753" s="17" t="n"/>
      <c r="AI753" s="17" t="n"/>
      <c r="AJ753" s="17" t="n">
        <v>0</v>
      </c>
      <c r="AK753" s="17" t="n"/>
      <c r="AL753" s="17" t="n">
        <v>0</v>
      </c>
      <c r="AM753" s="17" t="n">
        <v>0</v>
      </c>
      <c r="AN753" s="17" t="n">
        <v>0</v>
      </c>
      <c r="AO753" s="17" t="n"/>
      <c r="AP753" s="17" t="n"/>
      <c r="AQ753" s="188" t="n"/>
      <c r="AR753" s="241" t="n">
        <f aca="false" ca="false" dt2D="false" dtr="false" t="normal">COUNTIF(AC753:AN753, "&gt;0")</f>
        <v>2</v>
      </c>
    </row>
    <row ht="15.75" outlineLevel="0" r="754">
      <c r="A754" s="240" t="n">
        <f aca="false" ca="false" dt2D="false" dtr="false" t="normal">A753+1</f>
        <v>729</v>
      </c>
      <c r="B754" s="138" t="s">
        <v>76</v>
      </c>
      <c r="C754" s="138" t="s">
        <v>114</v>
      </c>
      <c r="D754" s="138" t="s">
        <v>395</v>
      </c>
      <c r="E754" s="139" t="n">
        <v>1988</v>
      </c>
      <c r="F754" s="139" t="n">
        <v>1988</v>
      </c>
      <c r="G754" s="139" t="s">
        <v>4</v>
      </c>
      <c r="H754" s="139" t="n">
        <v>5</v>
      </c>
      <c r="I754" s="139" t="n">
        <v>4</v>
      </c>
      <c r="J754" s="17" t="n">
        <v>5038.4</v>
      </c>
      <c r="K754" s="17" t="n">
        <v>3442.8</v>
      </c>
      <c r="L754" s="17" t="n">
        <v>1586</v>
      </c>
      <c r="M754" s="140" t="n">
        <v>156</v>
      </c>
      <c r="N754" s="16" t="n">
        <f aca="false" ca="false" dt2D="false" dtr="false" t="normal">P754+Q754+R754+S754+T754</f>
        <v>3470786.32</v>
      </c>
      <c r="O754" s="17" t="n"/>
      <c r="P754" s="17" t="n">
        <v>0</v>
      </c>
      <c r="Q754" s="17" t="n"/>
      <c r="R754" s="16" t="n">
        <v>156448.04</v>
      </c>
      <c r="S754" s="16" t="n">
        <v>3314338.28</v>
      </c>
      <c r="T754" s="16" t="n"/>
      <c r="U754" s="17" t="n">
        <v>4863.63803265193</v>
      </c>
      <c r="V754" s="17" t="n">
        <v>4863.63803265193</v>
      </c>
      <c r="W754" s="21" t="n">
        <v>2024</v>
      </c>
      <c r="X754" s="12" t="n"/>
      <c r="Y754" s="3" t="n">
        <f aca="false" ca="false" dt2D="false" dtr="false" t="normal">+(K754*12.71+L754*25.41)*12*0.85</f>
        <v>857394.1296</v>
      </c>
      <c r="Z754" s="3" t="n">
        <f aca="false" ca="false" dt2D="false" dtr="false" t="normal">+(K754*12.71+L754*25.41)*12*30-'[1]Лист1'!$AQ$113</f>
        <v>18343165.98</v>
      </c>
      <c r="AB754" s="16" t="n">
        <f aca="false" ca="false" dt2D="false" dtr="false" t="normal">'Приложение №2'!E752</f>
        <v>3470786.32</v>
      </c>
      <c r="AC754" s="17" t="n"/>
      <c r="AD754" s="17" t="n"/>
      <c r="AE754" s="17" t="n">
        <v>3470786.32</v>
      </c>
      <c r="AF754" s="17" t="n">
        <v>0</v>
      </c>
      <c r="AG754" s="17" t="n">
        <v>0</v>
      </c>
      <c r="AH754" s="17" t="n"/>
      <c r="AI754" s="17" t="n"/>
      <c r="AJ754" s="17" t="n">
        <v>0</v>
      </c>
      <c r="AK754" s="17" t="n"/>
      <c r="AL754" s="17" t="n">
        <v>0</v>
      </c>
      <c r="AM754" s="17" t="n">
        <v>0</v>
      </c>
      <c r="AN754" s="17" t="n">
        <v>0</v>
      </c>
      <c r="AO754" s="17" t="n"/>
      <c r="AP754" s="17" t="n"/>
      <c r="AQ754" s="188" t="n"/>
      <c r="AR754" s="241" t="n">
        <f aca="false" ca="false" dt2D="false" dtr="false" t="normal">COUNTIF(AC754:AN754, "&gt;0")</f>
        <v>1</v>
      </c>
    </row>
    <row ht="15.75" outlineLevel="0" r="755">
      <c r="A755" s="240" t="n">
        <f aca="false" ca="false" dt2D="false" dtr="false" t="normal">A754+1</f>
        <v>730</v>
      </c>
      <c r="B755" s="138" t="s">
        <v>76</v>
      </c>
      <c r="C755" s="138" t="s">
        <v>97</v>
      </c>
      <c r="D755" s="138" t="s">
        <v>100</v>
      </c>
      <c r="E755" s="139" t="n">
        <v>1990</v>
      </c>
      <c r="F755" s="139" t="n">
        <v>1990</v>
      </c>
      <c r="G755" s="139" t="s">
        <v>4</v>
      </c>
      <c r="H755" s="139" t="n">
        <v>5</v>
      </c>
      <c r="I755" s="139" t="n">
        <v>6</v>
      </c>
      <c r="J755" s="17" t="n">
        <v>5208.7</v>
      </c>
      <c r="K755" s="17" t="n">
        <v>4621.34</v>
      </c>
      <c r="L755" s="17" t="n">
        <v>0</v>
      </c>
      <c r="M755" s="140" t="n">
        <v>183</v>
      </c>
      <c r="N755" s="16" t="n">
        <f aca="false" ca="false" dt2D="false" dtr="false" t="normal">P755+Q755+R755+S755+T755</f>
        <v>5957209.19</v>
      </c>
      <c r="O755" s="17" t="n"/>
      <c r="P755" s="17" t="n">
        <v>0</v>
      </c>
      <c r="Q755" s="17" t="n"/>
      <c r="R755" s="16" t="n">
        <v>181480.03</v>
      </c>
      <c r="S755" s="16" t="n"/>
      <c r="T755" s="16" t="n">
        <v>5775729.16</v>
      </c>
      <c r="U755" s="17" t="n">
        <v>7126.22820861775</v>
      </c>
      <c r="V755" s="17" t="n">
        <v>1181.283020064</v>
      </c>
      <c r="W755" s="21" t="n">
        <v>2024</v>
      </c>
      <c r="X755" s="12" t="n"/>
      <c r="Y755" s="3" t="n">
        <f aca="false" ca="false" dt2D="false" dtr="false" t="normal">+(K755*12.71+L755*25.41)*12*0.85</f>
        <v>599119.76028</v>
      </c>
      <c r="Z755" s="3" t="n">
        <f aca="false" ca="false" dt2D="false" dtr="false" t="normal">+(K755*12.71+L755*25.41)*12*30-'[1]Лист1'!$AQ$220</f>
        <v>18554580.394000005</v>
      </c>
      <c r="AA755" s="3" t="n">
        <f aca="false" ca="false" dt2D="false" dtr="false" t="normal">+N755-AB755</f>
        <v>0</v>
      </c>
      <c r="AB755" s="16" t="n">
        <f aca="false" ca="false" dt2D="false" dtr="false" t="normal">'Приложение №2'!E753</f>
        <v>5957209.19</v>
      </c>
      <c r="AC755" s="17" t="n"/>
      <c r="AD755" s="17" t="n">
        <v>5957209.19</v>
      </c>
      <c r="AE755" s="17" t="n"/>
      <c r="AF755" s="17" t="n"/>
      <c r="AG755" s="17" t="n">
        <v>0</v>
      </c>
      <c r="AH755" s="17" t="n"/>
      <c r="AI755" s="17" t="n"/>
      <c r="AJ755" s="17" t="n">
        <v>0</v>
      </c>
      <c r="AK755" s="17" t="n">
        <v>0</v>
      </c>
      <c r="AL755" s="17" t="n">
        <v>0</v>
      </c>
      <c r="AM755" s="17" t="n">
        <v>0</v>
      </c>
      <c r="AN755" s="17" t="n"/>
      <c r="AO755" s="17" t="n"/>
      <c r="AP755" s="17" t="n"/>
      <c r="AQ755" s="188" t="n"/>
      <c r="AR755" s="241" t="n">
        <f aca="false" ca="false" dt2D="false" dtr="false" t="normal">COUNTIF(AC755:AN755, "&gt;0")</f>
        <v>1</v>
      </c>
    </row>
    <row ht="15.75" outlineLevel="0" r="756">
      <c r="A756" s="240" t="n">
        <f aca="false" ca="false" dt2D="false" dtr="false" t="normal">A755+1</f>
        <v>731</v>
      </c>
      <c r="B756" s="138" t="n">
        <f aca="false" ca="false" dt2D="false" dtr="false" t="normal">B753+1</f>
        <v>246</v>
      </c>
      <c r="C756" s="138" t="s">
        <v>104</v>
      </c>
      <c r="D756" s="138" t="s">
        <v>621</v>
      </c>
      <c r="E756" s="139" t="n">
        <v>1980</v>
      </c>
      <c r="F756" s="139" t="n">
        <v>2012</v>
      </c>
      <c r="G756" s="139" t="s">
        <v>4</v>
      </c>
      <c r="H756" s="139" t="n">
        <v>4</v>
      </c>
      <c r="I756" s="139" t="n">
        <v>3</v>
      </c>
      <c r="J756" s="17" t="n">
        <v>5123.6</v>
      </c>
      <c r="K756" s="17" t="n">
        <v>3336.1</v>
      </c>
      <c r="L756" s="17" t="n">
        <v>937.6</v>
      </c>
      <c r="M756" s="140" t="n">
        <v>153</v>
      </c>
      <c r="N756" s="16" t="n">
        <f aca="false" ca="false" dt2D="false" dtr="false" t="normal">P756+Q756+R756+S756+T756</f>
        <v>9403121.04</v>
      </c>
      <c r="O756" s="17" t="n"/>
      <c r="P756" s="17" t="n">
        <v>0</v>
      </c>
      <c r="Q756" s="17" t="n"/>
      <c r="R756" s="16" t="n">
        <v>3287784.44</v>
      </c>
      <c r="T756" s="16" t="n">
        <v>6115336.6</v>
      </c>
      <c r="U756" s="17" t="n">
        <v>2880.07018562525</v>
      </c>
      <c r="V756" s="17" t="n">
        <v>1221.283020064</v>
      </c>
      <c r="W756" s="21" t="n">
        <v>2024</v>
      </c>
      <c r="X756" s="103" t="n">
        <v>2673841.19</v>
      </c>
      <c r="Y756" s="3" t="n">
        <f aca="false" ca="false" dt2D="false" dtr="false" t="normal">+(K756*12.71+L756*25.41)*12*0.85</f>
        <v>675507.7194000001</v>
      </c>
      <c r="Z756" s="3" t="n">
        <f aca="false" ca="false" dt2D="false" dtr="false" t="normal">+(K756*12.71+L756*25.41)*12*30</f>
        <v>23841448.92</v>
      </c>
      <c r="AB756" s="16" t="n">
        <f aca="false" ca="false" dt2D="false" dtr="false" t="normal">'Приложение №2'!E754</f>
        <v>9403121.04</v>
      </c>
      <c r="AC756" s="17" t="n">
        <v>0</v>
      </c>
      <c r="AD756" s="17" t="n">
        <v>0</v>
      </c>
      <c r="AE756" s="17" t="n">
        <v>0</v>
      </c>
      <c r="AF756" s="17" t="n">
        <v>0</v>
      </c>
      <c r="AG756" s="17" t="n">
        <v>0</v>
      </c>
      <c r="AH756" s="17" t="n"/>
      <c r="AI756" s="17" t="n"/>
      <c r="AJ756" s="17" t="n">
        <v>0</v>
      </c>
      <c r="AK756" s="17" t="n">
        <v>0</v>
      </c>
      <c r="AL756" s="17" t="n">
        <v>0</v>
      </c>
      <c r="AM756" s="17" t="n">
        <v>9403121.04</v>
      </c>
      <c r="AN756" s="17" t="n">
        <v>0</v>
      </c>
      <c r="AO756" s="17" t="n"/>
      <c r="AP756" s="17" t="n"/>
      <c r="AQ756" s="188" t="n"/>
      <c r="AR756" s="241" t="n">
        <f aca="false" ca="false" dt2D="false" dtr="false" t="normal">COUNTIF(AC756:AN756, "&gt;0")</f>
        <v>1</v>
      </c>
    </row>
    <row ht="15.75" outlineLevel="0" r="757">
      <c r="A757" s="240" t="n">
        <f aca="false" ca="false" dt2D="false" dtr="false" t="normal">A756+1</f>
        <v>732</v>
      </c>
      <c r="B757" s="138" t="n">
        <f aca="false" ca="false" dt2D="false" dtr="false" t="normal">B756+1</f>
        <v>247</v>
      </c>
      <c r="C757" s="138" t="s">
        <v>177</v>
      </c>
      <c r="D757" s="138" t="s">
        <v>528</v>
      </c>
      <c r="E757" s="139" t="n">
        <v>1974</v>
      </c>
      <c r="F757" s="139" t="n">
        <v>2012</v>
      </c>
      <c r="G757" s="139" t="s">
        <v>4</v>
      </c>
      <c r="H757" s="139" t="n">
        <v>4</v>
      </c>
      <c r="I757" s="139" t="n">
        <v>4</v>
      </c>
      <c r="J757" s="17" t="n">
        <v>3917</v>
      </c>
      <c r="K757" s="17" t="n">
        <v>3431.9</v>
      </c>
      <c r="L757" s="17" t="n">
        <v>0</v>
      </c>
      <c r="M757" s="140" t="n">
        <v>163</v>
      </c>
      <c r="N757" s="16" t="n">
        <f aca="false" ca="false" dt2D="false" dtr="false" t="normal">P757+Q757+R757+S757+T757</f>
        <v>1683109.2000000002</v>
      </c>
      <c r="O757" s="17" t="n"/>
      <c r="P757" s="17" t="n">
        <v>0</v>
      </c>
      <c r="Q757" s="17" t="n"/>
      <c r="R757" s="16" t="n">
        <v>404312.14</v>
      </c>
      <c r="S757" s="242" t="n">
        <v>1278797.06</v>
      </c>
      <c r="T757" s="16" t="n"/>
      <c r="U757" s="17" t="n">
        <v>1224.82451707789</v>
      </c>
      <c r="V757" s="17" t="n">
        <v>1275.283020064</v>
      </c>
      <c r="W757" s="21" t="n">
        <v>2024</v>
      </c>
      <c r="X757" s="103" t="n"/>
      <c r="Y757" s="3" t="n">
        <f aca="false" ca="false" dt2D="false" dtr="false" t="normal">+(K757*12.98+L757*25.97)*12*0.85</f>
        <v>454369.8324</v>
      </c>
      <c r="Z757" s="3" t="n">
        <f aca="false" ca="false" dt2D="false" dtr="false" t="normal">+(K757*12.98+L757*25.97)*12*30-'[1]Лист1'!$AQ$271</f>
        <v>8794930.740000002</v>
      </c>
      <c r="AB757" s="16" t="n">
        <f aca="false" ca="false" dt2D="false" dtr="false" t="normal">'Приложение №2'!E755</f>
        <v>1683109.2</v>
      </c>
      <c r="AC757" s="17" t="n"/>
      <c r="AD757" s="17" t="n"/>
      <c r="AE757" s="17" t="n"/>
      <c r="AF757" s="17" t="n"/>
      <c r="AG757" s="17" t="n">
        <v>1683109.2</v>
      </c>
      <c r="AH757" s="17" t="n"/>
      <c r="AI757" s="17" t="n"/>
      <c r="AJ757" s="17" t="n">
        <v>0</v>
      </c>
      <c r="AK757" s="17" t="n">
        <v>0</v>
      </c>
      <c r="AL757" s="17" t="n">
        <v>0</v>
      </c>
      <c r="AM757" s="17" t="n">
        <v>0</v>
      </c>
      <c r="AN757" s="17" t="n">
        <v>0</v>
      </c>
      <c r="AO757" s="17" t="n"/>
      <c r="AP757" s="17" t="n"/>
      <c r="AQ757" s="188" t="n"/>
      <c r="AR757" s="241" t="n">
        <f aca="false" ca="false" dt2D="false" dtr="false" t="normal">COUNTIF(AC757:AN757, "&gt;0")</f>
        <v>1</v>
      </c>
    </row>
    <row customFormat="true" ht="15.75" outlineLevel="0" r="758" s="184">
      <c r="A758" s="240" t="n">
        <f aca="false" ca="false" dt2D="false" dtr="false" t="normal">A757+1</f>
        <v>733</v>
      </c>
      <c r="B758" s="138" t="s">
        <v>76</v>
      </c>
      <c r="C758" s="138" t="s">
        <v>177</v>
      </c>
      <c r="D758" s="138" t="s">
        <v>342</v>
      </c>
      <c r="E758" s="139" t="s">
        <v>343</v>
      </c>
      <c r="F758" s="139" t="n"/>
      <c r="G758" s="139" t="s">
        <v>4</v>
      </c>
      <c r="H758" s="139" t="s">
        <v>159</v>
      </c>
      <c r="I758" s="139" t="s">
        <v>159</v>
      </c>
      <c r="J758" s="17" t="n">
        <v>3131.3</v>
      </c>
      <c r="K758" s="17" t="n">
        <v>2721.1</v>
      </c>
      <c r="L758" s="17" t="n">
        <v>64.9</v>
      </c>
      <c r="M758" s="140" t="n">
        <v>113</v>
      </c>
      <c r="N758" s="16" t="n">
        <f aca="false" ca="false" dt2D="false" dtr="false" t="normal">P758+Q758+R758+S758+T758</f>
        <v>1315142.4</v>
      </c>
      <c r="O758" s="17" t="n">
        <v>0</v>
      </c>
      <c r="P758" s="17" t="n">
        <v>0</v>
      </c>
      <c r="Q758" s="17" t="n"/>
      <c r="R758" s="16" t="n">
        <v>43277.66</v>
      </c>
      <c r="S758" s="16" t="n">
        <v>1271864.74</v>
      </c>
      <c r="T758" s="16" t="n"/>
      <c r="U758" s="17" t="n">
        <v>13452.1822694802</v>
      </c>
      <c r="V758" s="17" t="n">
        <v>1276.283020064</v>
      </c>
      <c r="W758" s="21" t="n">
        <v>2024</v>
      </c>
      <c r="X758" s="103" t="n">
        <v>961493.23</v>
      </c>
      <c r="Y758" s="3" t="n">
        <f aca="false" ca="false" dt2D="false" dtr="false" t="normal">+(K758*12.98+L758*25.97)*12*0.85</f>
        <v>377454.37619999994</v>
      </c>
      <c r="Z758" s="3" t="n">
        <f aca="false" ca="false" dt2D="false" dtr="false" t="normal">+(K758*12.98+L758*25.97)*12*30</f>
        <v>13321919.159999998</v>
      </c>
      <c r="AA758" s="3" t="n">
        <f aca="false" ca="false" dt2D="false" dtr="false" t="normal">+N758-AB758</f>
        <v>0</v>
      </c>
      <c r="AB758" s="16" t="n">
        <f aca="false" ca="false" dt2D="false" dtr="false" t="normal">'Приложение №2'!E756</f>
        <v>1315142.4</v>
      </c>
      <c r="AC758" s="17" t="n"/>
      <c r="AD758" s="17" t="n"/>
      <c r="AE758" s="17" t="n"/>
      <c r="AF758" s="17" t="n"/>
      <c r="AG758" s="17" t="n">
        <v>1315142.4</v>
      </c>
      <c r="AH758" s="17" t="n"/>
      <c r="AI758" s="17" t="n"/>
      <c r="AJ758" s="17" t="n"/>
      <c r="AK758" s="17" t="n"/>
      <c r="AL758" s="17" t="n"/>
      <c r="AM758" s="17" t="n"/>
      <c r="AN758" s="17" t="n"/>
      <c r="AO758" s="17" t="n"/>
      <c r="AP758" s="17" t="n"/>
      <c r="AQ758" s="188" t="n"/>
      <c r="AR758" s="241" t="n">
        <f aca="false" ca="false" dt2D="false" dtr="false" t="normal">COUNTIF(AC758:AN758, "&gt;0")</f>
        <v>1</v>
      </c>
      <c r="AT758" s="187" t="n"/>
    </row>
    <row customFormat="true" ht="15.75" outlineLevel="0" r="759" s="184">
      <c r="A759" s="240" t="n">
        <f aca="false" ca="false" dt2D="false" dtr="false" t="normal">A758+1</f>
        <v>734</v>
      </c>
      <c r="B759" s="138" t="n">
        <f aca="false" ca="false" dt2D="false" dtr="false" t="normal">B757+1</f>
        <v>248</v>
      </c>
      <c r="C759" s="138" t="s">
        <v>309</v>
      </c>
      <c r="D759" s="138" t="s">
        <v>590</v>
      </c>
      <c r="E759" s="139" t="s">
        <v>353</v>
      </c>
      <c r="F759" s="139" t="n"/>
      <c r="G759" s="139" t="s">
        <v>4</v>
      </c>
      <c r="H759" s="139" t="s">
        <v>159</v>
      </c>
      <c r="I759" s="139" t="s">
        <v>151</v>
      </c>
      <c r="J759" s="17" t="n">
        <v>3411.7</v>
      </c>
      <c r="K759" s="17" t="n">
        <v>2190.7</v>
      </c>
      <c r="L759" s="17" t="n">
        <v>1221</v>
      </c>
      <c r="M759" s="140" t="n">
        <v>86</v>
      </c>
      <c r="N759" s="16" t="n">
        <f aca="false" ca="false" dt2D="false" dtr="false" t="normal">P759+Q759+R759+S759+T759</f>
        <v>986268</v>
      </c>
      <c r="O759" s="17" t="n">
        <v>0</v>
      </c>
      <c r="P759" s="17" t="n">
        <v>0</v>
      </c>
      <c r="Q759" s="17" t="n"/>
      <c r="R759" s="16" t="n">
        <v>545778.39</v>
      </c>
      <c r="S759" s="16" t="n">
        <v>440489.61</v>
      </c>
      <c r="T759" s="16" t="n"/>
      <c r="U759" s="17" t="n">
        <v>3056.50545620963</v>
      </c>
      <c r="V759" s="17" t="n">
        <v>1322.283020064</v>
      </c>
      <c r="W759" s="21" t="n">
        <v>2024</v>
      </c>
      <c r="X759" s="103" t="n"/>
      <c r="Y759" s="3" t="n">
        <f aca="false" ca="false" dt2D="false" dtr="false" t="normal">+(K759*12.98+L759*25.97)*12*0.85</f>
        <v>613475.4911999999</v>
      </c>
      <c r="Z759" s="3" t="n">
        <f aca="false" ca="false" dt2D="false" dtr="false" t="normal">+(K759*12.98+L759*25.97)*12*30-'[1]Лист1'!$AQ$325</f>
        <v>16587838.82</v>
      </c>
      <c r="AA759" s="3" t="n">
        <f aca="false" ca="false" dt2D="false" dtr="false" t="normal">+N759-AB759</f>
        <v>0</v>
      </c>
      <c r="AB759" s="16" t="n">
        <f aca="false" ca="false" dt2D="false" dtr="false" t="normal">'Приложение №2'!E757</f>
        <v>986268</v>
      </c>
      <c r="AC759" s="17" t="n"/>
      <c r="AD759" s="17" t="n"/>
      <c r="AE759" s="17" t="n"/>
      <c r="AF759" s="17" t="n"/>
      <c r="AG759" s="17" t="n">
        <v>986268</v>
      </c>
      <c r="AH759" s="17" t="n"/>
      <c r="AI759" s="17" t="n"/>
      <c r="AJ759" s="17" t="n">
        <v>0</v>
      </c>
      <c r="AK759" s="17" t="n">
        <v>0</v>
      </c>
      <c r="AL759" s="17" t="n">
        <v>0</v>
      </c>
      <c r="AM759" s="17" t="n"/>
      <c r="AN759" s="17" t="n"/>
      <c r="AO759" s="17" t="n"/>
      <c r="AP759" s="17" t="n"/>
      <c r="AQ759" s="188" t="n"/>
      <c r="AR759" s="241" t="n">
        <f aca="false" ca="false" dt2D="false" dtr="false" t="normal">COUNTIF(AC759:AN759, "&gt;0")</f>
        <v>1</v>
      </c>
      <c r="AT759" s="187" t="n"/>
    </row>
    <row customFormat="true" ht="15.75" outlineLevel="0" r="760" s="184">
      <c r="A760" s="240" t="n">
        <f aca="false" ca="false" dt2D="false" dtr="false" t="normal">A759+1</f>
        <v>735</v>
      </c>
      <c r="B760" s="138" t="s">
        <v>76</v>
      </c>
      <c r="C760" s="138" t="s">
        <v>309</v>
      </c>
      <c r="D760" s="138" t="s">
        <v>416</v>
      </c>
      <c r="E760" s="139" t="s">
        <v>28</v>
      </c>
      <c r="F760" s="139" t="n"/>
      <c r="G760" s="139" t="s">
        <v>4</v>
      </c>
      <c r="H760" s="139" t="s">
        <v>159</v>
      </c>
      <c r="I760" s="139" t="s">
        <v>212</v>
      </c>
      <c r="J760" s="17" t="n">
        <v>5051.19</v>
      </c>
      <c r="K760" s="17" t="n">
        <v>4630.8</v>
      </c>
      <c r="L760" s="17" t="n">
        <v>0</v>
      </c>
      <c r="M760" s="140" t="n">
        <v>233</v>
      </c>
      <c r="N760" s="16" t="n">
        <f aca="false" ca="false" dt2D="false" dtr="false" t="normal">P760+Q760+R760+S760+T760</f>
        <v>2311917.12</v>
      </c>
      <c r="O760" s="17" t="n">
        <v>0</v>
      </c>
      <c r="P760" s="17" t="n">
        <v>0</v>
      </c>
      <c r="Q760" s="17" t="n"/>
      <c r="R760" s="16" t="n"/>
      <c r="S760" s="17" t="n">
        <v>2311917.12</v>
      </c>
      <c r="T760" s="16" t="n"/>
      <c r="U760" s="17" t="n">
        <v>13629.8191357263</v>
      </c>
      <c r="V760" s="17" t="n">
        <v>1323.283020064</v>
      </c>
      <c r="W760" s="21" t="n">
        <v>2024</v>
      </c>
      <c r="X760" s="103" t="n"/>
      <c r="Y760" s="3" t="n">
        <f aca="false" ca="false" dt2D="false" dtr="false" t="normal">+(K760*12.98+L760*25.97)*12*0.85</f>
        <v>613099.3968</v>
      </c>
      <c r="Z760" s="3" t="n">
        <f aca="false" ca="false" dt2D="false" dtr="false" t="normal">+(K760*12.98+L760*25.97)*12*30-'[1]Лист1'!$AQ$326</f>
        <v>14342132.430000003</v>
      </c>
      <c r="AA760" s="3" t="n">
        <f aca="false" ca="false" dt2D="false" dtr="false" t="normal">+N760-AB760</f>
        <v>0</v>
      </c>
      <c r="AB760" s="16" t="n">
        <f aca="false" ca="false" dt2D="false" dtr="false" t="normal">'Приложение №2'!E758</f>
        <v>2311917.12</v>
      </c>
      <c r="AC760" s="17" t="n"/>
      <c r="AD760" s="17" t="n"/>
      <c r="AE760" s="17" t="n"/>
      <c r="AF760" s="17" t="n"/>
      <c r="AG760" s="17" t="n">
        <v>2311917.12</v>
      </c>
      <c r="AH760" s="17" t="n"/>
      <c r="AI760" s="17" t="n"/>
      <c r="AJ760" s="17" t="n"/>
      <c r="AK760" s="17" t="n"/>
      <c r="AL760" s="17" t="n"/>
      <c r="AM760" s="17" t="n"/>
      <c r="AN760" s="17" t="n"/>
      <c r="AO760" s="17" t="n"/>
      <c r="AP760" s="17" t="n"/>
      <c r="AQ760" s="188" t="n"/>
      <c r="AR760" s="241" t="n">
        <f aca="false" ca="false" dt2D="false" dtr="false" t="normal">COUNTIF(AC760:AN760, "&gt;0")</f>
        <v>1</v>
      </c>
      <c r="AT760" s="187" t="n"/>
    </row>
    <row ht="15.75" outlineLevel="0" r="761">
      <c r="A761" s="240" t="n">
        <f aca="false" ca="false" dt2D="false" dtr="false" t="normal">A760+1</f>
        <v>736</v>
      </c>
      <c r="B761" s="138" t="s">
        <v>76</v>
      </c>
      <c r="C761" s="138" t="s">
        <v>177</v>
      </c>
      <c r="D761" s="138" t="s">
        <v>303</v>
      </c>
      <c r="E761" s="139" t="n">
        <v>1966</v>
      </c>
      <c r="F761" s="139" t="n">
        <v>2013</v>
      </c>
      <c r="G761" s="139" t="s">
        <v>4</v>
      </c>
      <c r="H761" s="139" t="n">
        <v>4</v>
      </c>
      <c r="I761" s="139" t="n">
        <v>6</v>
      </c>
      <c r="J761" s="17" t="n">
        <v>2829.5</v>
      </c>
      <c r="K761" s="17" t="n">
        <v>2537.8</v>
      </c>
      <c r="L761" s="17" t="n">
        <v>230.6</v>
      </c>
      <c r="M761" s="140" t="n">
        <v>144</v>
      </c>
      <c r="N761" s="16" t="n">
        <f aca="false" ca="false" dt2D="false" dtr="false" t="normal">P761+Q761+R761+S761+T761</f>
        <v>1202952.82</v>
      </c>
      <c r="O761" s="17" t="n"/>
      <c r="P761" s="17" t="n">
        <v>0</v>
      </c>
      <c r="Q761" s="17" t="n"/>
      <c r="R761" s="16" t="n"/>
      <c r="S761" s="16" t="n">
        <v>0</v>
      </c>
      <c r="T761" s="16" t="n">
        <v>1202952.82</v>
      </c>
      <c r="U761" s="17" t="n">
        <v>10013.2315696325</v>
      </c>
      <c r="V761" s="17" t="n">
        <v>1324.283020064</v>
      </c>
      <c r="W761" s="21" t="n">
        <v>2024</v>
      </c>
      <c r="X761" s="202" t="n"/>
      <c r="Y761" s="3" t="n">
        <f aca="false" ca="false" dt2D="false" dtr="false" t="normal">+(K761*12.98+L761*25.97)*12*0.85</f>
        <v>397079.1252</v>
      </c>
      <c r="Z761" s="3" t="n">
        <f aca="false" ca="false" dt2D="false" dtr="false" t="normal">+(K761*12.98+L761*25.97)*12*30-'[1]Лист1'!$AQ$327</f>
        <v>-184243.98000000045</v>
      </c>
      <c r="AA761" s="3" t="n">
        <f aca="false" ca="false" dt2D="false" dtr="false" t="normal">+N761-AB761</f>
        <v>0</v>
      </c>
      <c r="AB761" s="16" t="n">
        <f aca="false" ca="false" dt2D="false" dtr="false" t="normal">'Приложение №2'!E759</f>
        <v>1202952.82</v>
      </c>
      <c r="AC761" s="17" t="n"/>
      <c r="AD761" s="17" t="n"/>
      <c r="AE761" s="17" t="n">
        <v>1202952.82</v>
      </c>
      <c r="AF761" s="17" t="n"/>
      <c r="AG761" s="17" t="n"/>
      <c r="AH761" s="17" t="n"/>
      <c r="AI761" s="17" t="n"/>
      <c r="AJ761" s="17" t="n"/>
      <c r="AK761" s="17" t="n"/>
      <c r="AL761" s="17" t="n">
        <v>0</v>
      </c>
      <c r="AM761" s="17" t="n"/>
      <c r="AN761" s="17" t="n"/>
      <c r="AO761" s="17" t="n"/>
      <c r="AP761" s="17" t="n"/>
      <c r="AQ761" s="188" t="n"/>
      <c r="AR761" s="241" t="n">
        <f aca="false" ca="false" dt2D="false" dtr="false" t="normal">COUNTIF(AC761:AN761, "&gt;0")</f>
        <v>1</v>
      </c>
    </row>
    <row customFormat="true" ht="15.75" outlineLevel="0" r="762" s="184">
      <c r="A762" s="240" t="n">
        <f aca="false" ca="false" dt2D="false" dtr="false" t="normal">A761+1</f>
        <v>737</v>
      </c>
      <c r="B762" s="138" t="n">
        <f aca="false" ca="false" dt2D="false" dtr="false" t="normal">+B759+1</f>
        <v>249</v>
      </c>
      <c r="C762" s="138" t="s">
        <v>309</v>
      </c>
      <c r="D762" s="138" t="s">
        <v>624</v>
      </c>
      <c r="E762" s="139" t="s">
        <v>545</v>
      </c>
      <c r="F762" s="139" t="n"/>
      <c r="G762" s="139" t="s">
        <v>4</v>
      </c>
      <c r="H762" s="139" t="s">
        <v>165</v>
      </c>
      <c r="I762" s="139" t="s">
        <v>159</v>
      </c>
      <c r="J762" s="17" t="n">
        <v>4290.1</v>
      </c>
      <c r="K762" s="17" t="n">
        <v>4045.8</v>
      </c>
      <c r="L762" s="17" t="n">
        <v>0</v>
      </c>
      <c r="M762" s="140" t="n">
        <v>160</v>
      </c>
      <c r="N762" s="16" t="n">
        <f aca="false" ca="false" dt2D="false" dtr="false" t="normal">P762+Q762+R762+S762+T762</f>
        <v>1551166.55</v>
      </c>
      <c r="O762" s="17" t="n">
        <v>0</v>
      </c>
      <c r="P762" s="17" t="n">
        <v>0</v>
      </c>
      <c r="Q762" s="17" t="n"/>
      <c r="R762" s="16" t="n">
        <v>1551166.55</v>
      </c>
      <c r="S762" s="17" t="n"/>
      <c r="T762" s="17" t="n"/>
      <c r="U762" s="17" t="n">
        <v>504.215072420782</v>
      </c>
      <c r="V762" s="17" t="n">
        <v>1325.283020064</v>
      </c>
      <c r="W762" s="21" t="n">
        <v>2024</v>
      </c>
      <c r="X762" s="103" t="n">
        <v>2553319.73</v>
      </c>
      <c r="Y762" s="3" t="n">
        <f aca="false" ca="false" dt2D="false" dtr="false" t="normal">+(K762*12.98+L762*25.97)*12*0.85</f>
        <v>535647.7368000001</v>
      </c>
      <c r="Z762" s="3" t="n">
        <f aca="false" ca="false" dt2D="false" dtr="false" t="normal">+(K762*12.98+L762*25.97)*12*30</f>
        <v>18905214.240000002</v>
      </c>
      <c r="AA762" s="3" t="n">
        <f aca="false" ca="false" dt2D="false" dtr="false" t="normal">+N762-AB762</f>
        <v>0</v>
      </c>
      <c r="AB762" s="16" t="n">
        <f aca="false" ca="false" dt2D="false" dtr="false" t="normal">'Приложение №2'!E760</f>
        <v>1551166.55</v>
      </c>
      <c r="AC762" s="17" t="n"/>
      <c r="AD762" s="17" t="n"/>
      <c r="AE762" s="17" t="n"/>
      <c r="AF762" s="17" t="n"/>
      <c r="AG762" s="17" t="n">
        <v>1551166.55</v>
      </c>
      <c r="AH762" s="17" t="n"/>
      <c r="AI762" s="17" t="n"/>
      <c r="AJ762" s="17" t="n"/>
      <c r="AK762" s="17" t="n"/>
      <c r="AL762" s="17" t="n"/>
      <c r="AM762" s="17" t="n"/>
      <c r="AN762" s="17" t="n"/>
      <c r="AO762" s="17" t="n"/>
      <c r="AP762" s="17" t="n"/>
      <c r="AQ762" s="188" t="n"/>
      <c r="AR762" s="241" t="n">
        <f aca="false" ca="false" dt2D="false" dtr="false" t="normal">COUNTIF(AC762:AN762, "&gt;0")</f>
        <v>1</v>
      </c>
      <c r="AT762" s="187" t="n"/>
    </row>
    <row customFormat="true" ht="15.75" outlineLevel="0" r="763" s="184">
      <c r="A763" s="240" t="n">
        <f aca="false" ca="false" dt2D="false" dtr="false" t="normal">A762+1</f>
        <v>738</v>
      </c>
      <c r="B763" s="138" t="s">
        <v>76</v>
      </c>
      <c r="C763" s="138" t="s">
        <v>309</v>
      </c>
      <c r="D763" s="138" t="s">
        <v>420</v>
      </c>
      <c r="E763" s="139" t="s">
        <v>421</v>
      </c>
      <c r="F763" s="139" t="n"/>
      <c r="G763" s="139" t="s">
        <v>4</v>
      </c>
      <c r="H763" s="139" t="s">
        <v>165</v>
      </c>
      <c r="I763" s="139" t="s">
        <v>159</v>
      </c>
      <c r="J763" s="17" t="n">
        <v>3196.5</v>
      </c>
      <c r="K763" s="17" t="n">
        <v>2451.1</v>
      </c>
      <c r="L763" s="17" t="n">
        <v>745</v>
      </c>
      <c r="M763" s="140" t="n">
        <v>156</v>
      </c>
      <c r="N763" s="16" t="n">
        <f aca="false" ca="false" dt2D="false" dtr="false" t="normal">P763+Q763+R763+S763+T763</f>
        <v>650392.02</v>
      </c>
      <c r="O763" s="17" t="n">
        <v>0</v>
      </c>
      <c r="P763" s="17" t="n">
        <v>0</v>
      </c>
      <c r="Q763" s="17" t="n"/>
      <c r="R763" s="16" t="n"/>
      <c r="S763" s="16" t="n">
        <v>650392.02</v>
      </c>
      <c r="T763" s="16" t="n"/>
      <c r="U763" s="17" t="n">
        <v>17522.5165869268</v>
      </c>
      <c r="V763" s="17" t="n">
        <v>1326.283020064</v>
      </c>
      <c r="W763" s="21" t="n">
        <v>2024</v>
      </c>
      <c r="X763" s="103" t="n"/>
      <c r="Y763" s="3" t="n">
        <f aca="false" ca="false" dt2D="false" dtr="false" t="normal">+(K763*12.98+L763*25.97)*12*0.85</f>
        <v>521861.86559999996</v>
      </c>
      <c r="Z763" s="3" t="n">
        <f aca="false" ca="false" dt2D="false" dtr="false" t="normal">+(K763*12.98+L763*25.97)*12*30-'[1]Лист1'!$AQ$329</f>
        <v>17046443.189999998</v>
      </c>
      <c r="AA763" s="3" t="n">
        <f aca="false" ca="false" dt2D="false" dtr="false" t="normal">+N763-AB763</f>
        <v>0</v>
      </c>
      <c r="AB763" s="16" t="n">
        <f aca="false" ca="false" dt2D="false" dtr="false" t="normal">'Приложение №2'!E761</f>
        <v>650392.02</v>
      </c>
      <c r="AC763" s="17" t="n"/>
      <c r="AD763" s="17" t="n"/>
      <c r="AE763" s="17" t="n"/>
      <c r="AF763" s="17" t="n">
        <v>650392.02</v>
      </c>
      <c r="AG763" s="17" t="n"/>
      <c r="AH763" s="17" t="n"/>
      <c r="AI763" s="17" t="n"/>
      <c r="AJ763" s="17" t="n"/>
      <c r="AK763" s="17" t="n"/>
      <c r="AL763" s="17" t="n"/>
      <c r="AM763" s="17" t="n"/>
      <c r="AN763" s="17" t="n"/>
      <c r="AO763" s="17" t="n"/>
      <c r="AP763" s="17" t="n"/>
      <c r="AQ763" s="188" t="n"/>
      <c r="AR763" s="241" t="n">
        <f aca="false" ca="false" dt2D="false" dtr="false" t="normal">COUNTIF(AC763:AN763, "&gt;0")</f>
        <v>1</v>
      </c>
      <c r="AT763" s="187" t="n"/>
    </row>
    <row customFormat="true" ht="15.75" outlineLevel="0" r="764" s="184">
      <c r="A764" s="240" t="n">
        <f aca="false" ca="false" dt2D="false" dtr="false" t="normal">A763+1</f>
        <v>739</v>
      </c>
      <c r="B764" s="138" t="n">
        <f aca="false" ca="false" dt2D="false" dtr="false" t="normal">B762+1</f>
        <v>250</v>
      </c>
      <c r="C764" s="138" t="s">
        <v>177</v>
      </c>
      <c r="D764" s="138" t="s">
        <v>592</v>
      </c>
      <c r="E764" s="139" t="s">
        <v>311</v>
      </c>
      <c r="F764" s="139" t="n"/>
      <c r="G764" s="139" t="s">
        <v>4</v>
      </c>
      <c r="H764" s="139" t="s">
        <v>159</v>
      </c>
      <c r="I764" s="139" t="s">
        <v>312</v>
      </c>
      <c r="J764" s="17" t="n">
        <v>5677.5</v>
      </c>
      <c r="K764" s="17" t="n">
        <v>4896.4</v>
      </c>
      <c r="L764" s="17" t="n">
        <v>72</v>
      </c>
      <c r="M764" s="140" t="n">
        <v>216</v>
      </c>
      <c r="N764" s="16" t="n">
        <f aca="false" ca="false" dt2D="false" dtr="false" t="normal">P764+Q764+R764+S764+T764</f>
        <v>2420008.799999998</v>
      </c>
      <c r="O764" s="17" t="n">
        <v>0</v>
      </c>
      <c r="P764" s="17" t="n">
        <v>0</v>
      </c>
      <c r="Q764" s="17" t="n"/>
      <c r="R764" s="16" t="n">
        <v>593809.52</v>
      </c>
      <c r="S764" s="17" t="n">
        <v>463508.939999998</v>
      </c>
      <c r="T764" s="16" t="n">
        <v>1362690.34</v>
      </c>
      <c r="U764" s="17" t="n">
        <v>412.597795858627</v>
      </c>
      <c r="V764" s="17" t="n">
        <v>412.597795858627</v>
      </c>
      <c r="W764" s="21" t="n">
        <v>2024</v>
      </c>
      <c r="X764" s="192" t="n"/>
      <c r="Y764" s="3" t="n">
        <f aca="false" ca="false" dt2D="false" dtr="false" t="normal">+(K764*12.98+L764*25.97)*12*0.85</f>
        <v>667336.1423999999</v>
      </c>
      <c r="Z764" s="3" t="n">
        <f aca="false" ca="false" dt2D="false" dtr="false" t="normal">+(K764*12.98+L764*25.97)*12*30-'[1]Лист1'!$AQ$338</f>
        <v>463508.9399999976</v>
      </c>
      <c r="AA764" s="3" t="n"/>
      <c r="AB764" s="16" t="n">
        <f aca="false" ca="false" dt2D="false" dtr="false" t="normal">'Приложение №2'!E762</f>
        <v>2420008.8</v>
      </c>
      <c r="AC764" s="17" t="n"/>
      <c r="AD764" s="17" t="n"/>
      <c r="AE764" s="17" t="n"/>
      <c r="AF764" s="17" t="n"/>
      <c r="AG764" s="17" t="n">
        <v>2420008.8</v>
      </c>
      <c r="AH764" s="17" t="n"/>
      <c r="AI764" s="17" t="n"/>
      <c r="AJ764" s="17" t="n"/>
      <c r="AK764" s="17" t="n"/>
      <c r="AL764" s="17" t="n"/>
      <c r="AM764" s="17" t="n"/>
      <c r="AN764" s="17" t="n"/>
      <c r="AO764" s="17" t="n"/>
      <c r="AP764" s="17" t="n"/>
      <c r="AQ764" s="188" t="n"/>
      <c r="AR764" s="241" t="n">
        <f aca="false" ca="false" dt2D="false" dtr="false" t="normal">COUNTIF(AC764:AN764, "&gt;0")</f>
        <v>1</v>
      </c>
      <c r="AT764" s="187" t="n"/>
    </row>
    <row ht="15.75" outlineLevel="0" r="765">
      <c r="A765" s="240" t="n">
        <f aca="false" ca="false" dt2D="false" dtr="false" t="normal">A764+1</f>
        <v>740</v>
      </c>
      <c r="B765" s="138" t="n">
        <f aca="false" ca="false" dt2D="false" dtr="false" t="normal">B764+1</f>
        <v>251</v>
      </c>
      <c r="C765" s="138" t="s">
        <v>467</v>
      </c>
      <c r="D765" s="138" t="s">
        <v>626</v>
      </c>
      <c r="E765" s="139" t="n">
        <v>1984</v>
      </c>
      <c r="F765" s="139" t="n">
        <v>1984</v>
      </c>
      <c r="G765" s="139" t="s">
        <v>4</v>
      </c>
      <c r="H765" s="139" t="n">
        <v>2</v>
      </c>
      <c r="I765" s="139" t="n">
        <v>2</v>
      </c>
      <c r="J765" s="17" t="n">
        <v>638.8</v>
      </c>
      <c r="K765" s="17" t="n">
        <v>591.8</v>
      </c>
      <c r="L765" s="17" t="n">
        <v>0</v>
      </c>
      <c r="M765" s="140" t="n">
        <v>27</v>
      </c>
      <c r="N765" s="16" t="n">
        <f aca="false" ca="false" dt2D="false" dtr="false" t="normal">P765+Q765+R765+S765+T765</f>
        <v>2493649.58</v>
      </c>
      <c r="O765" s="17" t="n"/>
      <c r="P765" s="17" t="n">
        <v>0</v>
      </c>
      <c r="Q765" s="17" t="n"/>
      <c r="R765" s="16" t="n">
        <v>56703.205</v>
      </c>
      <c r="S765" s="16" t="n">
        <v>2436946.375</v>
      </c>
      <c r="T765" s="16" t="n"/>
      <c r="U765" s="17" t="n">
        <v>7984.80281059028</v>
      </c>
      <c r="V765" s="17" t="n">
        <v>1348.283020064</v>
      </c>
      <c r="W765" s="21" t="n">
        <v>2024</v>
      </c>
      <c r="X765" s="103" t="n">
        <v>43686.45</v>
      </c>
      <c r="Y765" s="3" t="n">
        <f aca="false" ca="false" dt2D="false" dtr="false" t="normal">+(K765*12.71+L765*25.41)*12*0.85</f>
        <v>76722.13560000001</v>
      </c>
      <c r="Z765" s="3" t="n">
        <f aca="false" ca="false" dt2D="false" dtr="false" t="normal">+(K765*12.71+L765*25.41)*12*30</f>
        <v>2707840.08</v>
      </c>
      <c r="AA765" s="3" t="n">
        <f aca="false" ca="false" dt2D="false" dtr="false" t="normal">+N765-AB765</f>
        <v>0</v>
      </c>
      <c r="AB765" s="16" t="n">
        <f aca="false" ca="false" dt2D="false" dtr="false" t="normal">'Приложение №2'!E763</f>
        <v>2493649.58</v>
      </c>
      <c r="AC765" s="17" t="n">
        <v>1948256.76</v>
      </c>
      <c r="AD765" s="17" t="n"/>
      <c r="AE765" s="17" t="n">
        <v>545392.82</v>
      </c>
      <c r="AF765" s="17" t="n"/>
      <c r="AG765" s="17" t="n">
        <v>0</v>
      </c>
      <c r="AH765" s="17" t="n"/>
      <c r="AI765" s="17" t="n"/>
      <c r="AJ765" s="17" t="n">
        <v>0</v>
      </c>
      <c r="AK765" s="17" t="n">
        <v>0</v>
      </c>
      <c r="AL765" s="17" t="n">
        <v>0</v>
      </c>
      <c r="AM765" s="17" t="n">
        <v>0</v>
      </c>
      <c r="AN765" s="17" t="n">
        <v>0</v>
      </c>
      <c r="AO765" s="17" t="n"/>
      <c r="AP765" s="17" t="n"/>
      <c r="AQ765" s="188" t="n"/>
      <c r="AR765" s="241" t="n">
        <f aca="false" ca="false" dt2D="false" dtr="false" t="normal">COUNTIF(AC765:AN765, "&gt;0")</f>
        <v>2</v>
      </c>
    </row>
    <row ht="15.75" outlineLevel="0" r="766">
      <c r="A766" s="240" t="n">
        <f aca="false" ca="false" dt2D="false" dtr="false" t="normal">A765+1</f>
        <v>741</v>
      </c>
      <c r="B766" s="138" t="n">
        <f aca="false" ca="false" dt2D="false" dtr="false" t="normal">B765+1</f>
        <v>252</v>
      </c>
      <c r="C766" s="138" t="s">
        <v>356</v>
      </c>
      <c r="D766" s="138" t="s">
        <v>627</v>
      </c>
      <c r="E766" s="139" t="s">
        <v>628</v>
      </c>
      <c r="F766" s="139" t="n"/>
      <c r="G766" s="139" t="s">
        <v>4</v>
      </c>
      <c r="H766" s="139" t="s">
        <v>150</v>
      </c>
      <c r="I766" s="139" t="s">
        <v>5</v>
      </c>
      <c r="J766" s="17" t="n">
        <v>5398.2</v>
      </c>
      <c r="K766" s="17" t="n">
        <v>4716.7</v>
      </c>
      <c r="L766" s="17" t="n">
        <v>0</v>
      </c>
      <c r="M766" s="140" t="n">
        <v>166</v>
      </c>
      <c r="N766" s="16" t="n">
        <f aca="false" ca="false" dt2D="false" dtr="false" t="normal">P766+Q766+R766+S766+T766</f>
        <v>8366611.1</v>
      </c>
      <c r="O766" s="17" t="n"/>
      <c r="P766" s="17" t="n">
        <v>0</v>
      </c>
      <c r="Q766" s="16" t="n">
        <v>718272</v>
      </c>
      <c r="R766" s="16" t="n">
        <v>4502815.26</v>
      </c>
      <c r="S766" s="16" t="n">
        <v>3145523.84</v>
      </c>
      <c r="T766" s="16" t="n"/>
      <c r="U766" s="17" t="n">
        <v>1811.033137575</v>
      </c>
      <c r="V766" s="17" t="n">
        <v>1371.283020064</v>
      </c>
      <c r="W766" s="21" t="n">
        <v>2024</v>
      </c>
      <c r="X766" s="103" t="n">
        <v>3764321.54</v>
      </c>
      <c r="Y766" s="3" t="n">
        <f aca="false" ca="false" dt2D="false" dtr="false" t="normal">+(K766*16.89+L766*28.62)*12*0.85</f>
        <v>812583.6425999999</v>
      </c>
      <c r="Z766" s="3" t="n">
        <f aca="false" ca="false" dt2D="false" dtr="false" t="normal">+(K766*16.89+L766*28.62)*12*30</f>
        <v>28679422.68</v>
      </c>
      <c r="AA766" s="3" t="n">
        <f aca="false" ca="false" dt2D="false" dtr="false" t="normal">+N766-AB766</f>
        <v>0</v>
      </c>
      <c r="AB766" s="16" t="n">
        <f aca="false" ca="false" dt2D="false" dtr="false" t="normal">'Приложение №2'!E764</f>
        <v>8366611.1</v>
      </c>
      <c r="AC766" s="17" t="n"/>
      <c r="AD766" s="17" t="n"/>
      <c r="AE766" s="17" t="n"/>
      <c r="AF766" s="17" t="n"/>
      <c r="AG766" s="17" t="n"/>
      <c r="AH766" s="17" t="n"/>
      <c r="AI766" s="17" t="n"/>
      <c r="AJ766" s="17" t="n">
        <v>8024927.1</v>
      </c>
      <c r="AK766" s="17" t="n"/>
      <c r="AL766" s="17" t="n"/>
      <c r="AM766" s="17" t="n"/>
      <c r="AN766" s="17" t="n"/>
      <c r="AO766" s="17" t="n">
        <v>256263</v>
      </c>
      <c r="AP766" s="17" t="n">
        <v>85421</v>
      </c>
      <c r="AQ766" s="188" t="n"/>
      <c r="AR766" s="241" t="n">
        <f aca="false" ca="false" dt2D="false" dtr="false" t="normal">COUNTIF(AC766:AN766, "&gt;0")</f>
        <v>1</v>
      </c>
    </row>
    <row ht="15.75" outlineLevel="0" r="767">
      <c r="A767" s="240" t="n">
        <f aca="false" ca="false" dt2D="false" dtr="false" t="normal">A766+1</f>
        <v>742</v>
      </c>
      <c r="B767" s="138" t="n">
        <f aca="false" ca="false" dt2D="false" dtr="false" t="normal">B766+1</f>
        <v>253</v>
      </c>
      <c r="C767" s="138" t="s">
        <v>356</v>
      </c>
      <c r="D767" s="138" t="s">
        <v>629</v>
      </c>
      <c r="E767" s="139" t="s">
        <v>184</v>
      </c>
      <c r="F767" s="139" t="n"/>
      <c r="G767" s="139" t="s">
        <v>4</v>
      </c>
      <c r="H767" s="139" t="s">
        <v>165</v>
      </c>
      <c r="I767" s="139" t="s">
        <v>219</v>
      </c>
      <c r="J767" s="17" t="n">
        <v>3670.5</v>
      </c>
      <c r="K767" s="17" t="n">
        <v>3418.1</v>
      </c>
      <c r="L767" s="17" t="n">
        <v>0</v>
      </c>
      <c r="M767" s="140" t="n">
        <v>108</v>
      </c>
      <c r="N767" s="16" t="n">
        <f aca="false" ca="false" dt2D="false" dtr="false" t="normal">P767+Q767+R767+S767+T767</f>
        <v>21520886.78</v>
      </c>
      <c r="O767" s="17" t="n"/>
      <c r="P767" s="17" t="n">
        <v>0</v>
      </c>
      <c r="Q767" s="16" t="n">
        <v>2388438</v>
      </c>
      <c r="R767" s="16" t="n">
        <v>2696250.53</v>
      </c>
      <c r="S767" s="16" t="n"/>
      <c r="T767" s="16" t="n">
        <v>16436198.25</v>
      </c>
      <c r="U767" s="17" t="n">
        <v>6419.80016680998</v>
      </c>
      <c r="V767" s="17" t="n">
        <v>1375.283020064</v>
      </c>
      <c r="W767" s="21" t="n">
        <v>2024</v>
      </c>
      <c r="X767" s="103" t="n">
        <v>2293564.17</v>
      </c>
      <c r="Y767" s="3" t="n">
        <f aca="false" ca="false" dt2D="false" dtr="false" t="normal">+(K767*12.71+L767*25.41)*12*0.85</f>
        <v>443129.32019999996</v>
      </c>
      <c r="Z767" s="3" t="n">
        <f aca="false" ca="false" dt2D="false" dtr="false" t="normal">+(K767*12.71+L767*25.41)*12*30</f>
        <v>15639858.36</v>
      </c>
      <c r="AA767" s="3" t="n">
        <f aca="false" ca="false" dt2D="false" dtr="false" t="normal">+N767-AB767</f>
        <v>0</v>
      </c>
      <c r="AB767" s="16" t="n">
        <f aca="false" ca="false" dt2D="false" dtr="false" t="normal">'Приложение №2'!E765</f>
        <v>21520886.78</v>
      </c>
      <c r="AC767" s="17" t="n"/>
      <c r="AD767" s="17" t="n"/>
      <c r="AE767" s="17" t="n"/>
      <c r="AF767" s="17" t="n"/>
      <c r="AG767" s="17" t="n"/>
      <c r="AH767" s="17" t="n"/>
      <c r="AI767" s="17" t="n"/>
      <c r="AJ767" s="17" t="n"/>
      <c r="AK767" s="17" t="n">
        <v>19326534.88</v>
      </c>
      <c r="AL767" s="17" t="n">
        <v>0</v>
      </c>
      <c r="AM767" s="17" t="n">
        <v>0</v>
      </c>
      <c r="AN767" s="17" t="n">
        <v>0</v>
      </c>
      <c r="AO767" s="17" t="n">
        <v>1974916.71</v>
      </c>
      <c r="AP767" s="17" t="n">
        <v>219435.19</v>
      </c>
      <c r="AQ767" s="188" t="n"/>
      <c r="AR767" s="241" t="n">
        <f aca="false" ca="false" dt2D="false" dtr="false" t="normal">COUNTIF(AC767:AN767, "&gt;0")</f>
        <v>1</v>
      </c>
    </row>
    <row ht="15.75" outlineLevel="0" r="768">
      <c r="A768" s="240" t="n">
        <f aca="false" ca="false" dt2D="false" dtr="false" t="normal">A767+1</f>
        <v>743</v>
      </c>
      <c r="B768" s="138" t="n">
        <f aca="false" ca="false" dt2D="false" dtr="false" t="normal">B767+1</f>
        <v>254</v>
      </c>
      <c r="C768" s="138" t="s">
        <v>93</v>
      </c>
      <c r="D768" s="138" t="s">
        <v>630</v>
      </c>
      <c r="E768" s="139" t="n">
        <v>1967</v>
      </c>
      <c r="F768" s="139" t="n">
        <v>2010</v>
      </c>
      <c r="G768" s="139" t="s">
        <v>4</v>
      </c>
      <c r="H768" s="139" t="n">
        <v>4</v>
      </c>
      <c r="I768" s="139" t="n">
        <v>6</v>
      </c>
      <c r="J768" s="17" t="n">
        <v>4129.9</v>
      </c>
      <c r="K768" s="17" t="n">
        <v>3028.01</v>
      </c>
      <c r="L768" s="17" t="n">
        <v>1016.7</v>
      </c>
      <c r="M768" s="140" t="n">
        <v>153</v>
      </c>
      <c r="N768" s="16" t="n">
        <f aca="false" ca="false" dt2D="false" dtr="false" t="normal">P768+Q768+R768+S768+T768</f>
        <v>22018918.55</v>
      </c>
      <c r="O768" s="17" t="n"/>
      <c r="P768" s="17" t="n">
        <v>0</v>
      </c>
      <c r="Q768" s="17" t="n">
        <v>0</v>
      </c>
      <c r="R768" s="16" t="n">
        <v>596284.71</v>
      </c>
      <c r="S768" s="16" t="n"/>
      <c r="T768" s="16" t="n">
        <v>21422633.84</v>
      </c>
      <c r="U768" s="17" t="n">
        <v>8137.79176195111</v>
      </c>
      <c r="V768" s="17" t="n">
        <v>1380.283020064</v>
      </c>
      <c r="W768" s="21" t="n">
        <v>2024</v>
      </c>
      <c r="Y768" s="3" t="n">
        <f aca="false" ca="false" dt2D="false" dtr="false" t="normal">+(K768*12.71+L768*25.41)*12*0.85</f>
        <v>656067.6118200001</v>
      </c>
      <c r="Z768" s="3" t="n">
        <f aca="false" ca="false" dt2D="false" dtr="false" t="normal">+(K768*12.71+L768*25.41)*12*30-'[1]Лист1'!$AQ$64</f>
        <v>20396934.036000002</v>
      </c>
      <c r="AA768" s="3" t="n">
        <f aca="false" ca="false" dt2D="false" dtr="false" t="normal">+N768-AB768</f>
        <v>0</v>
      </c>
      <c r="AB768" s="16" t="n">
        <f aca="false" ca="false" dt2D="false" dtr="false" t="normal">'Приложение №2'!E766</f>
        <v>22018918.549999997</v>
      </c>
      <c r="AC768" s="17" t="n">
        <v>10346375.1</v>
      </c>
      <c r="AD768" s="17" t="n">
        <v>0</v>
      </c>
      <c r="AE768" s="17" t="n">
        <v>0</v>
      </c>
      <c r="AF768" s="17" t="n">
        <v>0</v>
      </c>
      <c r="AG768" s="17" t="n">
        <v>0</v>
      </c>
      <c r="AH768" s="17" t="n"/>
      <c r="AI768" s="17" t="n"/>
      <c r="AJ768" s="17" t="n">
        <v>0</v>
      </c>
      <c r="AK768" s="17" t="n">
        <v>0</v>
      </c>
      <c r="AL768" s="17" t="n">
        <v>0</v>
      </c>
      <c r="AM768" s="17" t="n">
        <v>0</v>
      </c>
      <c r="AN768" s="17" t="n">
        <v>11672543.45</v>
      </c>
      <c r="AO768" s="17" t="n"/>
      <c r="AP768" s="17" t="n"/>
      <c r="AQ768" s="188" t="n"/>
      <c r="AR768" s="241" t="n">
        <f aca="false" ca="false" dt2D="false" dtr="false" t="normal">COUNTIF(AC768:AN768, "&gt;0")</f>
        <v>2</v>
      </c>
    </row>
    <row ht="15.75" outlineLevel="0" r="769">
      <c r="A769" s="240" t="n">
        <f aca="false" ca="false" dt2D="false" dtr="false" t="normal">A768+1</f>
        <v>744</v>
      </c>
      <c r="B769" s="138" t="n">
        <f aca="false" ca="false" dt2D="false" dtr="false" t="normal">B768+1</f>
        <v>255</v>
      </c>
      <c r="C769" s="138" t="s">
        <v>93</v>
      </c>
      <c r="D769" s="138" t="s">
        <v>631</v>
      </c>
      <c r="E769" s="139" t="n">
        <v>1967</v>
      </c>
      <c r="F769" s="139" t="n">
        <v>2015</v>
      </c>
      <c r="G769" s="139" t="s">
        <v>4</v>
      </c>
      <c r="H769" s="139" t="n">
        <v>3</v>
      </c>
      <c r="I769" s="139" t="n">
        <v>3</v>
      </c>
      <c r="J769" s="17" t="n">
        <v>1753.5</v>
      </c>
      <c r="K769" s="17" t="n">
        <v>1262.7</v>
      </c>
      <c r="L769" s="17" t="n">
        <v>455.8</v>
      </c>
      <c r="M769" s="140" t="n">
        <v>37</v>
      </c>
      <c r="N769" s="16" t="n">
        <f aca="false" ca="false" dt2D="false" dtr="false" t="normal">P769+Q769+R769+S769+T769</f>
        <v>26252655.77</v>
      </c>
      <c r="O769" s="17" t="n"/>
      <c r="P769" s="17" t="n">
        <v>0</v>
      </c>
      <c r="Q769" s="17" t="n">
        <v>0</v>
      </c>
      <c r="R769" s="16" t="n">
        <v>1426339.24</v>
      </c>
      <c r="S769" s="16" t="n">
        <v>1433826.96</v>
      </c>
      <c r="T769" s="16" t="n">
        <v>23392489.57</v>
      </c>
      <c r="U769" s="17" t="n">
        <v>26009.9982194757</v>
      </c>
      <c r="V769" s="17" t="n">
        <v>1387.283020064</v>
      </c>
      <c r="W769" s="21" t="n">
        <v>2024</v>
      </c>
      <c r="X769" s="12" t="n">
        <v>1170184.96</v>
      </c>
      <c r="Y769" s="3" t="n">
        <f aca="false" ca="false" dt2D="false" dtr="false" t="normal">+(K769*12.71+L769*25.41)*12*0.85</f>
        <v>281834.109</v>
      </c>
      <c r="Z769" s="3" t="n">
        <f aca="false" ca="false" dt2D="false" dtr="false" t="normal">+(K769*12.71+L769*25.41)*12*30</f>
        <v>9947086.200000001</v>
      </c>
      <c r="AB769" s="16" t="n">
        <f aca="false" ca="false" dt2D="false" dtr="false" t="normal">'Приложение №2'!E767</f>
        <v>26252655.77</v>
      </c>
      <c r="AC769" s="17" t="n">
        <v>6785155.64</v>
      </c>
      <c r="AD769" s="17" t="n">
        <v>5341814.82</v>
      </c>
      <c r="AE769" s="17" t="n">
        <v>1480113.38</v>
      </c>
      <c r="AF769" s="17" t="n"/>
      <c r="AG769" s="17" t="n">
        <v>0</v>
      </c>
      <c r="AH769" s="17" t="n"/>
      <c r="AI769" s="17" t="n"/>
      <c r="AJ769" s="17" t="n">
        <v>0</v>
      </c>
      <c r="AK769" s="17" t="n">
        <v>12645571.93</v>
      </c>
      <c r="AL769" s="17" t="n">
        <v>0</v>
      </c>
      <c r="AM769" s="17" t="n">
        <v>0</v>
      </c>
      <c r="AN769" s="17" t="n">
        <v>0</v>
      </c>
      <c r="AO769" s="17" t="n"/>
      <c r="AP769" s="17" t="n"/>
      <c r="AQ769" s="188" t="n"/>
      <c r="AR769" s="241" t="n">
        <f aca="false" ca="false" dt2D="false" dtr="false" t="normal">COUNTIF(AC769:AN769, "&gt;0")</f>
        <v>4</v>
      </c>
    </row>
    <row ht="15.75" outlineLevel="0" r="770">
      <c r="A770" s="240" t="n">
        <f aca="false" ca="false" dt2D="false" dtr="false" t="normal">A769+1</f>
        <v>745</v>
      </c>
      <c r="B770" s="138" t="n">
        <f aca="false" ca="false" dt2D="false" dtr="false" t="normal">B769+1</f>
        <v>256</v>
      </c>
      <c r="C770" s="138" t="s">
        <v>93</v>
      </c>
      <c r="D770" s="138" t="s">
        <v>632</v>
      </c>
      <c r="E770" s="139" t="n">
        <v>1968</v>
      </c>
      <c r="F770" s="139" t="n">
        <v>2015</v>
      </c>
      <c r="G770" s="139" t="s">
        <v>4</v>
      </c>
      <c r="H770" s="139" t="n">
        <v>4</v>
      </c>
      <c r="I770" s="139" t="n">
        <v>2</v>
      </c>
      <c r="J770" s="17" t="n">
        <v>1345.8</v>
      </c>
      <c r="K770" s="17" t="n">
        <v>1132</v>
      </c>
      <c r="L770" s="17" t="n">
        <v>118.5</v>
      </c>
      <c r="M770" s="140" t="n">
        <v>46</v>
      </c>
      <c r="N770" s="16" t="n">
        <f aca="false" ca="false" dt2D="false" dtr="false" t="normal">P770+Q770+R770+S770+T770</f>
        <v>9837825.51</v>
      </c>
      <c r="O770" s="17" t="n"/>
      <c r="P770" s="17" t="n">
        <v>0</v>
      </c>
      <c r="Q770" s="17" t="n">
        <v>0</v>
      </c>
      <c r="R770" s="16" t="n">
        <v>304933.59</v>
      </c>
      <c r="S770" s="16" t="n">
        <v>1433826.96</v>
      </c>
      <c r="T770" s="16" t="n">
        <v>8099064.96</v>
      </c>
      <c r="U770" s="17" t="n">
        <v>11130.065274159</v>
      </c>
      <c r="V770" s="17" t="n">
        <v>1388.283020064</v>
      </c>
      <c r="W770" s="21" t="n">
        <v>2024</v>
      </c>
      <c r="X770" s="12" t="n">
        <v>143651.7</v>
      </c>
      <c r="Y770" s="3" t="n">
        <f aca="false" ca="false" dt2D="false" dtr="false" t="normal">+(K770*12.71+L770*25.41)*12*0.85</f>
        <v>177467.811</v>
      </c>
      <c r="Z770" s="3" t="n">
        <f aca="false" ca="false" dt2D="false" dtr="false" t="normal">+(K770*12.71+L770*25.41)*12*30</f>
        <v>6263569.8</v>
      </c>
      <c r="AA770" s="3" t="n">
        <f aca="false" ca="false" dt2D="false" dtr="false" t="normal">+N770-AB770</f>
        <v>0</v>
      </c>
      <c r="AB770" s="16" t="n">
        <f aca="false" ca="false" dt2D="false" dtr="false" t="normal">'Приложение №2'!E768</f>
        <v>9837825.510000002</v>
      </c>
      <c r="AC770" s="17" t="n">
        <v>4332206.65</v>
      </c>
      <c r="AD770" s="17" t="n"/>
      <c r="AE770" s="17" t="n">
        <v>1146753.78</v>
      </c>
      <c r="AF770" s="17" t="n"/>
      <c r="AG770" s="17" t="n">
        <v>0</v>
      </c>
      <c r="AH770" s="17" t="n"/>
      <c r="AI770" s="17" t="n"/>
      <c r="AJ770" s="17" t="n">
        <v>0</v>
      </c>
      <c r="AK770" s="17" t="n">
        <v>4358865.08</v>
      </c>
      <c r="AL770" s="17" t="n">
        <v>0</v>
      </c>
      <c r="AM770" s="17" t="n">
        <v>0</v>
      </c>
      <c r="AN770" s="17" t="n">
        <v>0</v>
      </c>
      <c r="AO770" s="17" t="n"/>
      <c r="AP770" s="17" t="n"/>
      <c r="AQ770" s="188" t="n"/>
      <c r="AR770" s="241" t="n">
        <f aca="false" ca="false" dt2D="false" dtr="false" t="normal">COUNTIF(AC770:AN770, "&gt;0")</f>
        <v>3</v>
      </c>
    </row>
    <row ht="15.75" outlineLevel="0" r="771">
      <c r="A771" s="240" t="n">
        <f aca="false" ca="false" dt2D="false" dtr="false" t="normal">A770+1</f>
        <v>746</v>
      </c>
      <c r="B771" s="138" t="n">
        <f aca="false" ca="false" dt2D="false" dtr="false" t="normal">B770+1</f>
        <v>257</v>
      </c>
      <c r="C771" s="138" t="s">
        <v>93</v>
      </c>
      <c r="D771" s="138" t="s">
        <v>633</v>
      </c>
      <c r="E771" s="139" t="n">
        <v>1967</v>
      </c>
      <c r="F771" s="139" t="n">
        <v>2013</v>
      </c>
      <c r="G771" s="139" t="s">
        <v>4</v>
      </c>
      <c r="H771" s="139" t="n">
        <v>3</v>
      </c>
      <c r="I771" s="139" t="n">
        <v>3</v>
      </c>
      <c r="J771" s="17" t="n">
        <v>1661.3</v>
      </c>
      <c r="K771" s="17" t="n">
        <v>1287.6</v>
      </c>
      <c r="L771" s="17" t="n">
        <v>250.7</v>
      </c>
      <c r="M771" s="140" t="n">
        <v>74</v>
      </c>
      <c r="N771" s="16" t="n">
        <f aca="false" ca="false" dt2D="false" dtr="false" t="normal">P771+Q771+R771+S771+T771</f>
        <v>11426950.71</v>
      </c>
      <c r="O771" s="17" t="n"/>
      <c r="P771" s="17" t="n">
        <v>0</v>
      </c>
      <c r="Q771" s="17" t="n">
        <v>0</v>
      </c>
      <c r="R771" s="16" t="n">
        <v>913328.99</v>
      </c>
      <c r="S771" s="16" t="n">
        <v>2482317.186</v>
      </c>
      <c r="T771" s="16" t="n">
        <v>8031304.534</v>
      </c>
      <c r="U771" s="17" t="n">
        <v>10001.1712411681</v>
      </c>
      <c r="V771" s="17" t="n">
        <v>1389.283020064</v>
      </c>
      <c r="W771" s="21" t="n">
        <v>2024</v>
      </c>
      <c r="X771" s="12" t="n">
        <v>702566.9</v>
      </c>
      <c r="Y771" s="3" t="n">
        <f aca="false" ca="false" dt2D="false" dtr="false" t="normal">+(K771*12.71+L771*25.41)*12*0.85</f>
        <v>231903.96659999999</v>
      </c>
      <c r="Z771" s="3" t="n">
        <f aca="false" ca="false" dt2D="false" dtr="false" t="normal">+(K771*12.71+L771*25.41)*12*30</f>
        <v>8184845.88</v>
      </c>
      <c r="AB771" s="16" t="n">
        <f aca="false" ca="false" dt2D="false" dtr="false" t="normal">'Приложение №2'!E769</f>
        <v>11426950.71</v>
      </c>
      <c r="AC771" s="17" t="n">
        <v>5307164.59</v>
      </c>
      <c r="AD771" s="17" t="n">
        <v>4670595</v>
      </c>
      <c r="AE771" s="17" t="n">
        <v>1449191.12</v>
      </c>
      <c r="AF771" s="17" t="n"/>
      <c r="AG771" s="17" t="n">
        <v>0</v>
      </c>
      <c r="AH771" s="17" t="n"/>
      <c r="AI771" s="17" t="n"/>
      <c r="AJ771" s="17" t="n">
        <v>0</v>
      </c>
      <c r="AK771" s="17" t="n">
        <v>0</v>
      </c>
      <c r="AL771" s="17" t="n">
        <v>0</v>
      </c>
      <c r="AM771" s="17" t="n">
        <v>0</v>
      </c>
      <c r="AN771" s="17" t="n">
        <v>0</v>
      </c>
      <c r="AO771" s="17" t="n"/>
      <c r="AP771" s="17" t="n"/>
      <c r="AQ771" s="188" t="n"/>
      <c r="AR771" s="241" t="n">
        <f aca="false" ca="false" dt2D="false" dtr="false" t="normal">COUNTIF(AC771:AN771, "&gt;0")</f>
        <v>3</v>
      </c>
    </row>
    <row ht="15.75" outlineLevel="0" r="772">
      <c r="A772" s="240" t="n">
        <f aca="false" ca="false" dt2D="false" dtr="false" t="normal">A771+1</f>
        <v>747</v>
      </c>
      <c r="B772" s="138" t="n">
        <f aca="false" ca="false" dt2D="false" dtr="false" t="normal">B771+1</f>
        <v>258</v>
      </c>
      <c r="C772" s="138" t="s">
        <v>93</v>
      </c>
      <c r="D772" s="138" t="s">
        <v>634</v>
      </c>
      <c r="E772" s="139" t="n">
        <v>1969</v>
      </c>
      <c r="F772" s="139" t="n">
        <v>1969</v>
      </c>
      <c r="G772" s="139" t="s">
        <v>4</v>
      </c>
      <c r="H772" s="139" t="n">
        <v>4</v>
      </c>
      <c r="I772" s="139" t="n">
        <v>2</v>
      </c>
      <c r="J772" s="17" t="n">
        <v>1375</v>
      </c>
      <c r="K772" s="17" t="n">
        <v>1257.1</v>
      </c>
      <c r="L772" s="17" t="n">
        <v>0</v>
      </c>
      <c r="M772" s="140" t="n">
        <v>53</v>
      </c>
      <c r="N772" s="16" t="n">
        <f aca="false" ca="false" dt2D="false" dtr="false" t="normal">P772+Q772+R772+S772+T772</f>
        <v>9276766.719999999</v>
      </c>
      <c r="O772" s="17" t="n"/>
      <c r="P772" s="17" t="n">
        <v>0</v>
      </c>
      <c r="Q772" s="17" t="n"/>
      <c r="R772" s="16" t="n">
        <v>768829.68</v>
      </c>
      <c r="S772" s="16" t="n"/>
      <c r="T772" s="16" t="n">
        <v>8507937.04</v>
      </c>
      <c r="U772" s="17" t="n">
        <v>10568.4757931064</v>
      </c>
      <c r="V772" s="17" t="n">
        <v>1392.283020064</v>
      </c>
      <c r="W772" s="21" t="n">
        <v>2024</v>
      </c>
      <c r="X772" s="12" t="n">
        <v>620730.73</v>
      </c>
      <c r="Y772" s="3" t="n">
        <f aca="false" ca="false" dt2D="false" dtr="false" t="normal">+(K772*12.71+L772*25.41)*12*0.85</f>
        <v>162972.9582</v>
      </c>
      <c r="Z772" s="3" t="n">
        <f aca="false" ca="false" dt2D="false" dtr="false" t="normal">+(K772*12.71+L772*25.41)*12*30</f>
        <v>5751986.76</v>
      </c>
      <c r="AB772" s="16" t="n">
        <f aca="false" ca="false" dt2D="false" dtr="false" t="normal">'Приложение №2'!E770</f>
        <v>9276766.72</v>
      </c>
      <c r="AC772" s="17" t="n">
        <v>4337466.13</v>
      </c>
      <c r="AD772" s="17" t="n"/>
      <c r="AE772" s="17" t="n">
        <v>1321148.53</v>
      </c>
      <c r="AF772" s="17" t="n"/>
      <c r="AG772" s="17" t="n">
        <v>0</v>
      </c>
      <c r="AH772" s="17" t="n"/>
      <c r="AI772" s="17" t="n"/>
      <c r="AJ772" s="17" t="n">
        <v>0</v>
      </c>
      <c r="AK772" s="17" t="n">
        <v>3618152.06</v>
      </c>
      <c r="AL772" s="17" t="n">
        <v>0</v>
      </c>
      <c r="AM772" s="17" t="n">
        <v>0</v>
      </c>
      <c r="AN772" s="17" t="n">
        <v>0</v>
      </c>
      <c r="AO772" s="17" t="n"/>
      <c r="AP772" s="17" t="n"/>
      <c r="AQ772" s="188" t="n"/>
      <c r="AR772" s="241" t="n">
        <f aca="false" ca="false" dt2D="false" dtr="false" t="normal">COUNTIF(AC772:AN772, "&gt;0")</f>
        <v>3</v>
      </c>
    </row>
    <row ht="15.75" outlineLevel="0" r="773">
      <c r="A773" s="240" t="n">
        <f aca="false" ca="false" dt2D="false" dtr="false" t="normal">A772+1</f>
        <v>748</v>
      </c>
      <c r="B773" s="138" t="n">
        <f aca="false" ca="false" dt2D="false" dtr="false" t="normal">B772+1</f>
        <v>259</v>
      </c>
      <c r="C773" s="138" t="s">
        <v>93</v>
      </c>
      <c r="D773" s="138" t="s">
        <v>636</v>
      </c>
      <c r="E773" s="139" t="n">
        <v>1970</v>
      </c>
      <c r="F773" s="139" t="n">
        <v>2015</v>
      </c>
      <c r="G773" s="139" t="s">
        <v>4</v>
      </c>
      <c r="H773" s="139" t="n">
        <v>4</v>
      </c>
      <c r="I773" s="139" t="n">
        <v>2</v>
      </c>
      <c r="J773" s="17" t="n">
        <v>1397.9</v>
      </c>
      <c r="K773" s="17" t="n">
        <v>1284</v>
      </c>
      <c r="L773" s="17" t="n">
        <v>0</v>
      </c>
      <c r="M773" s="140" t="n">
        <v>70</v>
      </c>
      <c r="N773" s="16" t="n">
        <f aca="false" ca="false" dt2D="false" dtr="false" t="normal">P773+Q773+R773+S773+T773</f>
        <v>13827121.06</v>
      </c>
      <c r="O773" s="17" t="n"/>
      <c r="P773" s="17" t="n">
        <v>0</v>
      </c>
      <c r="Q773" s="17" t="n"/>
      <c r="R773" s="16" t="n">
        <v>466065.54</v>
      </c>
      <c r="S773" s="16" t="n">
        <v>3266183.8088476</v>
      </c>
      <c r="T773" s="16" t="n">
        <v>10094871.7111524</v>
      </c>
      <c r="U773" s="17" t="n">
        <v>9459.27624782643</v>
      </c>
      <c r="V773" s="17" t="n">
        <v>1397.283020064</v>
      </c>
      <c r="W773" s="21" t="n">
        <v>2024</v>
      </c>
      <c r="X773" s="12" t="n">
        <v>314797.5</v>
      </c>
      <c r="Y773" s="3" t="n">
        <f aca="false" ca="false" dt2D="false" dtr="false" t="normal">+(K773*12.71+L773*25.41)*12*0.85</f>
        <v>166460.328</v>
      </c>
      <c r="Z773" s="3" t="n">
        <f aca="false" ca="false" dt2D="false" dtr="false" t="normal">+(K773*12.71+L773*25.41)*12*30</f>
        <v>5875070.4</v>
      </c>
      <c r="AB773" s="16" t="n">
        <f aca="false" ca="false" dt2D="false" dtr="false" t="normal">'Приложение №2'!E771</f>
        <v>13827121.059999999</v>
      </c>
      <c r="AC773" s="17" t="n">
        <v>4481532.64</v>
      </c>
      <c r="AD773" s="17" t="n"/>
      <c r="AE773" s="17" t="n">
        <v>1387702.38</v>
      </c>
      <c r="AF773" s="17" t="n"/>
      <c r="AG773" s="17" t="n">
        <v>0</v>
      </c>
      <c r="AH773" s="17" t="n"/>
      <c r="AI773" s="17" t="n"/>
      <c r="AJ773" s="17" t="n">
        <v>0</v>
      </c>
      <c r="AK773" s="17" t="n">
        <v>7957886.04</v>
      </c>
      <c r="AL773" s="17" t="n">
        <v>0</v>
      </c>
      <c r="AM773" s="17" t="n">
        <v>0</v>
      </c>
      <c r="AN773" s="17" t="n">
        <v>0</v>
      </c>
      <c r="AO773" s="17" t="n"/>
      <c r="AP773" s="17" t="n"/>
      <c r="AQ773" s="188" t="n"/>
      <c r="AR773" s="241" t="n">
        <f aca="false" ca="false" dt2D="false" dtr="false" t="normal">COUNTIF(AC773:AN773, "&gt;0")</f>
        <v>3</v>
      </c>
    </row>
    <row ht="15.75" outlineLevel="0" r="774">
      <c r="A774" s="240" t="n">
        <f aca="false" ca="false" dt2D="false" dtr="false" t="normal">A773+1</f>
        <v>749</v>
      </c>
      <c r="B774" s="138" t="n">
        <f aca="false" ca="false" dt2D="false" dtr="false" t="normal">B773+1</f>
        <v>260</v>
      </c>
      <c r="C774" s="138" t="s">
        <v>93</v>
      </c>
      <c r="D774" s="138" t="s">
        <v>638</v>
      </c>
      <c r="E774" s="139" t="n">
        <v>1970</v>
      </c>
      <c r="F774" s="139" t="n">
        <v>2015</v>
      </c>
      <c r="G774" s="139" t="s">
        <v>4</v>
      </c>
      <c r="H774" s="139" t="n">
        <v>4</v>
      </c>
      <c r="I774" s="139" t="n">
        <v>2</v>
      </c>
      <c r="J774" s="17" t="n">
        <v>1401</v>
      </c>
      <c r="K774" s="17" t="n">
        <v>1279.2</v>
      </c>
      <c r="L774" s="17" t="n">
        <v>0</v>
      </c>
      <c r="M774" s="140" t="n">
        <v>66</v>
      </c>
      <c r="N774" s="16" t="n">
        <f aca="false" ca="false" dt2D="false" dtr="false" t="normal">P774+Q774+R774+S774+T774</f>
        <v>13637429.06</v>
      </c>
      <c r="O774" s="17" t="n"/>
      <c r="P774" s="17" t="n">
        <v>0</v>
      </c>
      <c r="Q774" s="17" t="n"/>
      <c r="R774" s="16" t="n">
        <v>511436.27</v>
      </c>
      <c r="S774" s="16" t="n">
        <v>3371341.95358088</v>
      </c>
      <c r="T774" s="16" t="n">
        <v>9754650.83641912</v>
      </c>
      <c r="U774" s="17" t="n">
        <v>9493.28600148654</v>
      </c>
      <c r="V774" s="17" t="n">
        <v>1398.283020064</v>
      </c>
      <c r="W774" s="21" t="n">
        <v>2024</v>
      </c>
      <c r="X774" s="12" t="n">
        <v>360733.72</v>
      </c>
      <c r="Y774" s="3" t="n">
        <f aca="false" ca="false" dt2D="false" dtr="false" t="normal">+(K774*12.71+L774*25.41)*12*0.85</f>
        <v>165838.04640000002</v>
      </c>
      <c r="Z774" s="3" t="n">
        <f aca="false" ca="false" dt2D="false" dtr="false" t="normal">+(K774*12.71+L774*25.41)*12*30</f>
        <v>5853107.520000001</v>
      </c>
      <c r="AB774" s="16" t="n">
        <f aca="false" ca="false" dt2D="false" dtr="false" t="normal">'Приложение №2'!E772</f>
        <v>13637429.059999999</v>
      </c>
      <c r="AC774" s="17" t="n">
        <v>4350258.68</v>
      </c>
      <c r="AD774" s="17" t="n"/>
      <c r="AE774" s="17" t="n">
        <v>1330897.49</v>
      </c>
      <c r="AF774" s="17" t="n"/>
      <c r="AG774" s="17" t="n">
        <v>0</v>
      </c>
      <c r="AH774" s="17" t="n"/>
      <c r="AI774" s="17" t="n"/>
      <c r="AJ774" s="17" t="n">
        <v>0</v>
      </c>
      <c r="AK774" s="17" t="n">
        <v>7956272.89</v>
      </c>
      <c r="AL774" s="17" t="n">
        <v>0</v>
      </c>
      <c r="AM774" s="17" t="n">
        <v>0</v>
      </c>
      <c r="AN774" s="17" t="n">
        <v>0</v>
      </c>
      <c r="AO774" s="17" t="n"/>
      <c r="AP774" s="17" t="n"/>
      <c r="AQ774" s="188" t="n"/>
      <c r="AR774" s="241" t="n">
        <f aca="false" ca="false" dt2D="false" dtr="false" t="normal">COUNTIF(AC774:AN774, "&gt;0")</f>
        <v>3</v>
      </c>
    </row>
    <row ht="15.75" outlineLevel="0" r="775">
      <c r="A775" s="240" t="n">
        <f aca="false" ca="false" dt2D="false" dtr="false" t="normal">A774+1</f>
        <v>750</v>
      </c>
      <c r="B775" s="138" t="n">
        <f aca="false" ca="false" dt2D="false" dtr="false" t="normal">B774+1</f>
        <v>261</v>
      </c>
      <c r="C775" s="138" t="s">
        <v>93</v>
      </c>
      <c r="D775" s="138" t="s">
        <v>640</v>
      </c>
      <c r="E775" s="139" t="n">
        <v>1970</v>
      </c>
      <c r="F775" s="139" t="n">
        <v>2015</v>
      </c>
      <c r="G775" s="139" t="s">
        <v>4</v>
      </c>
      <c r="H775" s="139" t="n">
        <v>4</v>
      </c>
      <c r="I775" s="139" t="n">
        <v>2</v>
      </c>
      <c r="J775" s="17" t="n">
        <v>1391.9</v>
      </c>
      <c r="K775" s="17" t="n">
        <v>1360</v>
      </c>
      <c r="L775" s="17" t="n">
        <v>0</v>
      </c>
      <c r="M775" s="140" t="n">
        <v>56</v>
      </c>
      <c r="N775" s="16" t="n">
        <f aca="false" ca="false" dt2D="false" dtr="false" t="normal">P775+Q775+R775+S775+T775</f>
        <v>10492870.870000001</v>
      </c>
      <c r="O775" s="17" t="n"/>
      <c r="P775" s="17" t="n">
        <v>0</v>
      </c>
      <c r="Q775" s="17" t="n"/>
      <c r="R775" s="16" t="n">
        <v>539975.65</v>
      </c>
      <c r="S775" s="16" t="n">
        <v>3514672.138904</v>
      </c>
      <c r="T775" s="16" t="n">
        <v>6438223.081096</v>
      </c>
      <c r="U775" s="17" t="n">
        <v>10052.7436441176</v>
      </c>
      <c r="V775" s="17" t="n">
        <v>10052.7436441176</v>
      </c>
      <c r="W775" s="21" t="n">
        <v>2024</v>
      </c>
      <c r="X775" s="1" t="n">
        <v>379754.05</v>
      </c>
      <c r="Y775" s="3" t="n">
        <f aca="false" ca="false" dt2D="false" dtr="false" t="normal">+(K775*12.71+L775*25.41)*12*0.85</f>
        <v>176313.12</v>
      </c>
      <c r="Z775" s="3" t="n">
        <f aca="false" ca="false" dt2D="false" dtr="false" t="normal">+(K775*12.71+L775*25.41)*12*30</f>
        <v>6222816</v>
      </c>
      <c r="AB775" s="16" t="n">
        <f aca="false" ca="false" dt2D="false" dtr="false" t="normal">'Приложение №2'!E773</f>
        <v>10492870.870000001</v>
      </c>
      <c r="AC775" s="17" t="n">
        <v>3698964.38</v>
      </c>
      <c r="AD775" s="17" t="n"/>
      <c r="AE775" s="17" t="n">
        <v>994832.33</v>
      </c>
      <c r="AF775" s="17" t="n"/>
      <c r="AG775" s="17" t="n">
        <v>0</v>
      </c>
      <c r="AH775" s="17" t="n"/>
      <c r="AI775" s="17" t="n"/>
      <c r="AJ775" s="17" t="n">
        <v>0</v>
      </c>
      <c r="AK775" s="17" t="n">
        <v>5799074.16</v>
      </c>
      <c r="AL775" s="17" t="n">
        <v>0</v>
      </c>
      <c r="AM775" s="17" t="n">
        <v>0</v>
      </c>
      <c r="AN775" s="17" t="n">
        <v>0</v>
      </c>
      <c r="AO775" s="17" t="n"/>
      <c r="AP775" s="17" t="n"/>
      <c r="AQ775" s="188" t="n"/>
      <c r="AR775" s="241" t="n">
        <f aca="false" ca="false" dt2D="false" dtr="false" t="normal">COUNTIF(AC775:AN775, "&gt;0")</f>
        <v>3</v>
      </c>
    </row>
    <row ht="15.75" outlineLevel="0" r="776">
      <c r="A776" s="240" t="n">
        <f aca="false" ca="false" dt2D="false" dtr="false" t="normal">A775+1</f>
        <v>751</v>
      </c>
      <c r="B776" s="138" t="n">
        <f aca="false" ca="false" dt2D="false" dtr="false" t="normal">B775+1</f>
        <v>262</v>
      </c>
      <c r="C776" s="138" t="s">
        <v>93</v>
      </c>
      <c r="D776" s="138" t="s">
        <v>641</v>
      </c>
      <c r="E776" s="139" t="n">
        <v>1969</v>
      </c>
      <c r="F776" s="139" t="n">
        <v>2015</v>
      </c>
      <c r="G776" s="139" t="s">
        <v>4</v>
      </c>
      <c r="H776" s="139" t="n">
        <v>4</v>
      </c>
      <c r="I776" s="139" t="n">
        <v>2</v>
      </c>
      <c r="J776" s="17" t="n">
        <v>1374</v>
      </c>
      <c r="K776" s="17" t="n">
        <v>1181.29</v>
      </c>
      <c r="L776" s="17" t="n">
        <v>71.9</v>
      </c>
      <c r="M776" s="140" t="n">
        <v>60</v>
      </c>
      <c r="N776" s="16" t="n">
        <f aca="false" ca="false" dt2D="false" dtr="false" t="normal">P776+Q776+R776+S776+T776</f>
        <v>11173587.760000002</v>
      </c>
      <c r="O776" s="17" t="n"/>
      <c r="P776" s="17" t="n">
        <v>0</v>
      </c>
      <c r="Q776" s="17" t="n"/>
      <c r="R776" s="16" t="n">
        <v>376498.24</v>
      </c>
      <c r="S776" s="16" t="n">
        <v>4476358.14916684</v>
      </c>
      <c r="T776" s="16" t="n">
        <v>6320731.37083316</v>
      </c>
      <c r="U776" s="17" t="n">
        <v>11006.1386376876</v>
      </c>
      <c r="V776" s="17" t="n">
        <v>1400.283020064</v>
      </c>
      <c r="W776" s="21" t="n">
        <v>2024</v>
      </c>
      <c r="X776" s="12" t="n">
        <v>220389.39</v>
      </c>
      <c r="Y776" s="3" t="n">
        <f aca="false" ca="false" dt2D="false" dtr="false" t="normal">+(K776*12.71+L776*25.41)*12*0.85</f>
        <v>171779.98398000002</v>
      </c>
      <c r="Z776" s="3" t="n">
        <f aca="false" ca="false" dt2D="false" dtr="false" t="normal">+(K776*12.71+L776*25.41)*12*30</f>
        <v>6062822.964000002</v>
      </c>
      <c r="AB776" s="16" t="n">
        <f aca="false" ca="false" dt2D="false" dtr="false" t="normal">'Приложение №2'!E774</f>
        <v>11173587.76</v>
      </c>
      <c r="AC776" s="17" t="n">
        <v>4350161.84</v>
      </c>
      <c r="AD776" s="17" t="n"/>
      <c r="AE776" s="17" t="n">
        <v>1513519.58</v>
      </c>
      <c r="AF776" s="17" t="n"/>
      <c r="AG776" s="17" t="n">
        <v>0</v>
      </c>
      <c r="AH776" s="17" t="n"/>
      <c r="AI776" s="17" t="n"/>
      <c r="AJ776" s="17" t="n">
        <v>0</v>
      </c>
      <c r="AK776" s="17" t="n">
        <v>5309906.34</v>
      </c>
      <c r="AL776" s="17" t="n">
        <v>0</v>
      </c>
      <c r="AM776" s="17" t="n">
        <v>0</v>
      </c>
      <c r="AN776" s="17" t="n">
        <v>0</v>
      </c>
      <c r="AO776" s="17" t="n"/>
      <c r="AP776" s="17" t="n"/>
      <c r="AQ776" s="188" t="n"/>
      <c r="AR776" s="241" t="n">
        <f aca="false" ca="false" dt2D="false" dtr="false" t="normal">COUNTIF(AC776:AN776, "&gt;0")</f>
        <v>3</v>
      </c>
    </row>
    <row ht="15.75" outlineLevel="0" r="777">
      <c r="A777" s="240" t="n">
        <f aca="false" ca="false" dt2D="false" dtr="false" t="normal">A776+1</f>
        <v>752</v>
      </c>
      <c r="B777" s="138" t="n">
        <f aca="false" ca="false" dt2D="false" dtr="false" t="normal">B776+1</f>
        <v>263</v>
      </c>
      <c r="C777" s="138" t="s">
        <v>93</v>
      </c>
      <c r="D777" s="138" t="s">
        <v>643</v>
      </c>
      <c r="E777" s="139" t="n">
        <v>1971</v>
      </c>
      <c r="F777" s="139" t="n">
        <v>2015</v>
      </c>
      <c r="G777" s="139" t="s">
        <v>4</v>
      </c>
      <c r="H777" s="139" t="n">
        <v>4</v>
      </c>
      <c r="I777" s="139" t="n">
        <v>3</v>
      </c>
      <c r="J777" s="17" t="n">
        <v>2198.9</v>
      </c>
      <c r="K777" s="17" t="n">
        <v>1976.38</v>
      </c>
      <c r="L777" s="17" t="n">
        <v>127.2</v>
      </c>
      <c r="M777" s="140" t="n">
        <v>98</v>
      </c>
      <c r="N777" s="16" t="n">
        <f aca="false" ca="false" dt2D="false" dtr="false" t="normal">P777+Q777+R777+S777+T777</f>
        <v>6390068.59</v>
      </c>
      <c r="O777" s="17" t="n"/>
      <c r="P777" s="17" t="n">
        <v>0</v>
      </c>
      <c r="Q777" s="17" t="n"/>
      <c r="R777" s="16" t="n">
        <v>1488845.93</v>
      </c>
      <c r="S777" s="242" t="n">
        <v>4901222.66</v>
      </c>
      <c r="T777" s="16" t="n"/>
      <c r="U777" s="17" t="n">
        <v>3062.91555348501</v>
      </c>
      <c r="V777" s="17" t="n">
        <v>3062.91555348501</v>
      </c>
      <c r="W777" s="21" t="n">
        <v>2024</v>
      </c>
      <c r="X777" s="1" t="n">
        <v>1226037.74</v>
      </c>
      <c r="Y777" s="3" t="n">
        <f aca="false" ca="false" dt2D="false" dtr="false" t="normal">+(K777*12.71+L777*25.41)*12*0.85</f>
        <v>289189.80636</v>
      </c>
      <c r="Z777" s="3" t="n">
        <f aca="false" ca="false" dt2D="false" dtr="false" t="normal">+(K777*12.71+L777*25.41)*12*30</f>
        <v>10206699.048</v>
      </c>
      <c r="AA777" s="3" t="n">
        <f aca="false" ca="false" dt2D="false" dtr="false" t="normal">+N777-AB777</f>
        <v>0</v>
      </c>
      <c r="AB777" s="16" t="n">
        <f aca="false" ca="false" dt2D="false" dtr="false" t="normal">'Приложение №2'!E775</f>
        <v>6390068.59</v>
      </c>
      <c r="AC777" s="17" t="n">
        <v>6390068.59</v>
      </c>
      <c r="AD777" s="17" t="n">
        <v>0</v>
      </c>
      <c r="AE777" s="17" t="n">
        <v>0</v>
      </c>
      <c r="AF777" s="17" t="n">
        <v>0</v>
      </c>
      <c r="AG777" s="17" t="n">
        <v>0</v>
      </c>
      <c r="AH777" s="17" t="n"/>
      <c r="AI777" s="17" t="n"/>
      <c r="AJ777" s="17" t="n">
        <v>0</v>
      </c>
      <c r="AK777" s="17" t="n">
        <v>0</v>
      </c>
      <c r="AL777" s="17" t="n">
        <v>0</v>
      </c>
      <c r="AM777" s="17" t="n">
        <v>0</v>
      </c>
      <c r="AN777" s="17" t="n">
        <v>0</v>
      </c>
      <c r="AO777" s="17" t="n"/>
      <c r="AP777" s="17" t="n"/>
      <c r="AQ777" s="188" t="n"/>
      <c r="AR777" s="241" t="n">
        <f aca="false" ca="false" dt2D="false" dtr="false" t="normal">COUNTIF(AC777:AN777, "&gt;0")</f>
        <v>1</v>
      </c>
    </row>
    <row ht="15.75" outlineLevel="0" r="778">
      <c r="A778" s="240" t="n">
        <f aca="false" ca="false" dt2D="false" dtr="false" t="normal">A777+1</f>
        <v>753</v>
      </c>
      <c r="B778" s="138" t="n">
        <f aca="false" ca="false" dt2D="false" dtr="false" t="normal">B777+1</f>
        <v>264</v>
      </c>
      <c r="C778" s="138" t="s">
        <v>93</v>
      </c>
      <c r="D778" s="138" t="s">
        <v>384</v>
      </c>
      <c r="E778" s="139" t="n">
        <v>1974</v>
      </c>
      <c r="F778" s="139" t="n">
        <v>2014</v>
      </c>
      <c r="G778" s="139" t="s">
        <v>4</v>
      </c>
      <c r="H778" s="139" t="n">
        <v>4</v>
      </c>
      <c r="I778" s="139" t="n">
        <v>6</v>
      </c>
      <c r="J778" s="17" t="n">
        <v>4464.7</v>
      </c>
      <c r="K778" s="17" t="n">
        <v>4072.9</v>
      </c>
      <c r="L778" s="17" t="n">
        <v>35.1</v>
      </c>
      <c r="M778" s="140" t="n">
        <v>161</v>
      </c>
      <c r="N778" s="16" t="n">
        <f aca="false" ca="false" dt2D="false" dtr="false" t="normal">P778+Q778+R778+S778+T778</f>
        <v>14189389.389999999</v>
      </c>
      <c r="O778" s="17" t="n"/>
      <c r="P778" s="17" t="n">
        <v>0</v>
      </c>
      <c r="Q778" s="17" t="n"/>
      <c r="R778" s="16" t="n">
        <v>488098.61</v>
      </c>
      <c r="S778" s="16" t="n">
        <v>13701290.78</v>
      </c>
      <c r="T778" s="16" t="n"/>
      <c r="U778" s="17" t="n">
        <v>2920.48106044304</v>
      </c>
      <c r="V778" s="17" t="n">
        <v>2920.48106044304</v>
      </c>
      <c r="W778" s="21" t="n">
        <v>2024</v>
      </c>
      <c r="X778" s="12" t="n"/>
      <c r="Y778" s="3" t="n">
        <f aca="false" ca="false" dt2D="false" dtr="false" t="normal">+(K778*12.71+L778*25.41)*12*0.85</f>
        <v>537116.1900000001</v>
      </c>
      <c r="Z778" s="3" t="n">
        <f aca="false" ca="false" dt2D="false" dtr="false" t="normal">+(K778*12.71+L778*25.41)*12*30-'[1]Лист1'!$AQ$92</f>
        <v>18593467.57</v>
      </c>
      <c r="AA778" s="3" t="n">
        <f aca="false" ca="false" dt2D="false" dtr="false" t="normal">+N778-AB778</f>
        <v>0</v>
      </c>
      <c r="AB778" s="16" t="n">
        <f aca="false" ca="false" dt2D="false" dtr="false" t="normal">'Приложение №2'!E776</f>
        <v>14189389.39</v>
      </c>
      <c r="AC778" s="17" t="n">
        <v>14189389.39</v>
      </c>
      <c r="AD778" s="17" t="n">
        <v>0</v>
      </c>
      <c r="AE778" s="17" t="n">
        <v>0</v>
      </c>
      <c r="AF778" s="17" t="n">
        <v>0</v>
      </c>
      <c r="AG778" s="17" t="n">
        <v>0</v>
      </c>
      <c r="AH778" s="17" t="n"/>
      <c r="AI778" s="17" t="n"/>
      <c r="AJ778" s="17" t="n">
        <v>0</v>
      </c>
      <c r="AK778" s="17" t="n">
        <v>0</v>
      </c>
      <c r="AL778" s="17" t="n">
        <v>0</v>
      </c>
      <c r="AM778" s="17" t="n">
        <v>0</v>
      </c>
      <c r="AN778" s="17" t="n">
        <v>0</v>
      </c>
      <c r="AO778" s="17" t="n"/>
      <c r="AP778" s="17" t="n"/>
      <c r="AQ778" s="188" t="n"/>
      <c r="AR778" s="241" t="n">
        <f aca="false" ca="false" dt2D="false" dtr="false" t="normal">COUNTIF(AC778:AN778, "&gt;0")</f>
        <v>1</v>
      </c>
    </row>
    <row ht="15.75" outlineLevel="0" r="779">
      <c r="A779" s="240" t="n">
        <f aca="false" ca="false" dt2D="false" dtr="false" t="normal">A778+1</f>
        <v>754</v>
      </c>
      <c r="B779" s="138" t="n">
        <f aca="false" ca="false" dt2D="false" dtr="false" t="normal">B778+1</f>
        <v>265</v>
      </c>
      <c r="C779" s="138" t="s">
        <v>93</v>
      </c>
      <c r="D779" s="138" t="s">
        <v>645</v>
      </c>
      <c r="E779" s="139" t="n">
        <v>1968</v>
      </c>
      <c r="F779" s="139" t="n">
        <v>2013</v>
      </c>
      <c r="G779" s="139" t="s">
        <v>4</v>
      </c>
      <c r="H779" s="139" t="n">
        <v>4</v>
      </c>
      <c r="I779" s="139" t="n">
        <v>2</v>
      </c>
      <c r="J779" s="17" t="n">
        <v>1327.8</v>
      </c>
      <c r="K779" s="17" t="n">
        <v>1187.9</v>
      </c>
      <c r="L779" s="17" t="n">
        <v>88.4</v>
      </c>
      <c r="M779" s="140" t="n">
        <v>51</v>
      </c>
      <c r="N779" s="16" t="n">
        <f aca="false" ca="false" dt2D="false" dtr="false" t="normal">P779+Q779+R779+S779+T779</f>
        <v>10843494.149999999</v>
      </c>
      <c r="O779" s="17" t="n"/>
      <c r="P779" s="17" t="n">
        <v>0</v>
      </c>
      <c r="Q779" s="17" t="n"/>
      <c r="R779" s="16" t="n">
        <v>441305.93</v>
      </c>
      <c r="S779" s="16" t="n">
        <v>4497369.96831557</v>
      </c>
      <c r="T779" s="16" t="n">
        <v>5904818.25168443</v>
      </c>
      <c r="U779" s="17" t="n">
        <v>10559.4394600572</v>
      </c>
      <c r="V779" s="17" t="n">
        <v>1402.283020064</v>
      </c>
      <c r="W779" s="21" t="n">
        <v>2024</v>
      </c>
      <c r="X779" s="12" t="n">
        <v>280530.62</v>
      </c>
      <c r="Y779" s="3" t="n">
        <f aca="false" ca="false" dt2D="false" dtr="false" t="normal">+(K779*12.71+L779*25.41)*12*0.85</f>
        <v>176913.4206</v>
      </c>
      <c r="Z779" s="3" t="n">
        <f aca="false" ca="false" dt2D="false" dtr="false" t="normal">+(K779*12.71+L779*25.41)*12*30</f>
        <v>6244003.08</v>
      </c>
      <c r="AB779" s="16" t="n">
        <f aca="false" ca="false" dt2D="false" dtr="false" t="normal">'Приложение №2'!E777</f>
        <v>10843494.149999999</v>
      </c>
      <c r="AC779" s="17" t="n">
        <v>4424020.72</v>
      </c>
      <c r="AD779" s="17" t="n"/>
      <c r="AE779" s="17" t="n">
        <v>1374170.93</v>
      </c>
      <c r="AF779" s="17" t="n"/>
      <c r="AG779" s="17" t="n">
        <v>0</v>
      </c>
      <c r="AH779" s="17" t="n"/>
      <c r="AI779" s="17" t="n"/>
      <c r="AJ779" s="17" t="n">
        <v>0</v>
      </c>
      <c r="AK779" s="17" t="n">
        <v>5045302.5</v>
      </c>
      <c r="AL779" s="17" t="n">
        <v>0</v>
      </c>
      <c r="AM779" s="17" t="n">
        <v>0</v>
      </c>
      <c r="AN779" s="17" t="n">
        <v>0</v>
      </c>
      <c r="AO779" s="17" t="n"/>
      <c r="AP779" s="17" t="n"/>
      <c r="AQ779" s="188" t="n"/>
      <c r="AR779" s="241" t="n">
        <f aca="false" ca="false" dt2D="false" dtr="false" t="normal">COUNTIF(AC779:AN779, "&gt;0")</f>
        <v>3</v>
      </c>
    </row>
    <row ht="15.75" outlineLevel="0" r="780">
      <c r="A780" s="240" t="n">
        <f aca="false" ca="false" dt2D="false" dtr="false" t="normal">A779+1</f>
        <v>755</v>
      </c>
      <c r="B780" s="138" t="n">
        <f aca="false" ca="false" dt2D="false" dtr="false" t="normal">B779+1</f>
        <v>266</v>
      </c>
      <c r="C780" s="138" t="s">
        <v>93</v>
      </c>
      <c r="D780" s="138" t="s">
        <v>647</v>
      </c>
      <c r="E780" s="139" t="n">
        <v>1985</v>
      </c>
      <c r="F780" s="139" t="n">
        <v>2015</v>
      </c>
      <c r="G780" s="139" t="s">
        <v>4</v>
      </c>
      <c r="H780" s="139" t="n">
        <v>9</v>
      </c>
      <c r="I780" s="139" t="n">
        <v>1</v>
      </c>
      <c r="J780" s="17" t="n">
        <v>2289.2</v>
      </c>
      <c r="K780" s="17" t="n">
        <v>1890</v>
      </c>
      <c r="L780" s="17" t="n">
        <v>116.7</v>
      </c>
      <c r="M780" s="140" t="n">
        <v>81</v>
      </c>
      <c r="N780" s="16" t="n">
        <f aca="false" ca="false" dt2D="false" dtr="false" t="normal">P780+Q780+R780+S780+T780</f>
        <v>17030124.55</v>
      </c>
      <c r="O780" s="17" t="n"/>
      <c r="P780" s="17" t="n">
        <v>0</v>
      </c>
      <c r="Q780" s="17" t="n"/>
      <c r="R780" s="16" t="n">
        <v>1585675.48</v>
      </c>
      <c r="S780" s="16" t="n">
        <v>11180850.37</v>
      </c>
      <c r="T780" s="16" t="n">
        <v>4263598.7</v>
      </c>
      <c r="U780" s="17" t="n">
        <v>10637.2933701032</v>
      </c>
      <c r="V780" s="17" t="n">
        <v>10637.2933701032</v>
      </c>
      <c r="W780" s="21" t="n">
        <v>2024</v>
      </c>
      <c r="X780" s="1" t="n">
        <v>1258785.53</v>
      </c>
      <c r="Y780" s="3" t="n">
        <f aca="false" ca="false" dt2D="false" dtr="false" t="normal">+(K780*16.89+L780*28.62)*12*0.85</f>
        <v>359672.95080000005</v>
      </c>
      <c r="Z780" s="3" t="n">
        <f aca="false" ca="false" dt2D="false" dtr="false" t="normal">+(K780*16.89+L780*28.62)*12*30</f>
        <v>12694339.440000001</v>
      </c>
      <c r="AB780" s="16" t="n">
        <f aca="false" ca="false" dt2D="false" dtr="false" t="normal">'Приложение №2'!E778</f>
        <v>17030124.549999997</v>
      </c>
      <c r="AC780" s="17" t="n">
        <v>5255348.26</v>
      </c>
      <c r="AD780" s="17" t="n">
        <v>2576885.76</v>
      </c>
      <c r="AE780" s="17" t="n">
        <v>1123654.06</v>
      </c>
      <c r="AF780" s="17" t="n">
        <v>2148802.02</v>
      </c>
      <c r="AG780" s="17" t="n">
        <v>0</v>
      </c>
      <c r="AH780" s="17" t="n"/>
      <c r="AI780" s="17" t="n"/>
      <c r="AJ780" s="17" t="n">
        <v>0</v>
      </c>
      <c r="AK780" s="17" t="n">
        <v>2915091.37</v>
      </c>
      <c r="AL780" s="17" t="n">
        <v>0</v>
      </c>
      <c r="AM780" s="17" t="n">
        <v>0</v>
      </c>
      <c r="AN780" s="17" t="n">
        <v>3010343.08</v>
      </c>
      <c r="AO780" s="17" t="n"/>
      <c r="AP780" s="17" t="n"/>
      <c r="AQ780" s="188" t="n"/>
      <c r="AR780" s="241" t="n">
        <f aca="false" ca="false" dt2D="false" dtr="false" t="normal">COUNTIF(AC780:AN780, "&gt;0")</f>
        <v>6</v>
      </c>
    </row>
    <row ht="15.75" outlineLevel="0" r="781">
      <c r="A781" s="240" t="n">
        <f aca="false" ca="false" dt2D="false" dtr="false" t="normal">A780+1</f>
        <v>756</v>
      </c>
      <c r="B781" s="138" t="n">
        <f aca="false" ca="false" dt2D="false" dtr="false" t="normal">B780+1</f>
        <v>267</v>
      </c>
      <c r="C781" s="138" t="s">
        <v>93</v>
      </c>
      <c r="D781" s="138" t="s">
        <v>648</v>
      </c>
      <c r="E781" s="139" t="n">
        <v>1976</v>
      </c>
      <c r="F781" s="139" t="n">
        <v>2013</v>
      </c>
      <c r="G781" s="139" t="s">
        <v>4</v>
      </c>
      <c r="H781" s="139" t="n">
        <v>4</v>
      </c>
      <c r="I781" s="139" t="n">
        <v>6</v>
      </c>
      <c r="J781" s="17" t="n">
        <v>4690.7</v>
      </c>
      <c r="K781" s="17" t="n">
        <v>4312.1</v>
      </c>
      <c r="L781" s="17" t="n">
        <v>202.5</v>
      </c>
      <c r="M781" s="140" t="n">
        <v>191</v>
      </c>
      <c r="N781" s="16" t="n">
        <f aca="false" ca="false" dt2D="false" dtr="false" t="normal">P781+Q781+R781+S781+T781</f>
        <v>11351495.93</v>
      </c>
      <c r="O781" s="17" t="n"/>
      <c r="P781" s="17" t="n">
        <v>0</v>
      </c>
      <c r="Q781" s="17" t="n"/>
      <c r="R781" s="16" t="n">
        <v>759010.68</v>
      </c>
      <c r="S781" s="16" t="n">
        <v>1279498.962</v>
      </c>
      <c r="T781" s="16" t="n">
        <v>9312986.288</v>
      </c>
      <c r="U781" s="17" t="n">
        <v>2792.89239868427</v>
      </c>
      <c r="V781" s="17" t="n">
        <v>2792.89239868427</v>
      </c>
      <c r="W781" s="21" t="n">
        <v>2024</v>
      </c>
      <c r="X781" s="3" t="n">
        <f aca="false" ca="false" dt2D="false" dtr="false" t="normal">+'[1]Лист1'!$BC$97</f>
        <v>203289.13</v>
      </c>
      <c r="Y781" s="3" t="n">
        <f aca="false" ca="false" dt2D="false" dtr="false" t="normal">+(K781*12.71+L781*25.41)*12*0.85</f>
        <v>611513.6232000001</v>
      </c>
      <c r="Z781" s="3" t="n">
        <f aca="false" ca="false" dt2D="false" dtr="false" t="normal">+(K781*12.71+L781*25.41)*12*30</f>
        <v>21582833.760000005</v>
      </c>
      <c r="AB781" s="16" t="n">
        <f aca="false" ca="false" dt2D="false" dtr="false" t="normal">'Приложение №2'!E779</f>
        <v>11351495.93</v>
      </c>
      <c r="AC781" s="17" t="n">
        <v>11351495.93</v>
      </c>
      <c r="AD781" s="17" t="n">
        <v>0</v>
      </c>
      <c r="AE781" s="17" t="n">
        <v>0</v>
      </c>
      <c r="AF781" s="17" t="n"/>
      <c r="AG781" s="17" t="n">
        <v>0</v>
      </c>
      <c r="AH781" s="17" t="n"/>
      <c r="AI781" s="17" t="n"/>
      <c r="AJ781" s="17" t="n">
        <v>0</v>
      </c>
      <c r="AK781" s="17" t="n">
        <v>0</v>
      </c>
      <c r="AL781" s="17" t="n">
        <v>0</v>
      </c>
      <c r="AM781" s="17" t="n"/>
      <c r="AN781" s="17" t="n"/>
      <c r="AO781" s="17" t="n"/>
      <c r="AP781" s="17" t="n"/>
      <c r="AQ781" s="188" t="n"/>
      <c r="AR781" s="241" t="n">
        <f aca="false" ca="false" dt2D="false" dtr="false" t="normal">COUNTIF(AC781:AN781, "&gt;0")</f>
        <v>1</v>
      </c>
    </row>
    <row ht="15.75" outlineLevel="0" r="782">
      <c r="A782" s="240" t="n">
        <f aca="false" ca="false" dt2D="false" dtr="false" t="normal">A781+1</f>
        <v>757</v>
      </c>
      <c r="B782" s="138" t="n">
        <f aca="false" ca="false" dt2D="false" dtr="false" t="normal">B781+1</f>
        <v>268</v>
      </c>
      <c r="C782" s="138" t="s">
        <v>93</v>
      </c>
      <c r="D782" s="138" t="s">
        <v>649</v>
      </c>
      <c r="E782" s="139" t="n">
        <v>1989</v>
      </c>
      <c r="F782" s="139" t="n">
        <v>2015</v>
      </c>
      <c r="G782" s="139" t="s">
        <v>4</v>
      </c>
      <c r="H782" s="139" t="n">
        <v>9</v>
      </c>
      <c r="I782" s="139" t="n">
        <v>1</v>
      </c>
      <c r="J782" s="17" t="n">
        <v>2263.8</v>
      </c>
      <c r="K782" s="17" t="n">
        <v>1890.48</v>
      </c>
      <c r="L782" s="17" t="n">
        <v>120.7</v>
      </c>
      <c r="M782" s="140" t="n">
        <v>89</v>
      </c>
      <c r="N782" s="16" t="n">
        <f aca="false" ca="false" dt2D="false" dtr="false" t="normal">P782+Q782+R782+S782+T782</f>
        <v>5979919.5200000005</v>
      </c>
      <c r="O782" s="17" t="n"/>
      <c r="P782" s="17" t="n">
        <v>0</v>
      </c>
      <c r="Q782" s="17" t="n"/>
      <c r="R782" s="16" t="n">
        <v>1827076.05</v>
      </c>
      <c r="S782" s="16" t="n">
        <v>4152843.47</v>
      </c>
      <c r="T782" s="16" t="n"/>
      <c r="U782" s="17" t="n">
        <v>2655.32448662139</v>
      </c>
      <c r="V782" s="17" t="n">
        <v>2655.32448662139</v>
      </c>
      <c r="W782" s="21" t="n">
        <v>2024</v>
      </c>
      <c r="X782" s="1" t="n">
        <v>1499049.33</v>
      </c>
      <c r="Y782" s="3" t="n">
        <f aca="false" ca="false" dt2D="false" dtr="false" t="normal">+(K782*16.89+L782*28.62)*12*0.85</f>
        <v>360923.34024</v>
      </c>
      <c r="Z782" s="3" t="n">
        <f aca="false" ca="false" dt2D="false" dtr="false" t="normal">+(K782*16.89+L782*28.62)*12*30</f>
        <v>12738470.831999999</v>
      </c>
      <c r="AA782" s="3" t="n">
        <f aca="false" ca="false" dt2D="false" dtr="false" t="normal">+N782-AB782</f>
        <v>0</v>
      </c>
      <c r="AB782" s="16" t="n">
        <f aca="false" ca="false" dt2D="false" dtr="false" t="normal">'Приложение №2'!E780</f>
        <v>5979919.52</v>
      </c>
      <c r="AC782" s="17" t="n">
        <v>5979919.52</v>
      </c>
      <c r="AD782" s="17" t="n"/>
      <c r="AE782" s="17" t="n"/>
      <c r="AF782" s="17" t="n"/>
      <c r="AG782" s="17" t="n"/>
      <c r="AH782" s="17" t="n"/>
      <c r="AI782" s="17" t="n"/>
      <c r="AJ782" s="17" t="n">
        <v>0</v>
      </c>
      <c r="AK782" s="17" t="n">
        <v>0</v>
      </c>
      <c r="AL782" s="17" t="n">
        <v>0</v>
      </c>
      <c r="AM782" s="17" t="n">
        <v>0</v>
      </c>
      <c r="AN782" s="17" t="n"/>
      <c r="AO782" s="17" t="n"/>
      <c r="AP782" s="17" t="n"/>
      <c r="AQ782" s="188" t="n"/>
      <c r="AR782" s="241" t="n">
        <f aca="false" ca="false" dt2D="false" dtr="false" t="normal">COUNTIF(AC782:AN782, "&gt;0")</f>
        <v>1</v>
      </c>
    </row>
    <row ht="15.75" outlineLevel="0" r="783">
      <c r="A783" s="240" t="n">
        <f aca="false" ca="false" dt2D="false" dtr="false" t="normal">A782+1</f>
        <v>758</v>
      </c>
      <c r="B783" s="138" t="n">
        <f aca="false" ca="false" dt2D="false" dtr="false" t="normal">B782+1</f>
        <v>269</v>
      </c>
      <c r="C783" s="138" t="s">
        <v>93</v>
      </c>
      <c r="D783" s="138" t="s">
        <v>651</v>
      </c>
      <c r="E783" s="139" t="n">
        <v>1983</v>
      </c>
      <c r="F783" s="139" t="n">
        <v>2015</v>
      </c>
      <c r="G783" s="139" t="s">
        <v>4</v>
      </c>
      <c r="H783" s="139" t="n">
        <v>9</v>
      </c>
      <c r="I783" s="139" t="n">
        <v>1</v>
      </c>
      <c r="J783" s="17" t="n">
        <v>5368</v>
      </c>
      <c r="K783" s="17" t="n">
        <v>4278.88</v>
      </c>
      <c r="L783" s="17" t="n">
        <v>61.4</v>
      </c>
      <c r="M783" s="140" t="n">
        <v>194</v>
      </c>
      <c r="N783" s="16" t="n">
        <f aca="false" ca="false" dt2D="false" dtr="false" t="normal">P783+Q783+R783+S783+T783</f>
        <v>3883900.51</v>
      </c>
      <c r="O783" s="17" t="n"/>
      <c r="P783" s="17" t="n">
        <v>0</v>
      </c>
      <c r="Q783" s="17" t="n"/>
      <c r="R783" s="16" t="n">
        <v>3883900.51</v>
      </c>
      <c r="S783" s="16" t="n">
        <v>0</v>
      </c>
      <c r="T783" s="16" t="n"/>
      <c r="U783" s="17" t="n">
        <v>1015.24716608084</v>
      </c>
      <c r="V783" s="17" t="n">
        <v>1405.283020064</v>
      </c>
      <c r="W783" s="21" t="n">
        <v>2024</v>
      </c>
      <c r="X783" s="103" t="n">
        <v>3487762.01</v>
      </c>
      <c r="Y783" s="3" t="n">
        <f aca="false" ca="false" dt2D="false" dtr="false" t="normal">+(K783*16.89+L783*28.62)*12*0.85</f>
        <v>755081.0222400001</v>
      </c>
      <c r="Z783" s="3" t="n">
        <f aca="false" ca="false" dt2D="false" dtr="false" t="normal">+(K783*16.89+L783*28.62)*12*30</f>
        <v>26649918.432000004</v>
      </c>
      <c r="AA783" s="3" t="n">
        <f aca="false" ca="false" dt2D="false" dtr="false" t="normal">+N783-AB783</f>
        <v>0</v>
      </c>
      <c r="AB783" s="16" t="n">
        <f aca="false" ca="false" dt2D="false" dtr="false" t="normal">'Приложение №2'!E781</f>
        <v>3883900.51</v>
      </c>
      <c r="AC783" s="17" t="n">
        <v>0</v>
      </c>
      <c r="AD783" s="17" t="n">
        <v>0</v>
      </c>
      <c r="AE783" s="17" t="n">
        <v>3883900.51</v>
      </c>
      <c r="AF783" s="17" t="n">
        <v>0</v>
      </c>
      <c r="AG783" s="17" t="n">
        <v>0</v>
      </c>
      <c r="AH783" s="17" t="n"/>
      <c r="AI783" s="17" t="n"/>
      <c r="AJ783" s="17" t="n">
        <v>0</v>
      </c>
      <c r="AK783" s="17" t="n">
        <v>0</v>
      </c>
      <c r="AL783" s="17" t="n">
        <v>0</v>
      </c>
      <c r="AM783" s="17" t="n">
        <v>0</v>
      </c>
      <c r="AN783" s="17" t="n">
        <v>0</v>
      </c>
      <c r="AO783" s="17" t="n"/>
      <c r="AP783" s="17" t="n"/>
      <c r="AQ783" s="188" t="n"/>
      <c r="AR783" s="241" t="n">
        <f aca="false" ca="false" dt2D="false" dtr="false" t="normal">COUNTIF(AC783:AN783, "&gt;0")</f>
        <v>1</v>
      </c>
    </row>
    <row ht="15.75" outlineLevel="0" r="784">
      <c r="A784" s="240" t="n">
        <f aca="false" ca="false" dt2D="false" dtr="false" t="normal">A783+1</f>
        <v>759</v>
      </c>
      <c r="B784" s="138" t="n">
        <f aca="false" ca="false" dt2D="false" dtr="false" t="normal">B783+1</f>
        <v>270</v>
      </c>
      <c r="C784" s="138" t="s">
        <v>93</v>
      </c>
      <c r="D784" s="138" t="s">
        <v>654</v>
      </c>
      <c r="E784" s="139" t="n">
        <v>1992</v>
      </c>
      <c r="F784" s="139" t="n">
        <v>2013</v>
      </c>
      <c r="G784" s="139" t="s">
        <v>4</v>
      </c>
      <c r="H784" s="139" t="n">
        <v>9</v>
      </c>
      <c r="I784" s="139" t="n">
        <v>1</v>
      </c>
      <c r="J784" s="17" t="n">
        <v>2277.4</v>
      </c>
      <c r="K784" s="17" t="n">
        <v>2020.55</v>
      </c>
      <c r="L784" s="17" t="n">
        <v>0</v>
      </c>
      <c r="M784" s="140" t="n">
        <v>98</v>
      </c>
      <c r="N784" s="16" t="n">
        <f aca="false" ca="false" dt2D="false" dtr="false" t="normal">P784+Q784+R784+S784+T784</f>
        <v>3572320.01</v>
      </c>
      <c r="O784" s="17" t="n"/>
      <c r="P784" s="17" t="n">
        <v>0</v>
      </c>
      <c r="Q784" s="17" t="n"/>
      <c r="R784" s="16" t="n">
        <v>2037653.23</v>
      </c>
      <c r="S784" s="16" t="n">
        <v>1534666.78</v>
      </c>
      <c r="T784" s="16" t="n"/>
      <c r="U784" s="17" t="n">
        <v>1616.81294231769</v>
      </c>
      <c r="V784" s="17" t="n">
        <v>1406.283020064</v>
      </c>
      <c r="W784" s="21" t="n">
        <v>2024</v>
      </c>
      <c r="X784" s="103" t="n">
        <v>1721295.72</v>
      </c>
      <c r="Y784" s="3" t="n">
        <f aca="false" ca="false" dt2D="false" dtr="false" t="normal">+(K784*16.89+L784*28.62)*12*0.85</f>
        <v>348096.3129</v>
      </c>
      <c r="Z784" s="3" t="n">
        <f aca="false" ca="false" dt2D="false" dtr="false" t="normal">+(K784*16.89+L784*28.62)*12*30</f>
        <v>12285752.22</v>
      </c>
      <c r="AA784" s="3" t="n">
        <f aca="false" ca="false" dt2D="false" dtr="false" t="normal">+N784-AB784</f>
        <v>0</v>
      </c>
      <c r="AB784" s="16" t="n">
        <f aca="false" ca="false" dt2D="false" dtr="false" t="normal">'Приложение №2'!E782</f>
        <v>3572320.01</v>
      </c>
      <c r="AC784" s="17" t="n"/>
      <c r="AD784" s="17" t="n">
        <v>3572320.01</v>
      </c>
      <c r="AE784" s="17" t="n">
        <v>0</v>
      </c>
      <c r="AF784" s="17" t="n">
        <v>0</v>
      </c>
      <c r="AG784" s="17" t="n">
        <v>0</v>
      </c>
      <c r="AH784" s="17" t="n"/>
      <c r="AI784" s="17" t="n"/>
      <c r="AJ784" s="17" t="n">
        <v>0</v>
      </c>
      <c r="AK784" s="17" t="n">
        <v>0</v>
      </c>
      <c r="AL784" s="17" t="n">
        <v>0</v>
      </c>
      <c r="AM784" s="17" t="n">
        <v>0</v>
      </c>
      <c r="AN784" s="17" t="n">
        <v>0</v>
      </c>
      <c r="AO784" s="17" t="n"/>
      <c r="AP784" s="17" t="n"/>
      <c r="AQ784" s="188" t="n"/>
      <c r="AR784" s="241" t="n">
        <f aca="false" ca="false" dt2D="false" dtr="false" t="normal">COUNTIF(AC784:AN784, "&gt;0")</f>
        <v>1</v>
      </c>
    </row>
    <row ht="15.75" outlineLevel="0" r="785">
      <c r="A785" s="240" t="n">
        <f aca="false" ca="false" dt2D="false" dtr="false" t="normal">A784+1</f>
        <v>760</v>
      </c>
      <c r="B785" s="138" t="n">
        <f aca="false" ca="false" dt2D="false" dtr="false" t="normal">B784+1</f>
        <v>271</v>
      </c>
      <c r="C785" s="138" t="s">
        <v>93</v>
      </c>
      <c r="D785" s="138" t="s">
        <v>656</v>
      </c>
      <c r="E785" s="139" t="n">
        <v>1989</v>
      </c>
      <c r="F785" s="139" t="n">
        <v>2015</v>
      </c>
      <c r="G785" s="139" t="s">
        <v>4</v>
      </c>
      <c r="H785" s="139" t="n">
        <v>9</v>
      </c>
      <c r="I785" s="139" t="n">
        <v>1</v>
      </c>
      <c r="J785" s="17" t="n">
        <v>2250.9</v>
      </c>
      <c r="K785" s="17" t="n">
        <v>2005.7</v>
      </c>
      <c r="L785" s="17" t="n">
        <v>0</v>
      </c>
      <c r="M785" s="140" t="n">
        <v>81</v>
      </c>
      <c r="N785" s="16" t="n">
        <f aca="false" ca="false" dt2D="false" dtr="false" t="normal">P785+Q785+R785+S785+T785</f>
        <v>8396214.120000001</v>
      </c>
      <c r="O785" s="17" t="n"/>
      <c r="P785" s="17" t="n">
        <v>0</v>
      </c>
      <c r="Q785" s="17" t="n"/>
      <c r="R785" s="16" t="n">
        <v>1895042.22</v>
      </c>
      <c r="S785" s="16" t="n">
        <v>6501171.9</v>
      </c>
      <c r="T785" s="16" t="n"/>
      <c r="U785" s="17" t="n">
        <v>4416.50005966595</v>
      </c>
      <c r="V785" s="17" t="n">
        <v>4416.50005966595</v>
      </c>
      <c r="W785" s="21" t="n">
        <v>2024</v>
      </c>
      <c r="X785" s="1" t="n">
        <v>1581009.77</v>
      </c>
      <c r="Y785" s="3" t="n">
        <f aca="false" ca="false" dt2D="false" dtr="false" t="normal">+(K785*16.89+L785*28.62)*12*0.85</f>
        <v>345537.9846</v>
      </c>
      <c r="Z785" s="3" t="n">
        <f aca="false" ca="false" dt2D="false" dtr="false" t="normal">+(K785*16.89+L785*28.62)*12*30</f>
        <v>12195458.280000001</v>
      </c>
      <c r="AA785" s="3" t="n">
        <f aca="false" ca="false" dt2D="false" dtr="false" t="normal">+N785-AB785</f>
        <v>0</v>
      </c>
      <c r="AB785" s="16" t="n">
        <f aca="false" ca="false" dt2D="false" dtr="false" t="normal">'Приложение №2'!E783</f>
        <v>8396214.120000001</v>
      </c>
      <c r="AC785" s="17" t="n">
        <v>5925260.24</v>
      </c>
      <c r="AD785" s="17" t="n">
        <v>2470953.88</v>
      </c>
      <c r="AE785" s="17" t="n">
        <v>0</v>
      </c>
      <c r="AF785" s="17" t="n">
        <v>0</v>
      </c>
      <c r="AG785" s="17" t="n">
        <v>0</v>
      </c>
      <c r="AH785" s="17" t="n"/>
      <c r="AI785" s="17" t="n"/>
      <c r="AJ785" s="17" t="n">
        <v>0</v>
      </c>
      <c r="AK785" s="17" t="n">
        <v>0</v>
      </c>
      <c r="AL785" s="17" t="n">
        <v>0</v>
      </c>
      <c r="AM785" s="17" t="n">
        <v>0</v>
      </c>
      <c r="AN785" s="17" t="n">
        <v>0</v>
      </c>
      <c r="AO785" s="17" t="n"/>
      <c r="AP785" s="17" t="n"/>
      <c r="AQ785" s="188" t="n"/>
      <c r="AR785" s="241" t="n">
        <f aca="false" ca="false" dt2D="false" dtr="false" t="normal">COUNTIF(AC785:AN785, "&gt;0")</f>
        <v>2</v>
      </c>
    </row>
    <row ht="15.75" outlineLevel="0" r="786">
      <c r="A786" s="240" t="n">
        <f aca="false" ca="false" dt2D="false" dtr="false" t="normal">A785+1</f>
        <v>761</v>
      </c>
      <c r="B786" s="138" t="n">
        <f aca="false" ca="false" dt2D="false" dtr="false" t="normal">B785+1</f>
        <v>272</v>
      </c>
      <c r="C786" s="138" t="s">
        <v>93</v>
      </c>
      <c r="D786" s="138" t="s">
        <v>658</v>
      </c>
      <c r="E786" s="139" t="n">
        <v>1992</v>
      </c>
      <c r="F786" s="139" t="n">
        <v>2015</v>
      </c>
      <c r="G786" s="139" t="s">
        <v>4</v>
      </c>
      <c r="H786" s="139" t="n">
        <v>9</v>
      </c>
      <c r="I786" s="139" t="n">
        <v>1</v>
      </c>
      <c r="J786" s="17" t="n">
        <v>2197.2</v>
      </c>
      <c r="K786" s="17" t="n">
        <v>1934.5</v>
      </c>
      <c r="L786" s="17" t="n">
        <v>60.3</v>
      </c>
      <c r="M786" s="140" t="n">
        <v>70</v>
      </c>
      <c r="N786" s="16" t="n">
        <f aca="false" ca="false" dt2D="false" dtr="false" t="normal">P786+Q786+R786+S786+T786</f>
        <v>3393377.71</v>
      </c>
      <c r="O786" s="17" t="n"/>
      <c r="P786" s="17" t="n">
        <v>0</v>
      </c>
      <c r="Q786" s="17" t="n"/>
      <c r="R786" s="16" t="n">
        <v>1957839.71</v>
      </c>
      <c r="S786" s="16" t="n">
        <v>1435538</v>
      </c>
      <c r="T786" s="16" t="n"/>
      <c r="U786" s="17" t="n">
        <v>1621.74910230034</v>
      </c>
      <c r="V786" s="17" t="n">
        <v>1407.283020064</v>
      </c>
      <c r="W786" s="21" t="n">
        <v>2024</v>
      </c>
      <c r="X786" s="103" t="n">
        <v>1638951.18</v>
      </c>
      <c r="Y786" s="3" t="n">
        <f aca="false" ca="false" dt2D="false" dtr="false" t="normal">+(K786*16.89+L786*28.62)*12*0.85</f>
        <v>350874.80819999997</v>
      </c>
      <c r="Z786" s="3" t="n">
        <f aca="false" ca="false" dt2D="false" dtr="false" t="normal">+(K786*16.89+L786*28.62)*12*30</f>
        <v>12383816.76</v>
      </c>
      <c r="AA786" s="3" t="n">
        <f aca="false" ca="false" dt2D="false" dtr="false" t="normal">+N786-AB786</f>
        <v>0</v>
      </c>
      <c r="AB786" s="16" t="n">
        <f aca="false" ca="false" dt2D="false" dtr="false" t="normal">'Приложение №2'!E784</f>
        <v>3393377.71</v>
      </c>
      <c r="AC786" s="17" t="n"/>
      <c r="AD786" s="17" t="n">
        <v>3393377.71</v>
      </c>
      <c r="AE786" s="17" t="n">
        <v>0</v>
      </c>
      <c r="AF786" s="17" t="n">
        <v>0</v>
      </c>
      <c r="AG786" s="17" t="n">
        <v>0</v>
      </c>
      <c r="AH786" s="17" t="n"/>
      <c r="AI786" s="17" t="n"/>
      <c r="AJ786" s="17" t="n">
        <v>0</v>
      </c>
      <c r="AK786" s="17" t="n">
        <v>0</v>
      </c>
      <c r="AL786" s="17" t="n">
        <v>0</v>
      </c>
      <c r="AM786" s="17" t="n">
        <v>0</v>
      </c>
      <c r="AN786" s="17" t="n">
        <v>0</v>
      </c>
      <c r="AO786" s="17" t="n"/>
      <c r="AP786" s="17" t="n"/>
      <c r="AQ786" s="188" t="n"/>
      <c r="AR786" s="241" t="n">
        <f aca="false" ca="false" dt2D="false" dtr="false" t="normal">COUNTIF(AC786:AN786, "&gt;0")</f>
        <v>1</v>
      </c>
    </row>
    <row ht="15.75" outlineLevel="0" r="787">
      <c r="A787" s="240" t="n">
        <f aca="false" ca="false" dt2D="false" dtr="false" t="normal">A786+1</f>
        <v>762</v>
      </c>
      <c r="B787" s="138" t="n">
        <f aca="false" ca="false" dt2D="false" dtr="false" t="normal">B786+1</f>
        <v>273</v>
      </c>
      <c r="C787" s="138" t="s">
        <v>93</v>
      </c>
      <c r="D787" s="138" t="s">
        <v>660</v>
      </c>
      <c r="E787" s="139" t="n">
        <v>1988</v>
      </c>
      <c r="F787" s="139" t="n">
        <v>2014</v>
      </c>
      <c r="G787" s="139" t="s">
        <v>4</v>
      </c>
      <c r="H787" s="139" t="n">
        <v>9</v>
      </c>
      <c r="I787" s="139" t="n">
        <v>1</v>
      </c>
      <c r="J787" s="17" t="n">
        <v>2270.5</v>
      </c>
      <c r="K787" s="17" t="n">
        <v>2006.4</v>
      </c>
      <c r="L787" s="17" t="n">
        <v>66</v>
      </c>
      <c r="M787" s="140" t="n">
        <v>90</v>
      </c>
      <c r="N787" s="16" t="n">
        <f aca="false" ca="false" dt2D="false" dtr="false" t="normal">P787+Q787+R787+S787+T787</f>
        <v>7286252.95</v>
      </c>
      <c r="O787" s="17" t="n"/>
      <c r="P787" s="17" t="n">
        <v>0</v>
      </c>
      <c r="Q787" s="17" t="n"/>
      <c r="R787" s="16" t="n">
        <v>1759978.45</v>
      </c>
      <c r="S787" s="16" t="n">
        <v>5526274.5</v>
      </c>
      <c r="T787" s="16" t="n"/>
      <c r="U787" s="17" t="n">
        <v>3609.9971147182</v>
      </c>
      <c r="V787" s="17" t="n">
        <v>3609.9971147182</v>
      </c>
      <c r="W787" s="21" t="n">
        <v>2024</v>
      </c>
      <c r="X787" s="1" t="n">
        <v>1428319.74</v>
      </c>
      <c r="Y787" s="3" t="n">
        <f aca="false" ca="false" dt2D="false" dtr="false" t="normal">+(K787*16.89+L787*28.62)*12*0.85</f>
        <v>364925.56320000003</v>
      </c>
      <c r="Z787" s="3" t="n">
        <f aca="false" ca="false" dt2D="false" dtr="false" t="normal">+(K787*16.89+L787*28.62)*12*30</f>
        <v>12879725.760000002</v>
      </c>
      <c r="AA787" s="3" t="n">
        <f aca="false" ca="false" dt2D="false" dtr="false" t="normal">+N787-AB787</f>
        <v>0</v>
      </c>
      <c r="AB787" s="16" t="n">
        <f aca="false" ca="false" dt2D="false" dtr="false" t="normal">'Приложение №2'!E785</f>
        <v>7286252.95</v>
      </c>
      <c r="AC787" s="17" t="n">
        <v>5920320.63</v>
      </c>
      <c r="AD787" s="17" t="n"/>
      <c r="AE787" s="17" t="n">
        <v>1365932.32</v>
      </c>
      <c r="AF787" s="17" t="n">
        <v>0</v>
      </c>
      <c r="AG787" s="17" t="n">
        <v>0</v>
      </c>
      <c r="AH787" s="17" t="n"/>
      <c r="AI787" s="17" t="n"/>
      <c r="AJ787" s="17" t="n">
        <v>0</v>
      </c>
      <c r="AK787" s="17" t="n">
        <v>0</v>
      </c>
      <c r="AL787" s="17" t="n">
        <v>0</v>
      </c>
      <c r="AM787" s="17" t="n">
        <v>0</v>
      </c>
      <c r="AN787" s="17" t="n">
        <v>0</v>
      </c>
      <c r="AO787" s="17" t="n"/>
      <c r="AP787" s="17" t="n"/>
      <c r="AQ787" s="188" t="n"/>
      <c r="AR787" s="241" t="n">
        <f aca="false" ca="false" dt2D="false" dtr="false" t="normal">COUNTIF(AC787:AN787, "&gt;0")</f>
        <v>2</v>
      </c>
    </row>
    <row ht="15.75" outlineLevel="0" r="788">
      <c r="A788" s="240" t="n">
        <f aca="false" ca="false" dt2D="false" dtr="false" t="normal">A787+1</f>
        <v>763</v>
      </c>
      <c r="B788" s="138" t="n">
        <f aca="false" ca="false" dt2D="false" dtr="false" t="normal">B787+1</f>
        <v>274</v>
      </c>
      <c r="C788" s="138" t="s">
        <v>93</v>
      </c>
      <c r="D788" s="138" t="s">
        <v>661</v>
      </c>
      <c r="E788" s="139" t="n">
        <v>1993</v>
      </c>
      <c r="F788" s="139" t="n">
        <v>2016</v>
      </c>
      <c r="G788" s="139" t="s">
        <v>4</v>
      </c>
      <c r="H788" s="139" t="n">
        <v>9</v>
      </c>
      <c r="I788" s="139" t="n">
        <v>1</v>
      </c>
      <c r="J788" s="17" t="n">
        <v>2834.5</v>
      </c>
      <c r="K788" s="17" t="n">
        <v>1783.4</v>
      </c>
      <c r="L788" s="17" t="n">
        <v>0</v>
      </c>
      <c r="M788" s="140" t="n">
        <v>147</v>
      </c>
      <c r="N788" s="16" t="n">
        <f aca="false" ca="false" dt2D="false" dtr="false" t="normal">P788+Q788+R788+S788+T788</f>
        <v>2158435.54</v>
      </c>
      <c r="O788" s="17" t="n"/>
      <c r="P788" s="17" t="n">
        <v>0</v>
      </c>
      <c r="Q788" s="17" t="n"/>
      <c r="R788" s="16" t="n">
        <v>1143784.76</v>
      </c>
      <c r="S788" s="16" t="n">
        <v>1014650.78</v>
      </c>
      <c r="T788" s="16" t="n"/>
      <c r="U788" s="17" t="n">
        <v>1791.72583258944</v>
      </c>
      <c r="V788" s="17" t="n">
        <v>1791.72583258944</v>
      </c>
      <c r="W788" s="21" t="n">
        <v>2024</v>
      </c>
      <c r="X788" s="1" t="n">
        <v>864557.82</v>
      </c>
      <c r="Y788" s="3" t="n">
        <f aca="false" ca="false" dt2D="false" dtr="false" t="normal">+(K788*16.89+L788*28.62)*12*0.85</f>
        <v>307240.58520000003</v>
      </c>
      <c r="Z788" s="3" t="n">
        <f aca="false" ca="false" dt2D="false" dtr="false" t="normal">+(K788*16.89+L788*28.62)*12*30</f>
        <v>10843785.360000001</v>
      </c>
      <c r="AA788" s="3" t="n">
        <f aca="false" ca="false" dt2D="false" dtr="false" t="normal">+N788-AB788</f>
        <v>0</v>
      </c>
      <c r="AB788" s="16" t="n">
        <f aca="false" ca="false" dt2D="false" dtr="false" t="normal">'Приложение №2'!E786</f>
        <v>2158435.54</v>
      </c>
      <c r="AC788" s="17" t="n">
        <v>0</v>
      </c>
      <c r="AD788" s="17" t="n">
        <v>0</v>
      </c>
      <c r="AE788" s="17" t="n">
        <v>0</v>
      </c>
      <c r="AF788" s="17" t="n">
        <v>0</v>
      </c>
      <c r="AG788" s="17" t="n">
        <v>0</v>
      </c>
      <c r="AH788" s="17" t="n"/>
      <c r="AI788" s="17" t="n"/>
      <c r="AJ788" s="17" t="n">
        <v>0</v>
      </c>
      <c r="AK788" s="17" t="n">
        <v>2158435.54</v>
      </c>
      <c r="AL788" s="17" t="n">
        <v>0</v>
      </c>
      <c r="AM788" s="17" t="n">
        <v>0</v>
      </c>
      <c r="AN788" s="17" t="n">
        <v>0</v>
      </c>
      <c r="AO788" s="17" t="n"/>
      <c r="AP788" s="17" t="n"/>
      <c r="AQ788" s="188" t="n"/>
      <c r="AR788" s="241" t="n">
        <f aca="false" ca="false" dt2D="false" dtr="false" t="normal">COUNTIF(AC788:AN788, "&gt;0")</f>
        <v>1</v>
      </c>
    </row>
    <row ht="15.75" outlineLevel="0" r="789">
      <c r="A789" s="240" t="n">
        <f aca="false" ca="false" dt2D="false" dtr="false" t="normal">A788+1</f>
        <v>764</v>
      </c>
      <c r="B789" s="138" t="n">
        <f aca="false" ca="false" dt2D="false" dtr="false" t="normal">B788+1</f>
        <v>275</v>
      </c>
      <c r="C789" s="138" t="s">
        <v>663</v>
      </c>
      <c r="D789" s="138" t="s">
        <v>664</v>
      </c>
      <c r="E789" s="139" t="n">
        <v>1990</v>
      </c>
      <c r="F789" s="139" t="n">
        <v>2014</v>
      </c>
      <c r="G789" s="139" t="s">
        <v>4</v>
      </c>
      <c r="H789" s="139" t="n">
        <v>5</v>
      </c>
      <c r="I789" s="139" t="n">
        <v>2</v>
      </c>
      <c r="J789" s="17" t="n">
        <v>2213.5</v>
      </c>
      <c r="K789" s="17" t="n">
        <v>2213.5</v>
      </c>
      <c r="L789" s="17" t="n">
        <v>0</v>
      </c>
      <c r="M789" s="140" t="n">
        <v>93</v>
      </c>
      <c r="N789" s="16" t="n">
        <f aca="false" ca="false" dt2D="false" dtr="false" t="normal">P789+Q789+R789+S789+T789</f>
        <v>10635851.63</v>
      </c>
      <c r="O789" s="17" t="n"/>
      <c r="P789" s="17" t="n">
        <v>0</v>
      </c>
      <c r="Q789" s="17" t="n"/>
      <c r="R789" s="16" t="n">
        <v>1346050.5</v>
      </c>
      <c r="S789" s="16" t="n">
        <v>9289801.13</v>
      </c>
      <c r="T789" s="16" t="n"/>
      <c r="U789" s="17" t="n">
        <v>2913.41319051276</v>
      </c>
      <c r="V789" s="17" t="n">
        <v>1410.283020064</v>
      </c>
      <c r="W789" s="21" t="n">
        <v>2024</v>
      </c>
      <c r="X789" s="103" t="n">
        <v>1085278.07</v>
      </c>
      <c r="Y789" s="3" t="n">
        <f aca="false" ca="false" dt2D="false" dtr="false" t="normal">+(K789*12.71+L789*25.41)*12*0.85</f>
        <v>286962.567</v>
      </c>
      <c r="Z789" s="3" t="n">
        <f aca="false" ca="false" dt2D="false" dtr="false" t="normal">+(K789*12.71+L789*25.41)*12*30</f>
        <v>10128090.600000001</v>
      </c>
      <c r="AA789" s="3" t="n">
        <f aca="false" ca="false" dt2D="false" dtr="false" t="normal">+N789-AB789</f>
        <v>0</v>
      </c>
      <c r="AB789" s="16" t="n">
        <f aca="false" ca="false" dt2D="false" dtr="false" t="normal">'Приложение №2'!E787</f>
        <v>10635851.63</v>
      </c>
      <c r="AC789" s="17" t="n">
        <v>6961345.19</v>
      </c>
      <c r="AD789" s="17" t="n">
        <v>3674506.44</v>
      </c>
      <c r="AE789" s="17" t="n">
        <v>0</v>
      </c>
      <c r="AF789" s="17" t="n">
        <v>0</v>
      </c>
      <c r="AG789" s="17" t="n">
        <v>0</v>
      </c>
      <c r="AH789" s="17" t="n"/>
      <c r="AI789" s="17" t="n"/>
      <c r="AJ789" s="17" t="n">
        <v>0</v>
      </c>
      <c r="AK789" s="17" t="n">
        <v>0</v>
      </c>
      <c r="AL789" s="17" t="n">
        <v>0</v>
      </c>
      <c r="AM789" s="17" t="n">
        <v>0</v>
      </c>
      <c r="AN789" s="17" t="n">
        <v>0</v>
      </c>
      <c r="AO789" s="17" t="n"/>
      <c r="AP789" s="17" t="n"/>
      <c r="AQ789" s="188" t="n"/>
      <c r="AR789" s="241" t="n">
        <f aca="false" ca="false" dt2D="false" dtr="false" t="normal">COUNTIF(AC789:AN789, "&gt;0")</f>
        <v>2</v>
      </c>
    </row>
    <row ht="15.75" outlineLevel="0" r="790">
      <c r="A790" s="240" t="n">
        <f aca="false" ca="false" dt2D="false" dtr="false" t="normal">A789+1</f>
        <v>765</v>
      </c>
      <c r="B790" s="138" t="n">
        <f aca="false" ca="false" dt2D="false" dtr="false" t="normal">B789+1</f>
        <v>276</v>
      </c>
      <c r="C790" s="138" t="s">
        <v>114</v>
      </c>
      <c r="D790" s="138" t="s">
        <v>665</v>
      </c>
      <c r="E790" s="139" t="n">
        <v>1985</v>
      </c>
      <c r="F790" s="139" t="n">
        <v>1985</v>
      </c>
      <c r="G790" s="139" t="s">
        <v>4</v>
      </c>
      <c r="H790" s="139" t="n">
        <v>5</v>
      </c>
      <c r="I790" s="139" t="n">
        <v>1</v>
      </c>
      <c r="J790" s="17" t="n">
        <v>3037</v>
      </c>
      <c r="K790" s="17" t="n">
        <v>2290.7</v>
      </c>
      <c r="L790" s="17" t="n">
        <v>275.7</v>
      </c>
      <c r="M790" s="140" t="n">
        <v>125</v>
      </c>
      <c r="N790" s="16" t="n">
        <f aca="false" ca="false" dt2D="false" dtr="false" t="normal">P790+Q790+R790+S790+T790</f>
        <v>8303475.83</v>
      </c>
      <c r="O790" s="17" t="n"/>
      <c r="P790" s="17" t="n">
        <v>0</v>
      </c>
      <c r="Q790" s="17" t="n"/>
      <c r="R790" s="16" t="n">
        <v>334827.8</v>
      </c>
      <c r="S790" s="16" t="n">
        <v>4352392.968</v>
      </c>
      <c r="T790" s="16" t="n">
        <v>3616255.062</v>
      </c>
      <c r="U790" s="17" t="n">
        <v>3173.53484982756</v>
      </c>
      <c r="V790" s="17" t="n">
        <v>1412.283020064</v>
      </c>
      <c r="W790" s="21" t="n">
        <v>2024</v>
      </c>
      <c r="Y790" s="3" t="n">
        <f aca="false" ca="false" dt2D="false" dtr="false" t="normal">+(K790*12.71+L790*25.41)*12*0.85</f>
        <v>368427.40679999994</v>
      </c>
      <c r="Z790" s="3" t="n">
        <f aca="false" ca="false" dt2D="false" dtr="false" t="normal">+(K790*12.71+L790*25.41)*12*30-'[1]Лист1'!$AQ$115</f>
        <v>8044393.579999998</v>
      </c>
      <c r="AB790" s="16" t="n">
        <f aca="false" ca="false" dt2D="false" dtr="false" t="normal">'Приложение №2'!E788</f>
        <v>8303475.83</v>
      </c>
      <c r="AC790" s="17" t="n">
        <v>8303475.83</v>
      </c>
      <c r="AD790" s="17" t="n"/>
      <c r="AE790" s="17" t="n">
        <v>0</v>
      </c>
      <c r="AF790" s="17" t="n">
        <v>0</v>
      </c>
      <c r="AG790" s="17" t="n">
        <v>0</v>
      </c>
      <c r="AH790" s="17" t="n"/>
      <c r="AI790" s="17" t="n"/>
      <c r="AJ790" s="17" t="n">
        <v>0</v>
      </c>
      <c r="AK790" s="17" t="n"/>
      <c r="AL790" s="17" t="n">
        <v>0</v>
      </c>
      <c r="AM790" s="17" t="n">
        <v>0</v>
      </c>
      <c r="AN790" s="17" t="n">
        <v>0</v>
      </c>
      <c r="AO790" s="17" t="n"/>
      <c r="AP790" s="17" t="n"/>
      <c r="AQ790" s="188" t="n"/>
      <c r="AR790" s="241" t="n">
        <f aca="false" ca="false" dt2D="false" dtr="false" t="normal">COUNTIF(AC790:AN790, "&gt;0")</f>
        <v>1</v>
      </c>
    </row>
    <row ht="15.75" outlineLevel="0" r="791">
      <c r="A791" s="240" t="n">
        <f aca="false" ca="false" dt2D="false" dtr="false" t="normal">A790+1</f>
        <v>766</v>
      </c>
      <c r="B791" s="138" t="n">
        <f aca="false" ca="false" dt2D="false" dtr="false" t="normal">B790+1</f>
        <v>277</v>
      </c>
      <c r="C791" s="138" t="s">
        <v>104</v>
      </c>
      <c r="D791" s="138" t="s">
        <v>666</v>
      </c>
      <c r="E791" s="139" t="n">
        <v>1995</v>
      </c>
      <c r="F791" s="139" t="n">
        <v>1995</v>
      </c>
      <c r="G791" s="139" t="s">
        <v>4</v>
      </c>
      <c r="H791" s="139" t="n">
        <v>10</v>
      </c>
      <c r="I791" s="139" t="n">
        <v>1</v>
      </c>
      <c r="J791" s="17" t="n">
        <v>3279.6</v>
      </c>
      <c r="K791" s="17" t="n">
        <v>2806.4</v>
      </c>
      <c r="L791" s="17" t="n">
        <v>0</v>
      </c>
      <c r="M791" s="140" t="n">
        <v>105</v>
      </c>
      <c r="N791" s="16" t="n">
        <f aca="false" ca="false" dt2D="false" dtr="false" t="normal">P791+Q791+R791+S791+T791</f>
        <v>19281360.68</v>
      </c>
      <c r="O791" s="17" t="n"/>
      <c r="P791" s="17" t="n">
        <v>0</v>
      </c>
      <c r="Q791" s="17" t="n"/>
      <c r="R791" s="16" t="n">
        <v>439398.05</v>
      </c>
      <c r="S791" s="16" t="n">
        <v>7258880.27</v>
      </c>
      <c r="T791" s="16" t="n">
        <v>11583082.36</v>
      </c>
      <c r="U791" s="17" t="n">
        <v>7020.7400896081</v>
      </c>
      <c r="V791" s="17" t="n">
        <v>7020.7400896081</v>
      </c>
      <c r="W791" s="21" t="n">
        <v>2024</v>
      </c>
      <c r="Y791" s="3" t="n">
        <f aca="false" ca="false" dt2D="false" dtr="false" t="normal">+(K791*16.89+L791*28.62)*12*0.85</f>
        <v>483480.9792</v>
      </c>
      <c r="Z791" s="3" t="n">
        <f aca="false" ca="false" dt2D="false" dtr="false" t="normal">+(K791*16.89+L791*28.62)*12*30-'[1]Лист1'!$AQ$159</f>
        <v>8814748.43</v>
      </c>
      <c r="AA791" s="3" t="n">
        <f aca="false" ca="false" dt2D="false" dtr="false" t="normal">+N791-AB791</f>
        <v>0</v>
      </c>
      <c r="AB791" s="16" t="n">
        <f aca="false" ca="false" dt2D="false" dtr="false" t="normal">'Приложение №2'!E789</f>
        <v>19281360.68</v>
      </c>
      <c r="AC791" s="17" t="n">
        <v>0</v>
      </c>
      <c r="AD791" s="17" t="n">
        <v>0</v>
      </c>
      <c r="AE791" s="17" t="n">
        <v>0</v>
      </c>
      <c r="AF791" s="17" t="n">
        <v>0</v>
      </c>
      <c r="AG791" s="17" t="n">
        <v>0</v>
      </c>
      <c r="AH791" s="17" t="n"/>
      <c r="AI791" s="17" t="n"/>
      <c r="AJ791" s="17" t="n">
        <v>0</v>
      </c>
      <c r="AK791" s="17" t="n">
        <v>0</v>
      </c>
      <c r="AL791" s="17" t="n">
        <v>0</v>
      </c>
      <c r="AM791" s="17" t="n">
        <v>19281360.68</v>
      </c>
      <c r="AN791" s="17" t="n">
        <v>0</v>
      </c>
      <c r="AO791" s="17" t="n"/>
      <c r="AP791" s="17" t="n"/>
      <c r="AQ791" s="188" t="n"/>
      <c r="AR791" s="241" t="n">
        <f aca="false" ca="false" dt2D="false" dtr="false" t="normal">COUNTIF(AC791:AN791, "&gt;0")</f>
        <v>1</v>
      </c>
    </row>
    <row ht="15.75" outlineLevel="0" r="792">
      <c r="A792" s="240" t="n">
        <f aca="false" ca="false" dt2D="false" dtr="false" t="normal">A791+1</f>
        <v>767</v>
      </c>
      <c r="B792" s="138" t="s">
        <v>76</v>
      </c>
      <c r="C792" s="138" t="s">
        <v>177</v>
      </c>
      <c r="D792" s="138" t="s">
        <v>394</v>
      </c>
      <c r="E792" s="139" t="n">
        <v>1981</v>
      </c>
      <c r="F792" s="139" t="n">
        <v>2013</v>
      </c>
      <c r="G792" s="139" t="s">
        <v>4</v>
      </c>
      <c r="H792" s="139" t="n">
        <v>5</v>
      </c>
      <c r="I792" s="139" t="n">
        <v>4</v>
      </c>
      <c r="J792" s="17" t="n">
        <v>4887.3</v>
      </c>
      <c r="K792" s="17" t="n">
        <v>4312.9</v>
      </c>
      <c r="L792" s="17" t="n">
        <v>0</v>
      </c>
      <c r="M792" s="140" t="n">
        <v>195</v>
      </c>
      <c r="N792" s="16" t="n">
        <f aca="false" ca="false" dt2D="false" dtr="false" t="normal">P792+Q792+R792+S792+T792</f>
        <v>14156807.72</v>
      </c>
      <c r="O792" s="17" t="n"/>
      <c r="P792" s="17" t="n">
        <v>0</v>
      </c>
      <c r="Q792" s="17" t="n"/>
      <c r="R792" s="16" t="n"/>
      <c r="S792" s="16" t="n">
        <v>3881411.444</v>
      </c>
      <c r="T792" s="16" t="n">
        <v>10275396.276</v>
      </c>
      <c r="U792" s="17" t="n">
        <v>16925.2601604879</v>
      </c>
      <c r="V792" s="17" t="n">
        <v>1306.283020064</v>
      </c>
      <c r="W792" s="21" t="n">
        <v>2024</v>
      </c>
      <c r="X792" s="12" t="n"/>
      <c r="Y792" s="3" t="n">
        <f aca="false" ca="false" dt2D="false" dtr="false" t="normal">+(K792*12.98+L792*25.97)*12*0.85</f>
        <v>571010.7084</v>
      </c>
      <c r="Z792" s="3" t="n">
        <f aca="false" ca="false" dt2D="false" dtr="false" t="normal">+(K792*12.98+L792*25.97)*12*30-'[1]Лист1'!$AQ$313</f>
        <v>14847554.670000002</v>
      </c>
      <c r="AA792" s="3" t="n">
        <f aca="false" ca="false" dt2D="false" dtr="false" t="normal">+N792-AB792</f>
        <v>0</v>
      </c>
      <c r="AB792" s="16" t="n">
        <f aca="false" ca="false" dt2D="false" dtr="false" t="normal">'Приложение №2'!E790</f>
        <v>14156807.72</v>
      </c>
      <c r="AC792" s="17" t="n"/>
      <c r="AD792" s="17" t="n"/>
      <c r="AE792" s="17" t="n"/>
      <c r="AF792" s="17" t="n"/>
      <c r="AG792" s="17" t="n"/>
      <c r="AH792" s="17" t="n"/>
      <c r="AI792" s="17" t="n"/>
      <c r="AJ792" s="17" t="n"/>
      <c r="AK792" s="17" t="n"/>
      <c r="AL792" s="17" t="n">
        <v>0</v>
      </c>
      <c r="AM792" s="17" t="n">
        <v>14156807.72</v>
      </c>
      <c r="AN792" s="17" t="n"/>
      <c r="AO792" s="17" t="n"/>
      <c r="AP792" s="17" t="n"/>
      <c r="AQ792" s="188" t="n"/>
      <c r="AR792" s="241" t="n">
        <f aca="false" ca="false" dt2D="false" dtr="false" t="normal">COUNTIF(AC792:AN792, "&gt;0")</f>
        <v>1</v>
      </c>
    </row>
    <row ht="15.75" outlineLevel="0" r="793">
      <c r="A793" s="240" t="n">
        <f aca="false" ca="false" dt2D="false" dtr="false" t="normal">A792+1</f>
        <v>768</v>
      </c>
      <c r="B793" s="138" t="n">
        <f aca="false" ca="false" dt2D="false" dtr="false" t="normal">B791+1</f>
        <v>278</v>
      </c>
      <c r="C793" s="138" t="s">
        <v>93</v>
      </c>
      <c r="D793" s="138" t="s">
        <v>671</v>
      </c>
      <c r="E793" s="139" t="n">
        <v>1988</v>
      </c>
      <c r="F793" s="139" t="n"/>
      <c r="G793" s="139" t="s">
        <v>4</v>
      </c>
      <c r="H793" s="139" t="n">
        <v>9</v>
      </c>
      <c r="I793" s="139" t="n">
        <v>1</v>
      </c>
      <c r="J793" s="17" t="n">
        <v>2265.4</v>
      </c>
      <c r="K793" s="17" t="n">
        <v>2006.2</v>
      </c>
      <c r="L793" s="17" t="n">
        <v>53.4</v>
      </c>
      <c r="M793" s="140" t="n">
        <v>74</v>
      </c>
      <c r="N793" s="16" t="n">
        <f aca="false" ca="false" dt2D="false" dtr="false" t="normal">P793+Q793+R793+S793+T793</f>
        <v>6308293.31</v>
      </c>
      <c r="O793" s="17" t="n"/>
      <c r="P793" s="17" t="n">
        <v>0</v>
      </c>
      <c r="Q793" s="17" t="n"/>
      <c r="R793" s="16" t="n">
        <v>328283.31</v>
      </c>
      <c r="S793" s="16" t="n">
        <v>5980010</v>
      </c>
      <c r="T793" s="17" t="n">
        <v>0</v>
      </c>
      <c r="U793" s="17" t="n">
        <v>3202.75457526837</v>
      </c>
      <c r="V793" s="17" t="n">
        <v>3202.75457526837</v>
      </c>
      <c r="W793" s="21" t="n">
        <v>2024</v>
      </c>
      <c r="X793" s="202" t="n">
        <v>0</v>
      </c>
      <c r="Y793" s="3" t="n">
        <f aca="false" ca="false" dt2D="false" dtr="false" t="normal">+(K793*16.89+L793*28.62)*12*0.85</f>
        <v>361212.86519999994</v>
      </c>
      <c r="Z793" s="3" t="n">
        <f aca="false" ca="false" dt2D="false" dtr="false" t="normal">+(K793*16.89+L793*28.62)*12*30-'[1]Лист1'!$AQ$94</f>
        <v>11226601.62</v>
      </c>
      <c r="AA793" s="3" t="n">
        <f aca="false" ca="false" dt2D="false" dtr="false" t="normal">+N793-AB793</f>
        <v>0</v>
      </c>
      <c r="AB793" s="16" t="n">
        <f aca="false" ca="false" dt2D="false" dtr="false" t="normal">'Приложение №2'!E791</f>
        <v>6308293.31</v>
      </c>
      <c r="AC793" s="17" t="n"/>
      <c r="AD793" s="17" t="n"/>
      <c r="AE793" s="17" t="n"/>
      <c r="AF793" s="17" t="n"/>
      <c r="AG793" s="17" t="n"/>
      <c r="AH793" s="17" t="n"/>
      <c r="AI793" s="17" t="n"/>
      <c r="AJ793" s="17" t="n"/>
      <c r="AK793" s="17" t="n"/>
      <c r="AL793" s="17" t="n"/>
      <c r="AM793" s="17" t="n"/>
      <c r="AN793" s="17" t="n">
        <v>6308293.31</v>
      </c>
      <c r="AO793" s="17" t="n"/>
      <c r="AP793" s="17" t="n"/>
      <c r="AQ793" s="188" t="n"/>
      <c r="AR793" s="241" t="n">
        <f aca="false" ca="false" dt2D="false" dtr="false" t="normal">COUNTIF(AC793:AN793, "&gt;0")</f>
        <v>1</v>
      </c>
    </row>
    <row ht="15.75" outlineLevel="0" r="794">
      <c r="A794" s="240" t="n">
        <f aca="false" ca="false" dt2D="false" dtr="false" t="normal">A793+1</f>
        <v>769</v>
      </c>
      <c r="B794" s="138" t="s">
        <v>76</v>
      </c>
      <c r="C794" s="138" t="s">
        <v>114</v>
      </c>
      <c r="D794" s="138" t="s">
        <v>531</v>
      </c>
      <c r="E794" s="139" t="n">
        <v>1987</v>
      </c>
      <c r="F794" s="139" t="n">
        <v>1987</v>
      </c>
      <c r="G794" s="139" t="s">
        <v>4</v>
      </c>
      <c r="H794" s="139" t="n">
        <v>5</v>
      </c>
      <c r="I794" s="139" t="n">
        <v>1</v>
      </c>
      <c r="J794" s="17" t="n">
        <v>2928.7</v>
      </c>
      <c r="K794" s="17" t="n">
        <v>2372.1</v>
      </c>
      <c r="L794" s="17" t="n">
        <v>221.2</v>
      </c>
      <c r="M794" s="140" t="n">
        <v>125</v>
      </c>
      <c r="N794" s="16" t="n">
        <f aca="false" ca="false" dt2D="false" dtr="false" t="normal">P794+Q794+R794+S794+T794</f>
        <v>6282061.32</v>
      </c>
      <c r="O794" s="17" t="n"/>
      <c r="P794" s="17" t="n">
        <v>0</v>
      </c>
      <c r="Q794" s="17" t="n"/>
      <c r="R794" s="16" t="n">
        <v>287079</v>
      </c>
      <c r="S794" s="16" t="n">
        <v>3832057.41</v>
      </c>
      <c r="T794" s="16" t="n">
        <v>2162924.91</v>
      </c>
      <c r="U794" s="17" t="n">
        <v>4072.62780596152</v>
      </c>
      <c r="V794" s="17" t="n">
        <v>4072.62780596152</v>
      </c>
      <c r="W794" s="21" t="n">
        <v>2024</v>
      </c>
      <c r="X794" s="12" t="n">
        <v>1486432.85</v>
      </c>
      <c r="Y794" s="3" t="n">
        <f aca="false" ca="false" dt2D="false" dtr="false" t="normal">+(K794*12.71+L794*25.41)*12*0.85</f>
        <v>364854.8466</v>
      </c>
      <c r="Z794" s="3" t="n">
        <f aca="false" ca="false" dt2D="false" dtr="false" t="normal">+(K794*12.71+L794*25.41)*12*30</f>
        <v>12877229.879999999</v>
      </c>
      <c r="AA794" s="3" t="n">
        <f aca="false" ca="false" dt2D="false" dtr="false" t="normal">+N794-AB794</f>
        <v>0</v>
      </c>
      <c r="AB794" s="16" t="n">
        <f aca="false" ca="false" dt2D="false" dtr="false" t="normal">'Приложение №2'!E792</f>
        <v>6282061.32</v>
      </c>
      <c r="AC794" s="17" t="n"/>
      <c r="AD794" s="17" t="n"/>
      <c r="AE794" s="17" t="n"/>
      <c r="AF794" s="17" t="n"/>
      <c r="AG794" s="17" t="n"/>
      <c r="AH794" s="17" t="n"/>
      <c r="AI794" s="17" t="n"/>
      <c r="AJ794" s="17" t="n">
        <v>0</v>
      </c>
      <c r="AK794" s="17" t="n">
        <v>6282061.32</v>
      </c>
      <c r="AL794" s="17" t="n">
        <v>0</v>
      </c>
      <c r="AM794" s="17" t="n">
        <v>0</v>
      </c>
      <c r="AN794" s="17" t="n">
        <v>0</v>
      </c>
      <c r="AO794" s="17" t="n"/>
      <c r="AP794" s="17" t="n"/>
      <c r="AQ794" s="188" t="n"/>
      <c r="AR794" s="241" t="n">
        <f aca="false" ca="false" dt2D="false" dtr="false" t="normal">COUNTIF(AC794:AN794, "&gt;0")</f>
        <v>1</v>
      </c>
    </row>
    <row ht="15.75" outlineLevel="0" r="795">
      <c r="A795" s="240" t="n">
        <f aca="false" ca="false" dt2D="false" dtr="false" t="normal">A794+1</f>
        <v>770</v>
      </c>
      <c r="B795" s="138" t="n">
        <f aca="false" ca="false" dt2D="false" dtr="false" t="normal">B793+1</f>
        <v>279</v>
      </c>
      <c r="C795" s="138" t="s">
        <v>533</v>
      </c>
      <c r="D795" s="138" t="s">
        <v>674</v>
      </c>
      <c r="E795" s="139" t="n">
        <v>2003</v>
      </c>
      <c r="F795" s="139" t="n">
        <v>2003</v>
      </c>
      <c r="G795" s="139" t="s">
        <v>4</v>
      </c>
      <c r="H795" s="139" t="n">
        <v>6</v>
      </c>
      <c r="I795" s="139" t="n">
        <v>2</v>
      </c>
      <c r="J795" s="17" t="n">
        <v>4628.5</v>
      </c>
      <c r="K795" s="17" t="n">
        <v>3639.6</v>
      </c>
      <c r="L795" s="17" t="n">
        <v>0</v>
      </c>
      <c r="M795" s="140" t="n">
        <v>142</v>
      </c>
      <c r="N795" s="16" t="n">
        <f aca="false" ca="false" dt2D="false" dtr="false" t="normal">P795+Q795+R795+S795+T795</f>
        <v>21539455.56</v>
      </c>
      <c r="O795" s="17" t="n"/>
      <c r="P795" s="17" t="n">
        <v>0</v>
      </c>
      <c r="Q795" s="17" t="n"/>
      <c r="R795" s="16" t="n">
        <v>2764772.02</v>
      </c>
      <c r="S795" s="16" t="n">
        <v>17888592.58</v>
      </c>
      <c r="T795" s="16" t="n">
        <v>886090.96</v>
      </c>
      <c r="U795" s="17" t="n">
        <v>6047.4996785361</v>
      </c>
      <c r="V795" s="17" t="n">
        <v>6047.4996785361</v>
      </c>
      <c r="W795" s="21" t="n">
        <v>2024</v>
      </c>
      <c r="X795" s="1" t="n">
        <v>2194919.85</v>
      </c>
      <c r="Y795" s="3" t="n">
        <f aca="false" ca="false" dt2D="false" dtr="false" t="normal">+(K795*16.89+L795*28.62)*12*0.85</f>
        <v>627023.0088</v>
      </c>
      <c r="Z795" s="3" t="n">
        <f aca="false" ca="false" dt2D="false" dtr="false" t="normal">+(K795*16.89+L795*28.62)*12*30</f>
        <v>22130223.84</v>
      </c>
      <c r="AA795" s="3" t="n">
        <f aca="false" ca="false" dt2D="false" dtr="false" t="normal">+N795-AB795</f>
        <v>0</v>
      </c>
      <c r="AB795" s="16" t="n">
        <f aca="false" ca="false" dt2D="false" dtr="false" t="normal">'Приложение №2'!E793</f>
        <v>21539455.56</v>
      </c>
      <c r="AC795" s="17" t="n">
        <v>0</v>
      </c>
      <c r="AD795" s="17" t="n">
        <v>0</v>
      </c>
      <c r="AE795" s="17" t="n">
        <v>0</v>
      </c>
      <c r="AF795" s="17" t="n">
        <v>0</v>
      </c>
      <c r="AG795" s="17" t="n">
        <v>0</v>
      </c>
      <c r="AH795" s="17" t="n"/>
      <c r="AI795" s="17" t="n"/>
      <c r="AJ795" s="17" t="n">
        <v>0</v>
      </c>
      <c r="AK795" s="17" t="n">
        <v>21539455.56</v>
      </c>
      <c r="AL795" s="17" t="n">
        <v>0</v>
      </c>
      <c r="AM795" s="17" t="n">
        <v>0</v>
      </c>
      <c r="AN795" s="17" t="n">
        <v>0</v>
      </c>
      <c r="AO795" s="17" t="n"/>
      <c r="AP795" s="17" t="n"/>
      <c r="AQ795" s="188" t="n"/>
      <c r="AR795" s="241" t="n">
        <f aca="false" ca="false" dt2D="false" dtr="false" t="normal">COUNTIF(AC795:AN795, "&gt;0")</f>
        <v>1</v>
      </c>
      <c r="AS795" s="1" t="s">
        <v>675</v>
      </c>
    </row>
    <row ht="15.75" outlineLevel="0" r="796">
      <c r="A796" s="240" t="n">
        <f aca="false" ca="false" dt2D="false" dtr="false" t="normal">A795+1</f>
        <v>771</v>
      </c>
      <c r="B796" s="138" t="n">
        <f aca="false" ca="false" dt2D="false" dtr="false" t="normal">B795+1</f>
        <v>280</v>
      </c>
      <c r="C796" s="138" t="s">
        <v>147</v>
      </c>
      <c r="D796" s="138" t="s">
        <v>676</v>
      </c>
      <c r="E796" s="139" t="n">
        <v>1991</v>
      </c>
      <c r="F796" s="139" t="n">
        <v>2015</v>
      </c>
      <c r="G796" s="139" t="s">
        <v>4</v>
      </c>
      <c r="H796" s="139" t="n">
        <v>5</v>
      </c>
      <c r="I796" s="139" t="n">
        <v>5</v>
      </c>
      <c r="J796" s="17" t="n">
        <v>11474.2</v>
      </c>
      <c r="K796" s="17" t="n">
        <v>7084.2</v>
      </c>
      <c r="L796" s="17" t="n">
        <v>82.6</v>
      </c>
      <c r="M796" s="140" t="n">
        <v>178</v>
      </c>
      <c r="N796" s="16" t="n">
        <f aca="false" ca="false" dt2D="false" dtr="false" t="normal">P796+Q796+R796+S796+T796</f>
        <v>14405926.620000001</v>
      </c>
      <c r="O796" s="17" t="n"/>
      <c r="P796" s="17" t="n">
        <v>0</v>
      </c>
      <c r="Q796" s="17" t="n"/>
      <c r="R796" s="16" t="n">
        <v>854051.81</v>
      </c>
      <c r="S796" s="16" t="n"/>
      <c r="T796" s="16" t="n">
        <v>13551874.81</v>
      </c>
      <c r="U796" s="17" t="n">
        <v>2077.99822914089</v>
      </c>
      <c r="V796" s="17" t="n">
        <v>1176.283020064</v>
      </c>
      <c r="W796" s="21" t="n">
        <v>2024</v>
      </c>
      <c r="X796" s="1" t="n">
        <v>0</v>
      </c>
      <c r="Y796" s="3" t="n">
        <f aca="false" ca="false" dt2D="false" dtr="false" t="normal">+(K796*12.71+L796*25.41)*12*0.85</f>
        <v>939818.2895999999</v>
      </c>
      <c r="Z796" s="3" t="n">
        <f aca="false" ca="false" dt2D="false" dtr="false" t="normal">+(K796*12.71+L796*25.41)*12*30-'[1]Лист1'!$AQ$203</f>
        <v>27364764.889999997</v>
      </c>
      <c r="AA796" s="3" t="n">
        <f aca="false" ca="false" dt2D="false" dtr="false" t="normal">+N796-AB796</f>
        <v>0</v>
      </c>
      <c r="AB796" s="16" t="n">
        <f aca="false" ca="false" dt2D="false" dtr="false" t="normal">'Приложение №2'!E794</f>
        <v>14405926.62</v>
      </c>
      <c r="AC796" s="17" t="n">
        <v>0</v>
      </c>
      <c r="AD796" s="17" t="n">
        <v>0</v>
      </c>
      <c r="AE796" s="17" t="n">
        <v>0</v>
      </c>
      <c r="AF796" s="17" t="n">
        <v>0</v>
      </c>
      <c r="AG796" s="17" t="n">
        <v>0</v>
      </c>
      <c r="AH796" s="17" t="n"/>
      <c r="AI796" s="17" t="n"/>
      <c r="AJ796" s="17" t="n">
        <v>0</v>
      </c>
      <c r="AK796" s="17" t="n">
        <v>0</v>
      </c>
      <c r="AL796" s="17" t="n">
        <v>14405926.62</v>
      </c>
      <c r="AM796" s="17" t="n">
        <v>0</v>
      </c>
      <c r="AN796" s="17" t="n">
        <v>0</v>
      </c>
      <c r="AO796" s="17" t="n"/>
      <c r="AP796" s="17" t="n"/>
      <c r="AQ796" s="188" t="n"/>
      <c r="AR796" s="241" t="n">
        <f aca="false" ca="false" dt2D="false" dtr="false" t="normal">COUNTIF(AC796:AN796, "&gt;0")</f>
        <v>1</v>
      </c>
    </row>
    <row ht="15.75" outlineLevel="0" r="797">
      <c r="A797" s="240" t="n">
        <f aca="false" ca="false" dt2D="false" dtr="false" t="normal">A796+1</f>
        <v>772</v>
      </c>
      <c r="B797" s="138" t="n">
        <f aca="false" ca="false" dt2D="false" dtr="false" t="normal">B796+1</f>
        <v>281</v>
      </c>
      <c r="C797" s="138" t="s">
        <v>104</v>
      </c>
      <c r="D797" s="138" t="s">
        <v>677</v>
      </c>
      <c r="E797" s="139" t="n">
        <v>1992</v>
      </c>
      <c r="F797" s="139" t="n">
        <v>2012</v>
      </c>
      <c r="G797" s="139" t="s">
        <v>4</v>
      </c>
      <c r="H797" s="139" t="n">
        <v>9</v>
      </c>
      <c r="I797" s="139" t="n">
        <v>1</v>
      </c>
      <c r="J797" s="17" t="n">
        <v>2875.6</v>
      </c>
      <c r="K797" s="17" t="n">
        <v>2204.5</v>
      </c>
      <c r="L797" s="17" t="n">
        <v>292.8</v>
      </c>
      <c r="M797" s="140" t="n">
        <v>65</v>
      </c>
      <c r="N797" s="16" t="n">
        <f aca="false" ca="false" dt2D="false" dtr="false" t="normal">P797+Q797+R797+S797+T797</f>
        <v>7116553.680000001</v>
      </c>
      <c r="O797" s="17" t="n"/>
      <c r="P797" s="17" t="n">
        <v>0</v>
      </c>
      <c r="Q797" s="17" t="n"/>
      <c r="R797" s="16" t="n">
        <v>422868.86</v>
      </c>
      <c r="S797" s="16" t="n"/>
      <c r="T797" s="16" t="n">
        <v>6693684.82</v>
      </c>
      <c r="U797" s="17" t="n">
        <v>3446.02235929589</v>
      </c>
      <c r="V797" s="17" t="n">
        <v>1198.283020064</v>
      </c>
      <c r="W797" s="21" t="n">
        <v>2024</v>
      </c>
      <c r="X797" s="103" t="n"/>
      <c r="Y797" s="3" t="n">
        <f aca="false" ca="false" dt2D="false" dtr="false" t="normal">+(K797*16.89+L797*28.62)*12*0.85</f>
        <v>465262.1982000001</v>
      </c>
      <c r="Z797" s="3" t="n">
        <f aca="false" ca="false" dt2D="false" dtr="false" t="normal">+(K797*16.89+L797*28.62)*12*30-'[1]Лист1'!$AQ$143</f>
        <v>15988351.000000004</v>
      </c>
      <c r="AA797" s="3" t="n">
        <f aca="false" ca="false" dt2D="false" dtr="false" t="normal">+N797-AB797</f>
        <v>0</v>
      </c>
      <c r="AB797" s="16" t="n">
        <f aca="false" ca="false" dt2D="false" dtr="false" t="normal">'Приложение №2'!E795</f>
        <v>7116553.68</v>
      </c>
      <c r="AC797" s="17" t="n">
        <v>7116553.68</v>
      </c>
      <c r="AD797" s="17" t="n">
        <v>0</v>
      </c>
      <c r="AE797" s="17" t="n">
        <v>0</v>
      </c>
      <c r="AF797" s="17" t="n">
        <v>0</v>
      </c>
      <c r="AG797" s="17" t="n">
        <v>0</v>
      </c>
      <c r="AH797" s="17" t="n"/>
      <c r="AI797" s="17" t="n"/>
      <c r="AJ797" s="17" t="n">
        <v>0</v>
      </c>
      <c r="AK797" s="17" t="n">
        <v>0</v>
      </c>
      <c r="AL797" s="17" t="n">
        <v>0</v>
      </c>
      <c r="AM797" s="17" t="n">
        <v>0</v>
      </c>
      <c r="AN797" s="17" t="n">
        <v>0</v>
      </c>
      <c r="AO797" s="17" t="n"/>
      <c r="AP797" s="17" t="n"/>
      <c r="AQ797" s="188" t="n"/>
      <c r="AR797" s="241" t="n">
        <f aca="false" ca="false" dt2D="false" dtr="false" t="normal">COUNTIF(AC797:AN797, "&gt;0")</f>
        <v>1</v>
      </c>
    </row>
    <row ht="15.75" outlineLevel="0" r="798">
      <c r="A798" s="240" t="n">
        <f aca="false" ca="false" dt2D="false" dtr="false" t="normal">A797+1</f>
        <v>773</v>
      </c>
      <c r="B798" s="138" t="s">
        <v>76</v>
      </c>
      <c r="C798" s="138" t="s">
        <v>104</v>
      </c>
      <c r="D798" s="138" t="s">
        <v>244</v>
      </c>
      <c r="E798" s="139" t="n">
        <v>1987</v>
      </c>
      <c r="F798" s="139" t="n">
        <v>2016</v>
      </c>
      <c r="G798" s="139" t="s">
        <v>4</v>
      </c>
      <c r="H798" s="139" t="n">
        <v>5</v>
      </c>
      <c r="I798" s="139" t="n">
        <v>4</v>
      </c>
      <c r="J798" s="17" t="n">
        <v>5812.1</v>
      </c>
      <c r="K798" s="17" t="n">
        <v>4766.5</v>
      </c>
      <c r="L798" s="17" t="n">
        <v>87</v>
      </c>
      <c r="M798" s="140" t="n">
        <v>201</v>
      </c>
      <c r="N798" s="16" t="n">
        <f aca="false" ca="false" dt2D="false" dtr="false" t="normal">P798+Q798+R798+S798+T798</f>
        <v>9755981.03</v>
      </c>
      <c r="O798" s="17" t="n"/>
      <c r="P798" s="17" t="n">
        <v>0</v>
      </c>
      <c r="Q798" s="17" t="n"/>
      <c r="R798" s="16" t="n">
        <v>1007322.43</v>
      </c>
      <c r="S798" s="16" t="n"/>
      <c r="T798" s="16" t="n">
        <v>8748658.6</v>
      </c>
      <c r="U798" s="17" t="n">
        <v>7227.38217010749</v>
      </c>
      <c r="V798" s="17" t="n">
        <v>1201.283020064</v>
      </c>
      <c r="W798" s="21" t="n">
        <v>2024</v>
      </c>
      <c r="X798" s="103" t="n">
        <f aca="false" ca="false" dt2D="false" dtr="false" t="normal">+'[1]Лист1'!$BC$145</f>
        <v>2820894.2</v>
      </c>
      <c r="Y798" s="3" t="n">
        <f aca="false" ca="false" dt2D="false" dtr="false" t="normal">+(K798*12.71+L798*25.41)*12*0.85</f>
        <v>640487.427</v>
      </c>
      <c r="Z798" s="3" t="n">
        <f aca="false" ca="false" dt2D="false" dtr="false" t="normal">+(K798*12.71+L798*25.41)*12*30</f>
        <v>22605438.6</v>
      </c>
      <c r="AA798" s="3" t="n">
        <f aca="false" ca="false" dt2D="false" dtr="false" t="normal">+N798-AB798</f>
        <v>0</v>
      </c>
      <c r="AB798" s="16" t="n">
        <f aca="false" ca="false" dt2D="false" dtr="false" t="normal">'Приложение №2'!E796</f>
        <v>9755981.03</v>
      </c>
      <c r="AC798" s="17" t="n">
        <v>0</v>
      </c>
      <c r="AD798" s="17" t="n">
        <v>0</v>
      </c>
      <c r="AE798" s="17" t="n">
        <v>0</v>
      </c>
      <c r="AF798" s="17" t="n">
        <v>0</v>
      </c>
      <c r="AG798" s="17" t="n">
        <v>0</v>
      </c>
      <c r="AH798" s="17" t="n"/>
      <c r="AI798" s="17" t="n"/>
      <c r="AJ798" s="17" t="n">
        <v>0</v>
      </c>
      <c r="AK798" s="17" t="n">
        <v>0</v>
      </c>
      <c r="AL798" s="17" t="n">
        <v>9755981.03</v>
      </c>
      <c r="AM798" s="17" t="n"/>
      <c r="AN798" s="17" t="n">
        <v>0</v>
      </c>
      <c r="AO798" s="17" t="n"/>
      <c r="AP798" s="17" t="n"/>
      <c r="AQ798" s="188" t="n"/>
      <c r="AR798" s="241" t="n">
        <f aca="false" ca="false" dt2D="false" dtr="false" t="normal">COUNTIF(AC798:AN798, "&gt;0")</f>
        <v>1</v>
      </c>
    </row>
    <row ht="15.75" outlineLevel="0" r="799">
      <c r="A799" s="240" t="n">
        <f aca="false" ca="false" dt2D="false" dtr="false" t="normal">A798+1</f>
        <v>774</v>
      </c>
      <c r="B799" s="138" t="s">
        <v>76</v>
      </c>
      <c r="C799" s="138" t="s">
        <v>104</v>
      </c>
      <c r="D799" s="138" t="s">
        <v>246</v>
      </c>
      <c r="E799" s="139" t="n">
        <v>1989</v>
      </c>
      <c r="F799" s="139" t="n">
        <v>2017</v>
      </c>
      <c r="G799" s="139" t="s">
        <v>4</v>
      </c>
      <c r="H799" s="139" t="n">
        <v>10</v>
      </c>
      <c r="I799" s="139" t="n">
        <v>1</v>
      </c>
      <c r="J799" s="17" t="n">
        <v>3562.9</v>
      </c>
      <c r="K799" s="17" t="n">
        <v>3068</v>
      </c>
      <c r="L799" s="17" t="n">
        <v>0</v>
      </c>
      <c r="M799" s="140" t="n">
        <v>120</v>
      </c>
      <c r="N799" s="16" t="n">
        <f aca="false" ca="false" dt2D="false" dtr="false" t="normal">P799+Q799+R799+S799+T799</f>
        <v>3497984.64</v>
      </c>
      <c r="O799" s="17" t="n"/>
      <c r="P799" s="17" t="n"/>
      <c r="Q799" s="17" t="n"/>
      <c r="R799" s="16" t="n">
        <v>756458.56</v>
      </c>
      <c r="S799" s="16" t="n">
        <v>2741526.08</v>
      </c>
      <c r="T799" s="17" t="n">
        <v>0</v>
      </c>
      <c r="U799" s="17" t="n">
        <v>4712.02335049937</v>
      </c>
      <c r="V799" s="17" t="n">
        <v>1208.283020064</v>
      </c>
      <c r="W799" s="21" t="n">
        <v>2024</v>
      </c>
      <c r="X799" s="103" t="n">
        <f aca="false" ca="false" dt2D="false" dtr="false" t="normal">+'[1]Лист1'!$BC$149</f>
        <v>468663.01</v>
      </c>
      <c r="Y799" s="3" t="n">
        <f aca="false" ca="false" dt2D="false" dtr="false" t="normal">+(K799*16.89+L799*28.62)*12*0.85</f>
        <v>528548.904</v>
      </c>
      <c r="Z799" s="3" t="n">
        <f aca="false" ca="false" dt2D="false" dtr="false" t="normal">+(K799*16.89+L799*28.62)*12*30</f>
        <v>18654667.2</v>
      </c>
      <c r="AA799" s="3" t="n">
        <f aca="false" ca="false" dt2D="false" dtr="false" t="normal">+N799-AB799</f>
        <v>0</v>
      </c>
      <c r="AB799" s="16" t="n">
        <f aca="false" ca="false" dt2D="false" dtr="false" t="normal">'Приложение №2'!E797</f>
        <v>3497984.64</v>
      </c>
      <c r="AC799" s="17" t="n"/>
      <c r="AD799" s="17" t="n">
        <v>3497984.64</v>
      </c>
      <c r="AE799" s="17" t="n">
        <v>0</v>
      </c>
      <c r="AF799" s="17" t="n">
        <v>0</v>
      </c>
      <c r="AG799" s="17" t="n">
        <v>0</v>
      </c>
      <c r="AH799" s="17" t="n"/>
      <c r="AI799" s="17" t="n">
        <v>0</v>
      </c>
      <c r="AJ799" s="17" t="n"/>
      <c r="AK799" s="17" t="n"/>
      <c r="AL799" s="17" t="n"/>
      <c r="AM799" s="17" t="n">
        <v>0</v>
      </c>
      <c r="AN799" s="17" t="n">
        <v>0</v>
      </c>
      <c r="AO799" s="17" t="n"/>
      <c r="AP799" s="17" t="n"/>
      <c r="AQ799" s="188" t="n"/>
      <c r="AR799" s="241" t="n">
        <f aca="false" ca="false" dt2D="false" dtr="false" t="normal">COUNTIF(AC799:AN799, "&gt;0")</f>
        <v>1</v>
      </c>
    </row>
    <row ht="15.75" outlineLevel="0" r="800">
      <c r="A800" s="240" t="n">
        <f aca="false" ca="false" dt2D="false" dtr="false" t="normal">A799+1</f>
        <v>775</v>
      </c>
      <c r="B800" s="138" t="s">
        <v>76</v>
      </c>
      <c r="C800" s="138" t="s">
        <v>104</v>
      </c>
      <c r="D800" s="138" t="s">
        <v>255</v>
      </c>
      <c r="E800" s="139" t="n">
        <v>1989</v>
      </c>
      <c r="F800" s="139" t="n">
        <v>2016</v>
      </c>
      <c r="G800" s="139" t="s">
        <v>4</v>
      </c>
      <c r="H800" s="139" t="n">
        <v>5</v>
      </c>
      <c r="I800" s="139" t="n">
        <v>4</v>
      </c>
      <c r="J800" s="17" t="n">
        <v>5827.1</v>
      </c>
      <c r="K800" s="17" t="n">
        <v>4877.5</v>
      </c>
      <c r="L800" s="17" t="n">
        <v>0</v>
      </c>
      <c r="M800" s="140" t="n">
        <v>218</v>
      </c>
      <c r="N800" s="16" t="n">
        <f aca="false" ca="false" dt2D="false" dtr="false" t="normal">P800+Q800+R800+S800+T800</f>
        <v>7852851.42</v>
      </c>
      <c r="O800" s="17" t="n"/>
      <c r="P800" s="17" t="n">
        <v>0</v>
      </c>
      <c r="Q800" s="17" t="n"/>
      <c r="R800" s="16" t="n"/>
      <c r="T800" s="16" t="n">
        <v>7852851.42</v>
      </c>
      <c r="U800" s="17" t="n">
        <v>2662.17214587269</v>
      </c>
      <c r="V800" s="17" t="n">
        <v>1209.283020064</v>
      </c>
      <c r="W800" s="21" t="n">
        <v>2024</v>
      </c>
      <c r="X800" s="103" t="n">
        <v>0</v>
      </c>
      <c r="Y800" s="3" t="n">
        <f aca="false" ca="false" dt2D="false" dtr="false" t="normal">+(K800*12.71+L800*25.41)*12*0.85</f>
        <v>632328.855</v>
      </c>
      <c r="Z800" s="3" t="n">
        <f aca="false" ca="false" dt2D="false" dtr="false" t="normal">+(K800*12.71+L800*25.41)*12*30-'[1]Лист1'!$AQ$156</f>
        <v>19717714.04</v>
      </c>
      <c r="AA800" s="3" t="n">
        <f aca="false" ca="false" dt2D="false" dtr="false" t="normal">+N800-AB800</f>
        <v>0</v>
      </c>
      <c r="AB800" s="16" t="n">
        <f aca="false" ca="false" dt2D="false" dtr="false" t="normal">'Приложение №2'!E798</f>
        <v>7852851.42</v>
      </c>
      <c r="AC800" s="17" t="n"/>
      <c r="AD800" s="17" t="n">
        <v>7852851.42</v>
      </c>
      <c r="AE800" s="17" t="n">
        <v>0</v>
      </c>
      <c r="AF800" s="17" t="n"/>
      <c r="AG800" s="17" t="n">
        <v>0</v>
      </c>
      <c r="AH800" s="17" t="n"/>
      <c r="AI800" s="17" t="n"/>
      <c r="AJ800" s="17" t="n">
        <v>0</v>
      </c>
      <c r="AK800" s="17" t="n">
        <v>0</v>
      </c>
      <c r="AL800" s="17" t="n">
        <v>0</v>
      </c>
      <c r="AM800" s="17" t="n">
        <v>0</v>
      </c>
      <c r="AN800" s="17" t="n">
        <v>0</v>
      </c>
      <c r="AO800" s="17" t="n"/>
      <c r="AP800" s="17" t="n"/>
      <c r="AQ800" s="188" t="n"/>
      <c r="AR800" s="241" t="n">
        <f aca="false" ca="false" dt2D="false" dtr="false" t="normal">COUNTIF(AC800:AN800, "&gt;0")</f>
        <v>1</v>
      </c>
    </row>
    <row ht="15.75" outlineLevel="0" r="801">
      <c r="A801" s="240" t="n">
        <f aca="false" ca="false" dt2D="false" dtr="false" t="normal">A800+1</f>
        <v>776</v>
      </c>
      <c r="B801" s="138" t="s">
        <v>76</v>
      </c>
      <c r="C801" s="138" t="s">
        <v>104</v>
      </c>
      <c r="D801" s="138" t="s">
        <v>264</v>
      </c>
      <c r="E801" s="139" t="n">
        <v>1986</v>
      </c>
      <c r="F801" s="139" t="n">
        <v>2016</v>
      </c>
      <c r="G801" s="139" t="s">
        <v>4</v>
      </c>
      <c r="H801" s="139" t="n">
        <v>5</v>
      </c>
      <c r="I801" s="139" t="n">
        <v>4</v>
      </c>
      <c r="J801" s="17" t="n">
        <v>3396.9</v>
      </c>
      <c r="K801" s="17" t="n">
        <v>3059.2</v>
      </c>
      <c r="L801" s="17" t="n">
        <v>0</v>
      </c>
      <c r="M801" s="140" t="n">
        <v>122</v>
      </c>
      <c r="N801" s="16" t="n">
        <f aca="false" ca="false" dt2D="false" dtr="false" t="normal">P801+Q801+R801+S801+T801</f>
        <v>4925359.93</v>
      </c>
      <c r="O801" s="17" t="n"/>
      <c r="P801" s="17" t="n">
        <v>0</v>
      </c>
      <c r="Q801" s="17" t="n"/>
      <c r="R801" s="16" t="n"/>
      <c r="S801" s="16" t="n"/>
      <c r="T801" s="16" t="n">
        <v>4925359.93</v>
      </c>
      <c r="U801" s="17" t="n">
        <v>5861.05648931689</v>
      </c>
      <c r="V801" s="17" t="n">
        <v>1220.283020064</v>
      </c>
      <c r="W801" s="21" t="n">
        <v>2024</v>
      </c>
      <c r="X801" s="103" t="n"/>
      <c r="Y801" s="3" t="n">
        <f aca="false" ca="false" dt2D="false" dtr="false" t="normal">+(K801*12.71+L801*25.41)*12*0.85</f>
        <v>396600.8064</v>
      </c>
      <c r="Z801" s="3" t="n">
        <f aca="false" ca="false" dt2D="false" dtr="false" t="normal">+(K801*12.71+L801*25.41)*12*30-'[1]Лист1'!$AQ$162</f>
        <v>13425029.389999999</v>
      </c>
      <c r="AA801" s="3" t="n">
        <f aca="false" ca="false" dt2D="false" dtr="false" t="normal">+N801-AB801</f>
        <v>0</v>
      </c>
      <c r="AB801" s="16" t="n">
        <f aca="false" ca="false" dt2D="false" dtr="false" t="normal">'Приложение №2'!E799</f>
        <v>4925359.93</v>
      </c>
      <c r="AC801" s="17" t="n"/>
      <c r="AD801" s="17" t="n">
        <v>4925359.93</v>
      </c>
      <c r="AE801" s="17" t="n"/>
      <c r="AF801" s="17" t="n">
        <v>0</v>
      </c>
      <c r="AG801" s="17" t="n">
        <v>0</v>
      </c>
      <c r="AH801" s="17" t="n"/>
      <c r="AI801" s="17" t="n"/>
      <c r="AJ801" s="17" t="n">
        <v>0</v>
      </c>
      <c r="AK801" s="17" t="n">
        <v>0</v>
      </c>
      <c r="AL801" s="17" t="n">
        <v>0</v>
      </c>
      <c r="AM801" s="17" t="n">
        <v>0</v>
      </c>
      <c r="AN801" s="17" t="n">
        <v>0</v>
      </c>
      <c r="AO801" s="17" t="n"/>
      <c r="AP801" s="17" t="n"/>
      <c r="AQ801" s="188" t="n"/>
      <c r="AR801" s="241" t="n">
        <f aca="false" ca="false" dt2D="false" dtr="false" t="normal">COUNTIF(AC801:AN801, "&gt;0")</f>
        <v>1</v>
      </c>
    </row>
    <row ht="15.75" outlineLevel="0" r="802">
      <c r="A802" s="240" t="n">
        <f aca="false" ca="false" dt2D="false" dtr="false" t="normal">A801+1</f>
        <v>777</v>
      </c>
      <c r="B802" s="138" t="n">
        <f aca="false" ca="false" dt2D="false" dtr="false" t="normal">B797+1</f>
        <v>282</v>
      </c>
      <c r="C802" s="138" t="s">
        <v>104</v>
      </c>
      <c r="D802" s="138" t="s">
        <v>680</v>
      </c>
      <c r="E802" s="139" t="n">
        <v>1985</v>
      </c>
      <c r="F802" s="139" t="n">
        <v>2009</v>
      </c>
      <c r="G802" s="139" t="s">
        <v>4</v>
      </c>
      <c r="H802" s="139" t="n">
        <v>5</v>
      </c>
      <c r="I802" s="139" t="n">
        <v>4</v>
      </c>
      <c r="J802" s="17" t="n">
        <v>5739.1</v>
      </c>
      <c r="K802" s="17" t="n">
        <v>4751.1</v>
      </c>
      <c r="L802" s="17" t="n">
        <v>96</v>
      </c>
      <c r="M802" s="140" t="n">
        <v>191</v>
      </c>
      <c r="N802" s="16" t="n">
        <f aca="false" ca="false" dt2D="false" dtr="false" t="normal">P802+Q802+R802+S802+T802</f>
        <v>4765870.78</v>
      </c>
      <c r="O802" s="17" t="n"/>
      <c r="P802" s="17" t="n">
        <v>0</v>
      </c>
      <c r="Q802" s="17" t="n"/>
      <c r="R802" s="16" t="n">
        <v>1152640.76</v>
      </c>
      <c r="S802" s="16" t="n"/>
      <c r="T802" s="16" t="n">
        <v>3613230.02</v>
      </c>
      <c r="U802" s="17" t="n">
        <v>1025.04487891189</v>
      </c>
      <c r="V802" s="17" t="n">
        <v>1216.283020064</v>
      </c>
      <c r="W802" s="21" t="n">
        <v>2024</v>
      </c>
      <c r="X802" s="1" t="n">
        <v>570294.15</v>
      </c>
      <c r="Y802" s="3" t="n">
        <f aca="false" ca="false" dt2D="false" dtr="false" t="normal">+(K802*12.71+L802*25.41)*12*0.85</f>
        <v>640823.5782</v>
      </c>
      <c r="Z802" s="3" t="n">
        <f aca="false" ca="false" dt2D="false" dtr="false" t="normal">+(K802*12.71+L802*25.41)*12*30</f>
        <v>22617302.76</v>
      </c>
      <c r="AA802" s="3" t="n">
        <f aca="false" ca="false" dt2D="false" dtr="false" t="normal">+N802-AB802</f>
        <v>0</v>
      </c>
      <c r="AB802" s="16" t="n">
        <f aca="false" ca="false" dt2D="false" dtr="false" t="normal">'Приложение №2'!E800</f>
        <v>4765870.78</v>
      </c>
      <c r="AC802" s="17" t="n">
        <v>0</v>
      </c>
      <c r="AD802" s="17" t="n">
        <v>0</v>
      </c>
      <c r="AE802" s="17" t="n">
        <v>4765870.78</v>
      </c>
      <c r="AF802" s="17" t="n">
        <v>0</v>
      </c>
      <c r="AG802" s="17" t="n">
        <v>0</v>
      </c>
      <c r="AH802" s="17" t="n"/>
      <c r="AI802" s="17" t="n"/>
      <c r="AJ802" s="17" t="n">
        <v>0</v>
      </c>
      <c r="AK802" s="17" t="n">
        <v>0</v>
      </c>
      <c r="AL802" s="17" t="n">
        <v>0</v>
      </c>
      <c r="AM802" s="17" t="n">
        <v>0</v>
      </c>
      <c r="AN802" s="17" t="n">
        <v>0</v>
      </c>
      <c r="AO802" s="17" t="n"/>
      <c r="AP802" s="17" t="n"/>
      <c r="AQ802" s="188" t="n"/>
      <c r="AR802" s="241" t="n">
        <f aca="false" ca="false" dt2D="false" dtr="false" t="normal">COUNTIF(AC802:AN802, "&gt;0")</f>
        <v>1</v>
      </c>
    </row>
    <row ht="15.75" outlineLevel="0" r="803">
      <c r="A803" s="240" t="n">
        <f aca="false" ca="false" dt2D="false" dtr="false" t="normal">A802+1</f>
        <v>778</v>
      </c>
      <c r="B803" s="138" t="n">
        <f aca="false" ca="false" dt2D="false" dtr="false" t="normal">+B802+1</f>
        <v>283</v>
      </c>
      <c r="C803" s="138" t="s">
        <v>104</v>
      </c>
      <c r="D803" s="138" t="s">
        <v>681</v>
      </c>
      <c r="E803" s="139" t="n">
        <v>1986</v>
      </c>
      <c r="F803" s="139" t="n">
        <v>2016</v>
      </c>
      <c r="G803" s="139" t="s">
        <v>4</v>
      </c>
      <c r="H803" s="139" t="n">
        <v>5</v>
      </c>
      <c r="I803" s="139" t="n">
        <v>3</v>
      </c>
      <c r="J803" s="17" t="n">
        <v>4418.7</v>
      </c>
      <c r="K803" s="17" t="n">
        <v>3551.6</v>
      </c>
      <c r="L803" s="17" t="n">
        <v>167.4</v>
      </c>
      <c r="M803" s="140" t="n">
        <v>164</v>
      </c>
      <c r="N803" s="16" t="n">
        <f aca="false" ca="false" dt2D="false" dtr="false" t="normal">P803+Q803+R803+S803+T803</f>
        <v>7475531.7700000005</v>
      </c>
      <c r="O803" s="17" t="n"/>
      <c r="P803" s="17" t="n"/>
      <c r="Q803" s="17" t="n"/>
      <c r="R803" s="16" t="n">
        <v>2025639.12</v>
      </c>
      <c r="S803" s="16" t="n"/>
      <c r="T803" s="16" t="n">
        <v>5449892.65</v>
      </c>
      <c r="U803" s="17" t="n">
        <v>2150.86341622238</v>
      </c>
      <c r="V803" s="17" t="n">
        <v>1217.283020064</v>
      </c>
      <c r="W803" s="21" t="n">
        <v>2024</v>
      </c>
      <c r="X803" s="1" t="n">
        <v>1567782.34</v>
      </c>
      <c r="Y803" s="3" t="n">
        <f aca="false" ca="false" dt2D="false" dtr="false" t="normal">+(K803*12.71+L803*25.41)*12*0.85</f>
        <v>503823.594</v>
      </c>
      <c r="Z803" s="3" t="n">
        <f aca="false" ca="false" dt2D="false" dtr="false" t="normal">+(K803*12.71+L803*25.41)*12*30</f>
        <v>17782009.2</v>
      </c>
      <c r="AA803" s="3" t="n">
        <f aca="false" ca="false" dt2D="false" dtr="false" t="normal">+N803-AB803</f>
        <v>0</v>
      </c>
      <c r="AB803" s="16" t="n">
        <f aca="false" ca="false" dt2D="false" dtr="false" t="normal">'Приложение №2'!E801</f>
        <v>7475531.77</v>
      </c>
      <c r="AC803" s="17" t="n">
        <v>0</v>
      </c>
      <c r="AD803" s="17" t="n">
        <v>0</v>
      </c>
      <c r="AE803" s="17" t="n">
        <v>0</v>
      </c>
      <c r="AF803" s="17" t="n">
        <v>0</v>
      </c>
      <c r="AG803" s="17" t="n">
        <v>0</v>
      </c>
      <c r="AH803" s="17" t="n"/>
      <c r="AI803" s="17" t="n"/>
      <c r="AJ803" s="17" t="n">
        <v>0</v>
      </c>
      <c r="AK803" s="17" t="n">
        <v>0</v>
      </c>
      <c r="AL803" s="17" t="n">
        <v>7475531.77</v>
      </c>
      <c r="AM803" s="17" t="n">
        <v>0</v>
      </c>
      <c r="AN803" s="17" t="n">
        <v>0</v>
      </c>
      <c r="AO803" s="17" t="n"/>
      <c r="AP803" s="17" t="n"/>
      <c r="AQ803" s="188" t="n"/>
      <c r="AR803" s="241" t="n">
        <f aca="false" ca="false" dt2D="false" dtr="false" t="normal">COUNTIF(AC803:AN803, "&gt;0")</f>
        <v>1</v>
      </c>
    </row>
    <row ht="15.75" outlineLevel="0" r="804">
      <c r="A804" s="240" t="n">
        <f aca="false" ca="false" dt2D="false" dtr="false" t="normal">A803+1</f>
        <v>779</v>
      </c>
      <c r="B804" s="138" t="n">
        <f aca="false" ca="false" dt2D="false" dtr="false" t="normal">+B803+1</f>
        <v>284</v>
      </c>
      <c r="C804" s="138" t="s">
        <v>104</v>
      </c>
      <c r="D804" s="138" t="s">
        <v>683</v>
      </c>
      <c r="E804" s="139" t="n">
        <v>1985</v>
      </c>
      <c r="F804" s="139" t="n">
        <v>2015</v>
      </c>
      <c r="G804" s="139" t="s">
        <v>4</v>
      </c>
      <c r="H804" s="139" t="n">
        <v>5</v>
      </c>
      <c r="I804" s="139" t="n">
        <v>3</v>
      </c>
      <c r="J804" s="17" t="n">
        <v>6741.3</v>
      </c>
      <c r="K804" s="17" t="n">
        <v>3901.9</v>
      </c>
      <c r="L804" s="17" t="n">
        <v>698.1</v>
      </c>
      <c r="M804" s="140" t="n">
        <v>305</v>
      </c>
      <c r="N804" s="16" t="n">
        <f aca="false" ca="false" dt2D="false" dtr="false" t="normal">P804+Q804+R804+S804+T804</f>
        <v>9246422.73</v>
      </c>
      <c r="O804" s="17" t="n"/>
      <c r="P804" s="17" t="n">
        <v>0</v>
      </c>
      <c r="Q804" s="17" t="n"/>
      <c r="R804" s="16" t="n">
        <v>1973886.88</v>
      </c>
      <c r="S804" s="16" t="n"/>
      <c r="T804" s="16" t="n">
        <v>7272535.85</v>
      </c>
      <c r="U804" s="17" t="n">
        <v>2421.54418876474</v>
      </c>
      <c r="V804" s="17" t="n">
        <v>1218.283020064</v>
      </c>
      <c r="W804" s="21" t="n">
        <v>2024</v>
      </c>
      <c r="X804" s="1" t="n">
        <v>1349717.72</v>
      </c>
      <c r="Y804" s="3" t="n">
        <f aca="false" ca="false" dt2D="false" dtr="false" t="normal">+(K804*12.71+L804*25.41)*12*0.85</f>
        <v>686785.0740000001</v>
      </c>
      <c r="Z804" s="3" t="n">
        <f aca="false" ca="false" dt2D="false" dtr="false" t="normal">+(K804*12.71+L804*25.41)*12*30</f>
        <v>24239473.200000007</v>
      </c>
      <c r="AA804" s="3" t="n">
        <f aca="false" ca="false" dt2D="false" dtr="false" t="normal">+N804-AB804</f>
        <v>0</v>
      </c>
      <c r="AB804" s="16" t="n">
        <f aca="false" ca="false" dt2D="false" dtr="false" t="normal">'Приложение №2'!E802</f>
        <v>9246422.73</v>
      </c>
      <c r="AC804" s="17" t="n">
        <v>0</v>
      </c>
      <c r="AD804" s="17" t="n">
        <v>0</v>
      </c>
      <c r="AE804" s="17" t="n">
        <v>0</v>
      </c>
      <c r="AF804" s="17" t="n">
        <v>0</v>
      </c>
      <c r="AG804" s="17" t="n">
        <v>0</v>
      </c>
      <c r="AH804" s="17" t="n"/>
      <c r="AI804" s="17" t="n"/>
      <c r="AJ804" s="17" t="n">
        <v>0</v>
      </c>
      <c r="AK804" s="17" t="n">
        <v>0</v>
      </c>
      <c r="AL804" s="17" t="n">
        <v>9246422.73</v>
      </c>
      <c r="AM804" s="17" t="n">
        <v>0</v>
      </c>
      <c r="AN804" s="17" t="n">
        <v>0</v>
      </c>
      <c r="AO804" s="17" t="n"/>
      <c r="AP804" s="17" t="n"/>
      <c r="AQ804" s="188" t="n"/>
      <c r="AR804" s="241" t="n">
        <f aca="false" ca="false" dt2D="false" dtr="false" t="normal">COUNTIF(AC804:AN804, "&gt;0")</f>
        <v>1</v>
      </c>
    </row>
    <row ht="15.75" outlineLevel="0" r="805">
      <c r="A805" s="240" t="n">
        <f aca="false" ca="false" dt2D="false" dtr="false" t="normal">A804+1</f>
        <v>780</v>
      </c>
      <c r="B805" s="138" t="n">
        <f aca="false" ca="false" dt2D="false" dtr="false" t="normal">+B804+1</f>
        <v>285</v>
      </c>
      <c r="C805" s="138" t="s">
        <v>104</v>
      </c>
      <c r="D805" s="138" t="s">
        <v>684</v>
      </c>
      <c r="E805" s="139" t="n">
        <v>1987</v>
      </c>
      <c r="F805" s="139" t="n">
        <v>2016</v>
      </c>
      <c r="G805" s="139" t="s">
        <v>4</v>
      </c>
      <c r="H805" s="139" t="n">
        <v>5</v>
      </c>
      <c r="I805" s="139" t="n">
        <v>4</v>
      </c>
      <c r="J805" s="17" t="n">
        <v>5859.43</v>
      </c>
      <c r="K805" s="17" t="n">
        <v>4644.4</v>
      </c>
      <c r="L805" s="17" t="n">
        <v>278.6</v>
      </c>
      <c r="M805" s="140" t="n">
        <v>182</v>
      </c>
      <c r="N805" s="16" t="n">
        <f aca="false" ca="false" dt2D="false" dtr="false" t="normal">P805+Q805+R805+S805+T805</f>
        <v>9895682.42</v>
      </c>
      <c r="O805" s="17" t="n"/>
      <c r="P805" s="17" t="n">
        <v>0</v>
      </c>
      <c r="Q805" s="17" t="n"/>
      <c r="R805" s="16" t="n">
        <v>3578962.28</v>
      </c>
      <c r="S805" s="16" t="n"/>
      <c r="T805" s="16" t="n">
        <v>6316720.14</v>
      </c>
      <c r="U805" s="17" t="n">
        <v>2177.26314434329</v>
      </c>
      <c r="V805" s="17" t="n">
        <v>1234.283020064</v>
      </c>
      <c r="W805" s="21" t="n">
        <v>2024</v>
      </c>
      <c r="X805" s="103" t="n">
        <v>2966161.78</v>
      </c>
      <c r="Y805" s="3" t="n">
        <f aca="false" ca="false" dt2D="false" dtr="false" t="normal">+(K805*12.71+L805*25.41)*12*0.85</f>
        <v>674317.41</v>
      </c>
      <c r="Z805" s="3" t="n">
        <f aca="false" ca="false" dt2D="false" dtr="false" t="normal">+(K805*12.71+L805*25.41)*12*30</f>
        <v>23799438.000000004</v>
      </c>
      <c r="AA805" s="3" t="n">
        <f aca="false" ca="false" dt2D="false" dtr="false" t="normal">+N805-AB805</f>
        <v>0</v>
      </c>
      <c r="AB805" s="16" t="n">
        <f aca="false" ca="false" dt2D="false" dtr="false" t="normal">'Приложение №2'!E803</f>
        <v>9895682.42</v>
      </c>
      <c r="AC805" s="17" t="n">
        <v>0</v>
      </c>
      <c r="AD805" s="17" t="n">
        <v>0</v>
      </c>
      <c r="AE805" s="17" t="n">
        <v>0</v>
      </c>
      <c r="AF805" s="17" t="n">
        <v>0</v>
      </c>
      <c r="AG805" s="17" t="n">
        <v>0</v>
      </c>
      <c r="AH805" s="17" t="n"/>
      <c r="AI805" s="17" t="n"/>
      <c r="AJ805" s="17" t="n">
        <v>0</v>
      </c>
      <c r="AK805" s="17" t="n">
        <v>0</v>
      </c>
      <c r="AL805" s="17" t="n">
        <v>9895682.42</v>
      </c>
      <c r="AM805" s="17" t="n">
        <v>0</v>
      </c>
      <c r="AN805" s="17" t="n">
        <v>0</v>
      </c>
      <c r="AO805" s="17" t="n"/>
      <c r="AP805" s="17" t="n"/>
      <c r="AQ805" s="188" t="n"/>
      <c r="AR805" s="241" t="n">
        <f aca="false" ca="false" dt2D="false" dtr="false" t="normal">COUNTIF(AC805:AN805, "&gt;0")</f>
        <v>1</v>
      </c>
    </row>
    <row ht="15.75" outlineLevel="0" r="806">
      <c r="A806" s="240" t="n">
        <f aca="false" ca="false" dt2D="false" dtr="false" t="normal">A805+1</f>
        <v>781</v>
      </c>
      <c r="B806" s="138" t="s">
        <v>76</v>
      </c>
      <c r="C806" s="138" t="s">
        <v>104</v>
      </c>
      <c r="D806" s="138" t="s">
        <v>287</v>
      </c>
      <c r="E806" s="139" t="n">
        <v>1987</v>
      </c>
      <c r="F806" s="139" t="n">
        <v>2016</v>
      </c>
      <c r="G806" s="139" t="s">
        <v>4</v>
      </c>
      <c r="H806" s="139" t="n">
        <v>5</v>
      </c>
      <c r="I806" s="139" t="n">
        <v>5</v>
      </c>
      <c r="J806" s="17" t="n">
        <v>7155.6</v>
      </c>
      <c r="K806" s="17" t="n">
        <v>5789.5</v>
      </c>
      <c r="L806" s="17" t="n">
        <v>194.7</v>
      </c>
      <c r="M806" s="140" t="n">
        <v>243</v>
      </c>
      <c r="N806" s="16" t="n">
        <f aca="false" ca="false" dt2D="false" dtr="false" t="normal">P806+Q806+R806+S806+T806</f>
        <v>12028791.940000001</v>
      </c>
      <c r="O806" s="17" t="n"/>
      <c r="P806" s="17" t="n">
        <v>0</v>
      </c>
      <c r="Q806" s="17" t="n"/>
      <c r="R806" s="16" t="n">
        <v>500292.38</v>
      </c>
      <c r="S806" s="16" t="n"/>
      <c r="T806" s="16" t="n">
        <v>11528499.56</v>
      </c>
      <c r="U806" s="17" t="n">
        <v>3248.37212020894</v>
      </c>
      <c r="V806" s="17" t="n">
        <v>1235.283020064</v>
      </c>
      <c r="W806" s="21" t="n">
        <v>2024</v>
      </c>
      <c r="X806" s="103" t="n"/>
      <c r="Y806" s="3" t="n">
        <f aca="false" ca="false" dt2D="false" dtr="false" t="normal">+(K806*12.71+L806*25.41)*12*0.85</f>
        <v>801025.0944000001</v>
      </c>
      <c r="Z806" s="3" t="n">
        <f aca="false" ca="false" dt2D="false" dtr="false" t="normal">+(K806*12.71+L806*25.41)*12*30-'[1]Лист1'!$AQ$182</f>
        <v>21776105.35</v>
      </c>
      <c r="AA806" s="3" t="n">
        <f aca="false" ca="false" dt2D="false" dtr="false" t="normal">+N806-AB806</f>
        <v>0</v>
      </c>
      <c r="AB806" s="16" t="n">
        <f aca="false" ca="false" dt2D="false" dtr="false" t="normal">'Приложение №2'!E804</f>
        <v>12028791.94</v>
      </c>
      <c r="AC806" s="17" t="n"/>
      <c r="AD806" s="17" t="n">
        <v>0</v>
      </c>
      <c r="AE806" s="17" t="n">
        <v>0</v>
      </c>
      <c r="AF806" s="17" t="n"/>
      <c r="AG806" s="17" t="n">
        <v>0</v>
      </c>
      <c r="AH806" s="17" t="n"/>
      <c r="AI806" s="17" t="n"/>
      <c r="AJ806" s="17" t="n">
        <v>0</v>
      </c>
      <c r="AK806" s="17" t="n"/>
      <c r="AL806" s="17" t="n">
        <v>12028791.94</v>
      </c>
      <c r="AM806" s="17" t="n">
        <v>0</v>
      </c>
      <c r="AN806" s="17" t="n">
        <v>0</v>
      </c>
      <c r="AO806" s="17" t="n"/>
      <c r="AP806" s="17" t="n"/>
      <c r="AQ806" s="188" t="n"/>
      <c r="AR806" s="241" t="n">
        <f aca="false" ca="false" dt2D="false" dtr="false" t="normal">COUNTIF(AC806:AN806, "&gt;0")</f>
        <v>1</v>
      </c>
    </row>
    <row ht="15.75" outlineLevel="0" r="807">
      <c r="A807" s="240" t="n">
        <f aca="false" ca="false" dt2D="false" dtr="false" t="normal">A806+1</f>
        <v>782</v>
      </c>
      <c r="B807" s="138" t="s">
        <v>76</v>
      </c>
      <c r="C807" s="138" t="s">
        <v>104</v>
      </c>
      <c r="D807" s="138" t="s">
        <v>313</v>
      </c>
      <c r="E807" s="139" t="n">
        <v>1989</v>
      </c>
      <c r="F807" s="139" t="n">
        <v>2009</v>
      </c>
      <c r="G807" s="139" t="s">
        <v>4</v>
      </c>
      <c r="H807" s="139" t="n">
        <v>9</v>
      </c>
      <c r="I807" s="139" t="n">
        <v>1</v>
      </c>
      <c r="J807" s="17" t="n">
        <v>3239.5</v>
      </c>
      <c r="K807" s="17" t="n">
        <v>2720.9</v>
      </c>
      <c r="L807" s="17" t="n">
        <v>63.8</v>
      </c>
      <c r="M807" s="140" t="n">
        <v>112</v>
      </c>
      <c r="N807" s="16" t="n">
        <f aca="false" ca="false" dt2D="false" dtr="false" t="normal">P807+Q807+R807+S807+T807</f>
        <v>2586281.94</v>
      </c>
      <c r="O807" s="17" t="n"/>
      <c r="P807" s="17" t="n">
        <v>0</v>
      </c>
      <c r="Q807" s="17" t="n"/>
      <c r="R807" s="16" t="n">
        <v>868113.48</v>
      </c>
      <c r="T807" s="16" t="n">
        <v>1718168.46</v>
      </c>
      <c r="U807" s="17" t="n">
        <v>4666.62163552669</v>
      </c>
      <c r="V807" s="17" t="n">
        <v>1246.283020064</v>
      </c>
      <c r="W807" s="21" t="n">
        <v>2024</v>
      </c>
      <c r="X807" s="103" t="n">
        <f aca="false" ca="false" dt2D="false" dtr="false" t="normal">+'[1]Лист1'!$BC$196</f>
        <v>2073222.36</v>
      </c>
      <c r="Y807" s="3" t="n">
        <f aca="false" ca="false" dt2D="false" dtr="false" t="normal">+(K807*16.89+L807*28.62)*12*0.85</f>
        <v>487375.96140000003</v>
      </c>
      <c r="Z807" s="3" t="n">
        <f aca="false" ca="false" dt2D="false" dtr="false" t="normal">+(K807*16.89+L807*28.62)*12*30</f>
        <v>17201504.520000003</v>
      </c>
      <c r="AA807" s="3" t="n">
        <f aca="false" ca="false" dt2D="false" dtr="false" t="normal">+N807-AB807</f>
        <v>0</v>
      </c>
      <c r="AB807" s="16" t="n">
        <f aca="false" ca="false" dt2D="false" dtr="false" t="normal">'Приложение №2'!E805</f>
        <v>2586281.94</v>
      </c>
      <c r="AC807" s="17" t="n"/>
      <c r="AD807" s="17" t="n">
        <v>0</v>
      </c>
      <c r="AE807" s="17" t="n"/>
      <c r="AF807" s="17" t="n">
        <v>2586281.94</v>
      </c>
      <c r="AG807" s="17" t="n">
        <v>0</v>
      </c>
      <c r="AH807" s="17" t="n"/>
      <c r="AI807" s="17" t="n"/>
      <c r="AJ807" s="17" t="n">
        <v>0</v>
      </c>
      <c r="AK807" s="17" t="n">
        <v>0</v>
      </c>
      <c r="AL807" s="17" t="n">
        <v>0</v>
      </c>
      <c r="AM807" s="17" t="n">
        <v>0</v>
      </c>
      <c r="AN807" s="17" t="n">
        <v>0</v>
      </c>
      <c r="AO807" s="17" t="n"/>
      <c r="AP807" s="17" t="n"/>
      <c r="AQ807" s="188" t="n"/>
      <c r="AR807" s="241" t="n">
        <f aca="false" ca="false" dt2D="false" dtr="false" t="normal">COUNTIF(AC807:AN807, "&gt;0")</f>
        <v>1</v>
      </c>
    </row>
    <row customFormat="true" ht="15.75" outlineLevel="0" r="808" s="184">
      <c r="A808" s="240" t="n">
        <f aca="false" ca="false" dt2D="false" dtr="false" t="normal">A807+1</f>
        <v>783</v>
      </c>
      <c r="B808" s="138" t="s">
        <v>76</v>
      </c>
      <c r="C808" s="138" t="s">
        <v>177</v>
      </c>
      <c r="D808" s="138" t="s">
        <v>346</v>
      </c>
      <c r="E808" s="139" t="s">
        <v>347</v>
      </c>
      <c r="F808" s="139" t="n"/>
      <c r="G808" s="139" t="s">
        <v>4</v>
      </c>
      <c r="H808" s="139" t="s">
        <v>159</v>
      </c>
      <c r="I808" s="139" t="s">
        <v>5</v>
      </c>
      <c r="J808" s="17" t="n">
        <v>1276.4</v>
      </c>
      <c r="K808" s="17" t="n">
        <v>1181.5</v>
      </c>
      <c r="L808" s="17" t="n">
        <v>48.4</v>
      </c>
      <c r="M808" s="140" t="n">
        <v>69</v>
      </c>
      <c r="N808" s="16" t="n">
        <f aca="false" ca="false" dt2D="false" dtr="false" t="normal">P808+Q808+R808+S808+T808</f>
        <v>6927680.9</v>
      </c>
      <c r="O808" s="17" t="n">
        <v>0</v>
      </c>
      <c r="P808" s="17" t="n">
        <v>0</v>
      </c>
      <c r="Q808" s="17" t="n"/>
      <c r="R808" s="16" t="n"/>
      <c r="S808" s="16" t="n"/>
      <c r="T808" s="16" t="n">
        <v>6927680.9</v>
      </c>
      <c r="U808" s="17" t="n">
        <v>16969.400865557</v>
      </c>
      <c r="V808" s="17" t="n">
        <v>1267.283020064</v>
      </c>
      <c r="W808" s="21" t="n">
        <v>2024</v>
      </c>
      <c r="X808" s="103" t="n"/>
      <c r="Y808" s="3" t="n">
        <f aca="false" ca="false" dt2D="false" dtr="false" t="normal">+(K808*12.98+L808*25.97)*12*0.85</f>
        <v>169246.7436</v>
      </c>
      <c r="Z808" s="3" t="n">
        <f aca="false" ca="false" dt2D="false" dtr="false" t="normal">+(K808*12.98+L808*25.97)*12*30-'[1]Лист1'!$AQ$277</f>
        <v>1189308.1399999997</v>
      </c>
      <c r="AA808" s="3" t="n">
        <f aca="false" ca="false" dt2D="false" dtr="false" t="normal">+N808-AB808</f>
        <v>0</v>
      </c>
      <c r="AB808" s="16" t="n">
        <f aca="false" ca="false" dt2D="false" dtr="false" t="normal">'Приложение №2'!E806</f>
        <v>6927680.9</v>
      </c>
      <c r="AC808" s="17" t="n"/>
      <c r="AD808" s="17" t="n">
        <v>2451339</v>
      </c>
      <c r="AE808" s="17" t="n"/>
      <c r="AF808" s="17" t="n"/>
      <c r="AG808" s="17" t="n">
        <v>498007.81</v>
      </c>
      <c r="AH808" s="17" t="n"/>
      <c r="AI808" s="17" t="n"/>
      <c r="AJ808" s="17" t="n">
        <v>0</v>
      </c>
      <c r="AK808" s="17" t="n"/>
      <c r="AL808" s="17" t="n">
        <v>0</v>
      </c>
      <c r="AM808" s="17" t="n"/>
      <c r="AN808" s="17" t="n">
        <v>3978334.09</v>
      </c>
      <c r="AO808" s="17" t="n"/>
      <c r="AP808" s="17" t="n"/>
      <c r="AQ808" s="188" t="n"/>
      <c r="AR808" s="241" t="n">
        <f aca="false" ca="false" dt2D="false" dtr="false" t="normal">COUNTIF(AC808:AN808, "&gt;0")</f>
        <v>3</v>
      </c>
      <c r="AT808" s="187" t="n"/>
    </row>
    <row ht="15.75" outlineLevel="0" r="809">
      <c r="A809" s="240" t="n">
        <f aca="false" ca="false" dt2D="false" dtr="false" t="normal">A808+1</f>
        <v>784</v>
      </c>
      <c r="B809" s="138" t="s">
        <v>76</v>
      </c>
      <c r="C809" s="138" t="s">
        <v>177</v>
      </c>
      <c r="D809" s="138" t="s">
        <v>349</v>
      </c>
      <c r="E809" s="139" t="n">
        <v>1970</v>
      </c>
      <c r="F809" s="139" t="n">
        <v>2017</v>
      </c>
      <c r="G809" s="139" t="s">
        <v>4</v>
      </c>
      <c r="H809" s="139" t="n">
        <v>5</v>
      </c>
      <c r="I809" s="139" t="n">
        <v>2</v>
      </c>
      <c r="J809" s="17" t="n">
        <v>1774.6</v>
      </c>
      <c r="K809" s="17" t="n">
        <v>1596.4</v>
      </c>
      <c r="L809" s="17" t="n">
        <v>0</v>
      </c>
      <c r="M809" s="140" t="n">
        <v>68</v>
      </c>
      <c r="N809" s="16" t="n">
        <f aca="false" ca="false" dt2D="false" dtr="false" t="normal">P809+Q809+R809+S809+T809</f>
        <v>1833049.74</v>
      </c>
      <c r="O809" s="17" t="n"/>
      <c r="P809" s="17" t="n">
        <v>0</v>
      </c>
      <c r="Q809" s="17" t="n"/>
      <c r="R809" s="16" t="n"/>
      <c r="T809" s="16" t="n">
        <v>1833049.74</v>
      </c>
      <c r="U809" s="17" t="n">
        <v>3719.15477172051</v>
      </c>
      <c r="V809" s="17" t="n">
        <v>1272.283020064</v>
      </c>
      <c r="W809" s="21" t="n">
        <v>2024</v>
      </c>
      <c r="X809" s="3" t="n">
        <f aca="false" ca="false" dt2D="false" dtr="false" t="normal">+'[1]Лист1'!$BC$280</f>
        <v>59734.07</v>
      </c>
      <c r="Y809" s="3" t="n">
        <f aca="false" ca="false" dt2D="false" dtr="false" t="normal">+(K809*12.98+L809*25.97)*12*0.85</f>
        <v>211356.9744</v>
      </c>
      <c r="Z809" s="3" t="n">
        <f aca="false" ca="false" dt2D="false" dtr="false" t="normal">+(K809*12.98+L809*25.97)*12*30</f>
        <v>7459657.920000001</v>
      </c>
      <c r="AA809" s="3" t="n">
        <f aca="false" ca="false" dt2D="false" dtr="false" t="normal">+N809-AB809</f>
        <v>0</v>
      </c>
      <c r="AB809" s="16" t="n">
        <f aca="false" ca="false" dt2D="false" dtr="false" t="normal">'Приложение №2'!E807</f>
        <v>1833049.74</v>
      </c>
      <c r="AC809" s="17" t="n"/>
      <c r="AD809" s="17" t="n">
        <v>1833049.74</v>
      </c>
      <c r="AE809" s="17" t="n">
        <v>0</v>
      </c>
      <c r="AF809" s="17" t="n">
        <v>0</v>
      </c>
      <c r="AG809" s="17" t="n"/>
      <c r="AH809" s="17" t="n"/>
      <c r="AI809" s="17" t="n"/>
      <c r="AJ809" s="17" t="n">
        <v>0</v>
      </c>
      <c r="AK809" s="17" t="n">
        <v>0</v>
      </c>
      <c r="AL809" s="17" t="n">
        <v>0</v>
      </c>
      <c r="AM809" s="17" t="n">
        <v>0</v>
      </c>
      <c r="AN809" s="17" t="n">
        <v>0</v>
      </c>
      <c r="AO809" s="17" t="n"/>
      <c r="AP809" s="17" t="n"/>
      <c r="AQ809" s="188" t="n"/>
      <c r="AR809" s="241" t="n">
        <f aca="false" ca="false" dt2D="false" dtr="false" t="normal">COUNTIF(AC809:AN809, "&gt;0")</f>
        <v>1</v>
      </c>
    </row>
    <row ht="15.75" outlineLevel="0" r="810">
      <c r="A810" s="240" t="n">
        <f aca="false" ca="false" dt2D="false" dtr="false" t="normal">A809+1</f>
        <v>785</v>
      </c>
      <c r="B810" s="138" t="n">
        <f aca="false" ca="false" dt2D="false" dtr="false" t="normal">B805+1</f>
        <v>286</v>
      </c>
      <c r="C810" s="138" t="s">
        <v>177</v>
      </c>
      <c r="D810" s="138" t="s">
        <v>688</v>
      </c>
      <c r="E810" s="139" t="n">
        <v>1987</v>
      </c>
      <c r="F810" s="139" t="n">
        <v>2010</v>
      </c>
      <c r="G810" s="139" t="s">
        <v>4</v>
      </c>
      <c r="H810" s="139" t="n">
        <v>5</v>
      </c>
      <c r="I810" s="139" t="n">
        <v>2</v>
      </c>
      <c r="J810" s="17" t="n">
        <v>3854.65</v>
      </c>
      <c r="K810" s="17" t="n">
        <v>3186.55</v>
      </c>
      <c r="L810" s="17" t="n">
        <v>663.3</v>
      </c>
      <c r="M810" s="140" t="n">
        <v>157</v>
      </c>
      <c r="N810" s="16" t="n">
        <f aca="false" ca="false" dt2D="false" dtr="false" t="normal">P810+Q810+R810+S810+T810</f>
        <v>2147049.31</v>
      </c>
      <c r="O810" s="17" t="n"/>
      <c r="P810" s="17" t="n">
        <v>0</v>
      </c>
      <c r="Q810" s="17" t="n"/>
      <c r="R810" s="16" t="n">
        <v>2147049.31</v>
      </c>
      <c r="S810" s="17" t="n">
        <v>0</v>
      </c>
      <c r="T810" s="17" t="n">
        <v>0</v>
      </c>
      <c r="U810" s="17" t="n">
        <v>724.494550986689</v>
      </c>
      <c r="V810" s="17" t="n">
        <v>1288.283020064</v>
      </c>
      <c r="W810" s="21" t="n">
        <v>2024</v>
      </c>
      <c r="X810" s="103" t="n">
        <v>2978715.88</v>
      </c>
      <c r="Y810" s="3" t="n">
        <f aca="false" ca="false" dt2D="false" dtr="false" t="normal">+(K810*12.98+L810*25.97)*12*0.85</f>
        <v>597590.664</v>
      </c>
      <c r="Z810" s="3" t="n">
        <f aca="false" ca="false" dt2D="false" dtr="false" t="normal">+(K810*12.98+L810*25.97)*12*30</f>
        <v>21091435.2</v>
      </c>
      <c r="AA810" s="3" t="n">
        <f aca="false" ca="false" dt2D="false" dtr="false" t="normal">+N810-AB810</f>
        <v>0</v>
      </c>
      <c r="AB810" s="16" t="n">
        <f aca="false" ca="false" dt2D="false" dtr="false" t="normal">'Приложение №2'!E808</f>
        <v>2147049.31</v>
      </c>
      <c r="AC810" s="17" t="n">
        <v>0</v>
      </c>
      <c r="AD810" s="17" t="n">
        <v>0</v>
      </c>
      <c r="AE810" s="17" t="n">
        <v>0</v>
      </c>
      <c r="AF810" s="17" t="n">
        <v>0</v>
      </c>
      <c r="AG810" s="17" t="n">
        <v>2147049.31</v>
      </c>
      <c r="AH810" s="17" t="n"/>
      <c r="AI810" s="17" t="n"/>
      <c r="AJ810" s="17" t="n">
        <v>0</v>
      </c>
      <c r="AK810" s="17" t="n">
        <v>0</v>
      </c>
      <c r="AL810" s="17" t="n">
        <v>0</v>
      </c>
      <c r="AM810" s="17" t="n">
        <v>0</v>
      </c>
      <c r="AN810" s="17" t="n">
        <v>0</v>
      </c>
      <c r="AO810" s="17" t="n"/>
      <c r="AP810" s="17" t="n"/>
      <c r="AQ810" s="188" t="n"/>
      <c r="AR810" s="241" t="n">
        <f aca="false" ca="false" dt2D="false" dtr="false" t="normal">COUNTIF(AC810:AN810, "&gt;0")</f>
        <v>1</v>
      </c>
    </row>
    <row customFormat="true" ht="15.75" outlineLevel="0" r="811" s="184">
      <c r="A811" s="240" t="n">
        <f aca="false" ca="false" dt2D="false" dtr="false" t="normal">A810+1</f>
        <v>786</v>
      </c>
      <c r="B811" s="138" t="n">
        <f aca="false" ca="false" dt2D="false" dtr="false" t="normal">B810+1</f>
        <v>287</v>
      </c>
      <c r="C811" s="138" t="s">
        <v>177</v>
      </c>
      <c r="D811" s="138" t="s">
        <v>689</v>
      </c>
      <c r="E811" s="139" t="s">
        <v>181</v>
      </c>
      <c r="F811" s="139" t="n"/>
      <c r="G811" s="139" t="s">
        <v>4</v>
      </c>
      <c r="H811" s="139" t="s">
        <v>150</v>
      </c>
      <c r="I811" s="139" t="s">
        <v>219</v>
      </c>
      <c r="J811" s="17" t="n">
        <v>5386.8</v>
      </c>
      <c r="K811" s="17" t="n">
        <v>4410.9</v>
      </c>
      <c r="L811" s="17" t="n">
        <v>0</v>
      </c>
      <c r="M811" s="140" t="n">
        <v>267</v>
      </c>
      <c r="N811" s="16" t="n">
        <f aca="false" ca="false" dt2D="false" dtr="false" t="normal">P811+Q811+R811+S811+T811</f>
        <v>1410134.84</v>
      </c>
      <c r="O811" s="17" t="n">
        <v>0</v>
      </c>
      <c r="P811" s="17" t="n">
        <v>0</v>
      </c>
      <c r="Q811" s="17" t="n"/>
      <c r="R811" s="16" t="n">
        <v>1410134.84</v>
      </c>
      <c r="S811" s="17" t="n">
        <v>0</v>
      </c>
      <c r="T811" s="17" t="n">
        <v>0</v>
      </c>
      <c r="U811" s="17" t="n">
        <v>413.689431761122</v>
      </c>
      <c r="V811" s="17" t="n">
        <v>1296.283020064</v>
      </c>
      <c r="W811" s="21" t="n">
        <v>2024</v>
      </c>
      <c r="X811" s="103" t="n">
        <v>3350857.2</v>
      </c>
      <c r="Y811" s="3" t="n">
        <f aca="false" ca="false" dt2D="false" dtr="false" t="normal">+(K811*17.26+L811*29.25)*12*0.85</f>
        <v>776547.7668</v>
      </c>
      <c r="Z811" s="3" t="n">
        <f aca="false" ca="false" dt2D="false" dtr="false" t="normal">+(K811*17.26+L811*29.25)*12*30</f>
        <v>27407568.240000002</v>
      </c>
      <c r="AA811" s="3" t="n">
        <f aca="false" ca="false" dt2D="false" dtr="false" t="normal">+N811-AB811</f>
        <v>0</v>
      </c>
      <c r="AB811" s="16" t="n">
        <f aca="false" ca="false" dt2D="false" dtr="false" t="normal">'Приложение №2'!E809</f>
        <v>1410134.84</v>
      </c>
      <c r="AC811" s="17" t="n"/>
      <c r="AD811" s="17" t="n"/>
      <c r="AE811" s="17" t="n"/>
      <c r="AF811" s="17" t="n"/>
      <c r="AG811" s="17" t="n">
        <v>1410134.84</v>
      </c>
      <c r="AH811" s="17" t="n"/>
      <c r="AI811" s="17" t="n"/>
      <c r="AJ811" s="17" t="n"/>
      <c r="AK811" s="17" t="n"/>
      <c r="AL811" s="17" t="n"/>
      <c r="AM811" s="17" t="n"/>
      <c r="AN811" s="17" t="n"/>
      <c r="AO811" s="17" t="n"/>
      <c r="AP811" s="17" t="n"/>
      <c r="AQ811" s="188" t="n"/>
      <c r="AR811" s="241" t="n">
        <f aca="false" ca="false" dt2D="false" dtr="false" t="normal">COUNTIF(AC811:AN811, "&gt;0")</f>
        <v>1</v>
      </c>
      <c r="AT811" s="187" t="n"/>
    </row>
    <row customFormat="true" ht="15.75" outlineLevel="0" r="812" s="184">
      <c r="A812" s="240" t="n">
        <f aca="false" ca="false" dt2D="false" dtr="false" t="normal">A811+1</f>
        <v>787</v>
      </c>
      <c r="B812" s="138" t="n">
        <f aca="false" ca="false" dt2D="false" dtr="false" t="normal">B811+1</f>
        <v>288</v>
      </c>
      <c r="C812" s="138" t="s">
        <v>177</v>
      </c>
      <c r="D812" s="138" t="s">
        <v>690</v>
      </c>
      <c r="E812" s="139" t="s">
        <v>184</v>
      </c>
      <c r="F812" s="139" t="n"/>
      <c r="G812" s="139" t="s">
        <v>4</v>
      </c>
      <c r="H812" s="139" t="s">
        <v>150</v>
      </c>
      <c r="I812" s="139" t="s">
        <v>219</v>
      </c>
      <c r="J812" s="17" t="n">
        <v>5259.4</v>
      </c>
      <c r="K812" s="17" t="n">
        <v>4259.8</v>
      </c>
      <c r="L812" s="17" t="n">
        <v>65.2</v>
      </c>
      <c r="M812" s="140" t="n">
        <v>245</v>
      </c>
      <c r="N812" s="16" t="n">
        <f aca="false" ca="false" dt2D="false" dtr="false" t="normal">P812+Q812+R812+S812+T812</f>
        <v>1382673.19</v>
      </c>
      <c r="O812" s="17" t="n">
        <v>0</v>
      </c>
      <c r="P812" s="17" t="n">
        <v>0</v>
      </c>
      <c r="Q812" s="17" t="n"/>
      <c r="R812" s="16" t="n">
        <v>1382673.19</v>
      </c>
      <c r="S812" s="17" t="n">
        <v>0</v>
      </c>
      <c r="T812" s="17" t="n">
        <v>0</v>
      </c>
      <c r="U812" s="17" t="n">
        <v>421.603226911027</v>
      </c>
      <c r="V812" s="17" t="n">
        <v>1297.283020064</v>
      </c>
      <c r="W812" s="21" t="n">
        <v>2024</v>
      </c>
      <c r="X812" s="103" t="n">
        <v>3302142.34</v>
      </c>
      <c r="Y812" s="3" t="n">
        <f aca="false" ca="false" dt2D="false" dtr="false" t="normal">+(K812*17.26+L812*29.25)*12*0.85</f>
        <v>769398.7296000002</v>
      </c>
      <c r="Z812" s="3" t="n">
        <f aca="false" ca="false" dt2D="false" dtr="false" t="normal">+(K812*17.26+L812*29.25)*12*30</f>
        <v>27155249.28000001</v>
      </c>
      <c r="AA812" s="3" t="n">
        <f aca="false" ca="false" dt2D="false" dtr="false" t="normal">+N812-AB812</f>
        <v>0</v>
      </c>
      <c r="AB812" s="16" t="n">
        <f aca="false" ca="false" dt2D="false" dtr="false" t="normal">'Приложение №2'!E810</f>
        <v>1382673.19</v>
      </c>
      <c r="AC812" s="17" t="n"/>
      <c r="AD812" s="17" t="n"/>
      <c r="AE812" s="17" t="n"/>
      <c r="AF812" s="17" t="n"/>
      <c r="AG812" s="17" t="n">
        <v>1382673.19</v>
      </c>
      <c r="AH812" s="17" t="n"/>
      <c r="AI812" s="17" t="n"/>
      <c r="AJ812" s="17" t="n"/>
      <c r="AK812" s="17" t="n"/>
      <c r="AL812" s="17" t="n"/>
      <c r="AM812" s="17" t="n"/>
      <c r="AN812" s="17" t="n"/>
      <c r="AO812" s="17" t="n"/>
      <c r="AP812" s="17" t="n"/>
      <c r="AQ812" s="188" t="n"/>
      <c r="AR812" s="241" t="n">
        <f aca="false" ca="false" dt2D="false" dtr="false" t="normal">COUNTIF(AC812:AN812, "&gt;0")</f>
        <v>1</v>
      </c>
      <c r="AT812" s="187" t="n"/>
    </row>
    <row customFormat="true" ht="15.75" outlineLevel="0" r="813" s="184">
      <c r="A813" s="240" t="n">
        <f aca="false" ca="false" dt2D="false" dtr="false" t="normal">A812+1</f>
        <v>788</v>
      </c>
      <c r="B813" s="138" t="n">
        <f aca="false" ca="false" dt2D="false" dtr="false" t="normal">B812+1</f>
        <v>289</v>
      </c>
      <c r="C813" s="138" t="s">
        <v>177</v>
      </c>
      <c r="D813" s="138" t="s">
        <v>692</v>
      </c>
      <c r="E813" s="139" t="s">
        <v>184</v>
      </c>
      <c r="F813" s="139" t="n"/>
      <c r="G813" s="139" t="s">
        <v>4</v>
      </c>
      <c r="H813" s="139" t="s">
        <v>150</v>
      </c>
      <c r="I813" s="139" t="s">
        <v>219</v>
      </c>
      <c r="J813" s="17" t="n">
        <v>5408.1</v>
      </c>
      <c r="K813" s="17" t="n">
        <v>4395.54</v>
      </c>
      <c r="L813" s="17" t="n">
        <v>0</v>
      </c>
      <c r="M813" s="140" t="n">
        <v>222</v>
      </c>
      <c r="N813" s="16" t="n">
        <f aca="false" ca="false" dt2D="false" dtr="false" t="normal">P813+Q813+R813+S813+T813</f>
        <v>1405224.35</v>
      </c>
      <c r="O813" s="17" t="n">
        <v>0</v>
      </c>
      <c r="P813" s="17" t="n">
        <v>0</v>
      </c>
      <c r="Q813" s="17" t="n"/>
      <c r="R813" s="16" t="n">
        <v>1405224.35</v>
      </c>
      <c r="S813" s="17" t="n">
        <v>0</v>
      </c>
      <c r="T813" s="17" t="n">
        <v>0</v>
      </c>
      <c r="U813" s="17" t="n">
        <v>413.982860856614</v>
      </c>
      <c r="V813" s="17" t="n">
        <v>1298.283020064</v>
      </c>
      <c r="W813" s="21" t="n">
        <v>2024</v>
      </c>
      <c r="X813" s="103" t="n">
        <v>3071697.04</v>
      </c>
      <c r="Y813" s="3" t="n">
        <f aca="false" ca="false" dt2D="false" dtr="false" t="normal">+(K813*17.26+L813*29.25)*12*0.85</f>
        <v>773843.60808</v>
      </c>
      <c r="Z813" s="3" t="n">
        <f aca="false" ca="false" dt2D="false" dtr="false" t="normal">+(K813*17.26+L813*29.25)*12*30</f>
        <v>27312127.344000004</v>
      </c>
      <c r="AA813" s="3" t="n">
        <f aca="false" ca="false" dt2D="false" dtr="false" t="normal">+N813-AB813</f>
        <v>0</v>
      </c>
      <c r="AB813" s="16" t="n">
        <f aca="false" ca="false" dt2D="false" dtr="false" t="normal">'Приложение №2'!E811</f>
        <v>1405224.35</v>
      </c>
      <c r="AC813" s="17" t="n"/>
      <c r="AD813" s="17" t="n"/>
      <c r="AE813" s="17" t="n"/>
      <c r="AF813" s="17" t="n"/>
      <c r="AG813" s="17" t="n">
        <v>1405224.35</v>
      </c>
      <c r="AH813" s="17" t="n"/>
      <c r="AI813" s="17" t="n"/>
      <c r="AJ813" s="17" t="n"/>
      <c r="AK813" s="17" t="n"/>
      <c r="AL813" s="17" t="n"/>
      <c r="AM813" s="17" t="n"/>
      <c r="AN813" s="17" t="n"/>
      <c r="AO813" s="17" t="n"/>
      <c r="AP813" s="17" t="n"/>
      <c r="AQ813" s="188" t="n"/>
      <c r="AR813" s="241" t="n">
        <f aca="false" ca="false" dt2D="false" dtr="false" t="normal">COUNTIF(AC813:AN813, "&gt;0")</f>
        <v>1</v>
      </c>
      <c r="AT813" s="187" t="n"/>
    </row>
    <row ht="15.75" outlineLevel="0" r="814">
      <c r="A814" s="240" t="n">
        <f aca="false" ca="false" dt2D="false" dtr="false" t="normal">A813+1</f>
        <v>789</v>
      </c>
      <c r="B814" s="138" t="s">
        <v>76</v>
      </c>
      <c r="C814" s="138" t="s">
        <v>177</v>
      </c>
      <c r="D814" s="138" t="s">
        <v>396</v>
      </c>
      <c r="E814" s="139" t="n">
        <v>1964</v>
      </c>
      <c r="F814" s="139" t="n">
        <v>2009</v>
      </c>
      <c r="G814" s="139" t="s">
        <v>4</v>
      </c>
      <c r="H814" s="139" t="n">
        <v>4</v>
      </c>
      <c r="I814" s="139" t="n">
        <v>2</v>
      </c>
      <c r="J814" s="17" t="n">
        <v>1462.3</v>
      </c>
      <c r="K814" s="17" t="n">
        <v>1198.6</v>
      </c>
      <c r="L814" s="17" t="n">
        <v>42.9</v>
      </c>
      <c r="M814" s="140" t="n">
        <v>60</v>
      </c>
      <c r="N814" s="16" t="n">
        <f aca="false" ca="false" dt2D="false" dtr="false" t="normal">P814+Q814+R814+S814+T814</f>
        <v>5253565.1</v>
      </c>
      <c r="O814" s="17" t="n"/>
      <c r="P814" s="17" t="n">
        <v>0</v>
      </c>
      <c r="Q814" s="17" t="n">
        <v>0</v>
      </c>
      <c r="R814" s="16" t="n"/>
      <c r="S814" s="16" t="n"/>
      <c r="T814" s="16" t="n">
        <v>5253565.1</v>
      </c>
      <c r="U814" s="17" t="n">
        <v>14439.0038043993</v>
      </c>
      <c r="V814" s="17" t="n">
        <v>1311.283020064</v>
      </c>
      <c r="W814" s="21" t="n">
        <v>2024</v>
      </c>
      <c r="X814" s="12" t="n"/>
      <c r="Y814" s="3" t="n">
        <f aca="false" ca="false" dt2D="false" dtr="false" t="normal">+(K814*12.98+L814*25.97)*12*0.85</f>
        <v>170053.7982</v>
      </c>
      <c r="Z814" s="3" t="n">
        <f aca="false" ca="false" dt2D="false" dtr="false" t="normal">+(K814*12.98+L814*25.97)*12*30-'[1]Лист1'!$AQ$314</f>
        <v>1453436.8899999997</v>
      </c>
      <c r="AA814" s="3" t="n">
        <f aca="false" ca="false" dt2D="false" dtr="false" t="normal">+N814-AB814</f>
        <v>0</v>
      </c>
      <c r="AB814" s="16" t="n">
        <f aca="false" ca="false" dt2D="false" dtr="false" t="normal">'Приложение №2'!E812</f>
        <v>5253565.1</v>
      </c>
      <c r="AC814" s="17" t="n"/>
      <c r="AD814" s="17" t="n"/>
      <c r="AE814" s="17" t="n"/>
      <c r="AF814" s="17" t="n">
        <v>1294043.96</v>
      </c>
      <c r="AG814" s="17" t="n"/>
      <c r="AH814" s="17" t="n"/>
      <c r="AI814" s="17" t="n"/>
      <c r="AJ814" s="17" t="n">
        <v>0</v>
      </c>
      <c r="AK814" s="17" t="n"/>
      <c r="AL814" s="17" t="n">
        <v>0</v>
      </c>
      <c r="AM814" s="17" t="n"/>
      <c r="AN814" s="17" t="n">
        <v>3959521.14</v>
      </c>
      <c r="AO814" s="17" t="n"/>
      <c r="AP814" s="17" t="n"/>
      <c r="AQ814" s="188" t="n"/>
      <c r="AR814" s="241" t="n">
        <f aca="false" ca="false" dt2D="false" dtr="false" t="normal">COUNTIF(AC814:AN814, "&gt;0")</f>
        <v>2</v>
      </c>
    </row>
    <row customFormat="true" ht="15.75" outlineLevel="0" r="815" s="184">
      <c r="A815" s="240" t="n">
        <f aca="false" ca="false" dt2D="false" dtr="false" t="normal">A814+1</f>
        <v>790</v>
      </c>
      <c r="B815" s="138" t="s">
        <v>76</v>
      </c>
      <c r="C815" s="138" t="s">
        <v>309</v>
      </c>
      <c r="D815" s="138" t="s">
        <v>399</v>
      </c>
      <c r="E815" s="139" t="s">
        <v>400</v>
      </c>
      <c r="F815" s="139" t="n"/>
      <c r="G815" s="139" t="s">
        <v>4</v>
      </c>
      <c r="H815" s="139" t="s">
        <v>159</v>
      </c>
      <c r="I815" s="139" t="s">
        <v>5</v>
      </c>
      <c r="J815" s="17" t="n">
        <v>2017.1</v>
      </c>
      <c r="K815" s="17" t="n">
        <v>1568.7</v>
      </c>
      <c r="L815" s="17" t="n">
        <v>241.9</v>
      </c>
      <c r="M815" s="140" t="n">
        <v>64</v>
      </c>
      <c r="N815" s="16" t="n">
        <f aca="false" ca="false" dt2D="false" dtr="false" t="normal">P815+Q815+R815+S815+T815</f>
        <v>13577425.68</v>
      </c>
      <c r="O815" s="17" t="n">
        <v>0</v>
      </c>
      <c r="P815" s="17" t="n">
        <v>0</v>
      </c>
      <c r="Q815" s="17" t="n"/>
      <c r="R815" s="16" t="n">
        <v>188651.42</v>
      </c>
      <c r="S815" s="16" t="n"/>
      <c r="T815" s="16" t="n">
        <v>13388774.26</v>
      </c>
      <c r="U815" s="17" t="n">
        <v>12922.8899657411</v>
      </c>
      <c r="V815" s="17" t="n">
        <v>12922.8899657411</v>
      </c>
      <c r="W815" s="21" t="n">
        <v>2024</v>
      </c>
      <c r="X815" s="192" t="n"/>
      <c r="Y815" s="3" t="n">
        <f aca="false" ca="false" dt2D="false" dtr="false" t="normal">+(K815*12.71+L815*25.41)*12*0.85</f>
        <v>266065.5312</v>
      </c>
      <c r="Z815" s="3" t="n">
        <f aca="false" ca="false" dt2D="false" dtr="false" t="normal">+(K815*12.71+L815*25.41)*12*30-'[1]Лист1'!$AQ$316</f>
        <v>3247364.0900000017</v>
      </c>
      <c r="AA815" s="3" t="n">
        <f aca="false" ca="false" dt2D="false" dtr="false" t="normal">+N815-AB815</f>
        <v>0</v>
      </c>
      <c r="AB815" s="16" t="n">
        <f aca="false" ca="false" dt2D="false" dtr="false" t="normal">'Приложение №2'!E813</f>
        <v>13577425.68</v>
      </c>
      <c r="AC815" s="17" t="n"/>
      <c r="AD815" s="17" t="n"/>
      <c r="AE815" s="17" t="n"/>
      <c r="AF815" s="17" t="n"/>
      <c r="AG815" s="17" t="n"/>
      <c r="AH815" s="17" t="n"/>
      <c r="AI815" s="17" t="n"/>
      <c r="AJ815" s="17" t="n"/>
      <c r="AK815" s="17" t="n"/>
      <c r="AL815" s="17" t="n"/>
      <c r="AM815" s="17" t="n">
        <v>13577425.68</v>
      </c>
      <c r="AN815" s="17" t="n"/>
      <c r="AO815" s="17" t="n"/>
      <c r="AP815" s="17" t="n"/>
      <c r="AQ815" s="188" t="n"/>
      <c r="AR815" s="241" t="n">
        <f aca="false" ca="false" dt2D="false" dtr="false" t="normal">COUNTIF(AC815:AN815, "&gt;0")</f>
        <v>1</v>
      </c>
      <c r="AT815" s="187" t="n"/>
    </row>
    <row ht="15.75" outlineLevel="0" r="816">
      <c r="A816" s="240" t="n">
        <f aca="false" ca="false" dt2D="false" dtr="false" t="normal">A815+1</f>
        <v>791</v>
      </c>
      <c r="B816" s="138" t="s">
        <v>76</v>
      </c>
      <c r="C816" s="138" t="s">
        <v>177</v>
      </c>
      <c r="D816" s="138" t="s">
        <v>279</v>
      </c>
      <c r="E816" s="139" t="n">
        <v>1965</v>
      </c>
      <c r="F816" s="139" t="n">
        <v>2005</v>
      </c>
      <c r="G816" s="139" t="s">
        <v>4</v>
      </c>
      <c r="H816" s="139" t="n">
        <v>4</v>
      </c>
      <c r="I816" s="139" t="n">
        <v>4</v>
      </c>
      <c r="J816" s="17" t="n">
        <v>2661.8</v>
      </c>
      <c r="K816" s="17" t="n">
        <v>2220.4</v>
      </c>
      <c r="L816" s="17" t="n">
        <v>229.71</v>
      </c>
      <c r="M816" s="140" t="n">
        <v>111</v>
      </c>
      <c r="N816" s="16" t="n">
        <f aca="false" ca="false" dt2D="false" dtr="false" t="normal">P816+Q816+R816+S816+T816</f>
        <v>2813313.39</v>
      </c>
      <c r="O816" s="17" t="n"/>
      <c r="P816" s="17" t="n">
        <v>0</v>
      </c>
      <c r="Q816" s="17" t="n"/>
      <c r="R816" s="16" t="n">
        <v>143493.71</v>
      </c>
      <c r="S816" s="16" t="n"/>
      <c r="T816" s="16" t="n">
        <v>2669819.68</v>
      </c>
      <c r="U816" s="17" t="n">
        <v>12180.3300759663</v>
      </c>
      <c r="V816" s="17" t="n">
        <v>1309.283020064</v>
      </c>
      <c r="W816" s="21" t="n">
        <v>2024</v>
      </c>
      <c r="X816" s="12" t="n"/>
      <c r="Y816" s="3" t="n">
        <f aca="false" ca="false" dt2D="false" dtr="false" t="normal">+(K816*12.98+L816*25.97)*12*0.85</f>
        <v>354820.87914000003</v>
      </c>
      <c r="Z816" s="3" t="n">
        <f aca="false" ca="false" dt2D="false" dtr="false" t="normal">+(K816*12.98+L816*25.97)*12*30-'[1]Лист1'!$AQ$319</f>
        <v>7192756.302000002</v>
      </c>
      <c r="AA816" s="3" t="n">
        <f aca="false" ca="false" dt2D="false" dtr="false" t="normal">+N816-AB816</f>
        <v>0</v>
      </c>
      <c r="AB816" s="16" t="n">
        <f aca="false" ca="false" dt2D="false" dtr="false" t="normal">'Приложение №2'!E814</f>
        <v>2813313.39</v>
      </c>
      <c r="AC816" s="17" t="n"/>
      <c r="AD816" s="17" t="n">
        <v>2813313.39</v>
      </c>
      <c r="AE816" s="17" t="n"/>
      <c r="AF816" s="17" t="n"/>
      <c r="AG816" s="17" t="n"/>
      <c r="AH816" s="17" t="n"/>
      <c r="AI816" s="17" t="n"/>
      <c r="AJ816" s="17" t="n">
        <v>0</v>
      </c>
      <c r="AK816" s="17" t="n"/>
      <c r="AL816" s="17" t="n">
        <v>0</v>
      </c>
      <c r="AM816" s="17" t="n"/>
      <c r="AN816" s="17" t="n"/>
      <c r="AO816" s="17" t="n"/>
      <c r="AP816" s="17" t="n"/>
      <c r="AQ816" s="188" t="n"/>
      <c r="AR816" s="241" t="n">
        <f aca="false" ca="false" dt2D="false" dtr="false" t="normal">COUNTIF(AC816:AN816, "&gt;0")</f>
        <v>1</v>
      </c>
    </row>
    <row customFormat="true" ht="15.75" outlineLevel="0" r="817" s="184">
      <c r="A817" s="240" t="n">
        <f aca="false" ca="false" dt2D="false" dtr="false" t="normal">A816+1</f>
        <v>792</v>
      </c>
      <c r="B817" s="138" t="s">
        <v>76</v>
      </c>
      <c r="C817" s="138" t="s">
        <v>309</v>
      </c>
      <c r="D817" s="138" t="s">
        <v>416</v>
      </c>
      <c r="E817" s="139" t="s">
        <v>28</v>
      </c>
      <c r="F817" s="139" t="n"/>
      <c r="G817" s="139" t="s">
        <v>4</v>
      </c>
      <c r="H817" s="139" t="s">
        <v>159</v>
      </c>
      <c r="I817" s="139" t="s">
        <v>212</v>
      </c>
      <c r="J817" s="17" t="n">
        <v>5051.19</v>
      </c>
      <c r="K817" s="17" t="n">
        <v>4630.8</v>
      </c>
      <c r="L817" s="17" t="n">
        <v>0</v>
      </c>
      <c r="M817" s="140" t="n">
        <v>233</v>
      </c>
      <c r="N817" s="16" t="n">
        <f aca="false" ca="false" dt2D="false" dtr="false" t="normal">P817+Q817+R817+S817+T817</f>
        <v>4285819.85</v>
      </c>
      <c r="O817" s="17" t="n">
        <v>0</v>
      </c>
      <c r="P817" s="17" t="n">
        <v>0</v>
      </c>
      <c r="Q817" s="17" t="n"/>
      <c r="R817" s="16" t="n"/>
      <c r="S817" s="17" t="n"/>
      <c r="T817" s="16" t="n">
        <v>4285819.85</v>
      </c>
      <c r="U817" s="17" t="n">
        <v>13629.8191357263</v>
      </c>
      <c r="V817" s="17" t="n">
        <v>1323.283020064</v>
      </c>
      <c r="W817" s="21" t="n">
        <v>2024</v>
      </c>
      <c r="X817" s="103" t="n"/>
      <c r="Y817" s="3" t="n">
        <f aca="false" ca="false" dt2D="false" dtr="false" t="normal">+(K817*12.98+L817*25.97)*12*0.85</f>
        <v>613099.3968</v>
      </c>
      <c r="Z817" s="3" t="n">
        <f aca="false" ca="false" dt2D="false" dtr="false" t="normal">+(K817*12.98+L817*25.97)*12*30-'[1]Лист1'!$AQ$326</f>
        <v>14342132.430000003</v>
      </c>
      <c r="AA817" s="3" t="n">
        <f aca="false" ca="false" dt2D="false" dtr="false" t="normal">+N817-AB817</f>
        <v>0</v>
      </c>
      <c r="AB817" s="16" t="n">
        <f aca="false" ca="false" dt2D="false" dtr="false" t="normal">'Приложение №2'!E815</f>
        <v>4285819.85</v>
      </c>
      <c r="AC817" s="17" t="n"/>
      <c r="AD817" s="17" t="n"/>
      <c r="AE817" s="17" t="n"/>
      <c r="AF817" s="17" t="n">
        <v>4285819.85</v>
      </c>
      <c r="AG817" s="17" t="n"/>
      <c r="AH817" s="17" t="n"/>
      <c r="AI817" s="17" t="n"/>
      <c r="AJ817" s="17" t="n"/>
      <c r="AK817" s="17" t="n"/>
      <c r="AL817" s="17" t="n"/>
      <c r="AM817" s="17" t="n"/>
      <c r="AN817" s="17" t="n"/>
      <c r="AO817" s="17" t="n"/>
      <c r="AP817" s="17" t="n"/>
      <c r="AQ817" s="188" t="n"/>
      <c r="AR817" s="241" t="n">
        <f aca="false" ca="false" dt2D="false" dtr="false" t="normal">COUNTIF(AC817:AN817, "&gt;0")</f>
        <v>1</v>
      </c>
      <c r="AT817" s="187" t="n"/>
    </row>
    <row customFormat="true" ht="15.75" outlineLevel="0" r="818" s="184">
      <c r="A818" s="240" t="n">
        <f aca="false" ca="false" dt2D="false" dtr="false" t="normal">A817+1</f>
        <v>793</v>
      </c>
      <c r="B818" s="138" t="s">
        <v>76</v>
      </c>
      <c r="C818" s="138" t="s">
        <v>309</v>
      </c>
      <c r="D818" s="138" t="s">
        <v>424</v>
      </c>
      <c r="E818" s="139" t="s">
        <v>311</v>
      </c>
      <c r="F818" s="139" t="n"/>
      <c r="G818" s="139" t="s">
        <v>4</v>
      </c>
      <c r="H818" s="139" t="s">
        <v>159</v>
      </c>
      <c r="I818" s="139" t="s">
        <v>159</v>
      </c>
      <c r="J818" s="17" t="n">
        <v>3950.89</v>
      </c>
      <c r="K818" s="17" t="n">
        <v>3454.6</v>
      </c>
      <c r="L818" s="17" t="n">
        <v>0</v>
      </c>
      <c r="M818" s="140" t="n">
        <v>153</v>
      </c>
      <c r="N818" s="16" t="n">
        <f aca="false" ca="false" dt2D="false" dtr="false" t="normal">P818+Q818+R818+S818+T818</f>
        <v>1398827.38</v>
      </c>
      <c r="O818" s="17" t="n">
        <v>0</v>
      </c>
      <c r="P818" s="17" t="n">
        <v>0</v>
      </c>
      <c r="Q818" s="17" t="n"/>
      <c r="R818" s="16" t="n"/>
      <c r="S818" s="16" t="n"/>
      <c r="T818" s="16" t="n">
        <v>1398827.38</v>
      </c>
      <c r="U818" s="17" t="n">
        <v>6210.65562241457</v>
      </c>
      <c r="V818" s="17" t="n">
        <v>1327.283020064</v>
      </c>
      <c r="W818" s="21" t="n">
        <v>2024</v>
      </c>
      <c r="X818" s="103" t="n"/>
      <c r="Y818" s="3" t="n">
        <f aca="false" ca="false" dt2D="false" dtr="false" t="normal">+(K818*12.98+L818*25.97)*12*0.85</f>
        <v>457375.22160000005</v>
      </c>
      <c r="Z818" s="3" t="n">
        <f aca="false" ca="false" dt2D="false" dtr="false" t="normal">+(K818*12.98+L818*25.97)*12*30-'[1]Лист1'!$AQ$330</f>
        <v>5570957.8100000005</v>
      </c>
      <c r="AA818" s="3" t="n">
        <f aca="false" ca="false" dt2D="false" dtr="false" t="normal">+N818-AB818</f>
        <v>0</v>
      </c>
      <c r="AB818" s="16" t="n">
        <f aca="false" ca="false" dt2D="false" dtr="false" t="normal">'Приложение №2'!E816</f>
        <v>1398827.38</v>
      </c>
      <c r="AC818" s="17" t="n"/>
      <c r="AD818" s="17" t="n"/>
      <c r="AE818" s="17" t="n"/>
      <c r="AF818" s="17" t="n"/>
      <c r="AG818" s="17" t="n">
        <v>1398827.38</v>
      </c>
      <c r="AH818" s="17" t="n"/>
      <c r="AI818" s="17" t="n"/>
      <c r="AJ818" s="17" t="n">
        <v>0</v>
      </c>
      <c r="AK818" s="17" t="n"/>
      <c r="AL818" s="17" t="n">
        <v>0</v>
      </c>
      <c r="AM818" s="17" t="n"/>
      <c r="AN818" s="17" t="n"/>
      <c r="AO818" s="17" t="n"/>
      <c r="AP818" s="17" t="n"/>
      <c r="AQ818" s="188" t="n"/>
      <c r="AR818" s="241" t="n">
        <f aca="false" ca="false" dt2D="false" dtr="false" t="normal">COUNTIF(AC818:AN818, "&gt;0")</f>
        <v>1</v>
      </c>
      <c r="AT818" s="187" t="n"/>
    </row>
    <row customFormat="true" ht="15.75" outlineLevel="0" r="819" s="184">
      <c r="A819" s="240" t="n">
        <f aca="false" ca="false" dt2D="false" dtr="false" t="normal">A818+1</f>
        <v>794</v>
      </c>
      <c r="B819" s="138" t="s">
        <v>76</v>
      </c>
      <c r="C819" s="138" t="s">
        <v>309</v>
      </c>
      <c r="D819" s="138" t="s">
        <v>436</v>
      </c>
      <c r="E819" s="139" t="s">
        <v>311</v>
      </c>
      <c r="F819" s="139" t="n"/>
      <c r="G819" s="139" t="s">
        <v>4</v>
      </c>
      <c r="H819" s="139" t="s">
        <v>159</v>
      </c>
      <c r="I819" s="139" t="s">
        <v>312</v>
      </c>
      <c r="J819" s="17" t="n">
        <v>5751.1</v>
      </c>
      <c r="K819" s="17" t="n">
        <v>4971.6</v>
      </c>
      <c r="L819" s="17" t="n">
        <v>0</v>
      </c>
      <c r="M819" s="140" t="n">
        <v>221</v>
      </c>
      <c r="N819" s="16" t="n">
        <f aca="false" ca="false" dt2D="false" dtr="false" t="normal">P819+Q819+R819+S819+T819</f>
        <v>2013086.95</v>
      </c>
      <c r="O819" s="17" t="n">
        <v>0</v>
      </c>
      <c r="P819" s="17" t="n">
        <v>0</v>
      </c>
      <c r="Q819" s="17" t="n"/>
      <c r="R819" s="16" t="n">
        <v>73376.71</v>
      </c>
      <c r="S819" s="16" t="n"/>
      <c r="T819" s="16" t="n">
        <v>1939710.24</v>
      </c>
      <c r="U819" s="17" t="n">
        <v>7573.9732792899</v>
      </c>
      <c r="V819" s="17" t="n">
        <v>1330.283020064</v>
      </c>
      <c r="W819" s="21" t="n">
        <v>2024</v>
      </c>
      <c r="X819" s="103" t="n"/>
      <c r="Y819" s="3" t="n">
        <f aca="false" ca="false" dt2D="false" dtr="false" t="normal">+(K819*12.98+L819*25.97)*12*0.85</f>
        <v>658219.9536</v>
      </c>
      <c r="Z819" s="3" t="n">
        <f aca="false" ca="false" dt2D="false" dtr="false" t="normal">+(K819*12.98+L819*25.97)*12*30-'[1]Лист1'!$AQ$337</f>
        <v>3339908.6800000034</v>
      </c>
      <c r="AA819" s="3" t="n">
        <f aca="false" ca="false" dt2D="false" dtr="false" t="normal">+N819-AB819</f>
        <v>0</v>
      </c>
      <c r="AB819" s="16" t="n">
        <f aca="false" ca="false" dt2D="false" dtr="false" t="normal">'Приложение №2'!E817</f>
        <v>2013086.95</v>
      </c>
      <c r="AC819" s="17" t="n"/>
      <c r="AD819" s="17" t="n"/>
      <c r="AE819" s="17" t="n">
        <v>0</v>
      </c>
      <c r="AF819" s="17" t="n">
        <v>0</v>
      </c>
      <c r="AG819" s="17" t="n">
        <v>2013086.95</v>
      </c>
      <c r="AH819" s="17" t="n"/>
      <c r="AI819" s="17" t="n"/>
      <c r="AJ819" s="17" t="n">
        <v>0</v>
      </c>
      <c r="AK819" s="17" t="n"/>
      <c r="AL819" s="17" t="n">
        <v>0</v>
      </c>
      <c r="AM819" s="17" t="n"/>
      <c r="AN819" s="17" t="n"/>
      <c r="AO819" s="17" t="n"/>
      <c r="AP819" s="17" t="n"/>
      <c r="AQ819" s="188" t="n"/>
      <c r="AR819" s="241" t="n">
        <f aca="false" ca="false" dt2D="false" dtr="false" t="normal">COUNTIF(AC819:AN819, "&gt;0")</f>
        <v>1</v>
      </c>
      <c r="AT819" s="187" t="n"/>
    </row>
    <row ht="15.75" outlineLevel="0" r="820">
      <c r="A820" s="240" t="n">
        <f aca="false" ca="false" dt2D="false" dtr="false" t="normal">A819+1</f>
        <v>795</v>
      </c>
      <c r="B820" s="138" t="s">
        <v>76</v>
      </c>
      <c r="C820" s="138" t="s">
        <v>467</v>
      </c>
      <c r="D820" s="138" t="s">
        <v>626</v>
      </c>
      <c r="E820" s="139" t="n">
        <v>1984</v>
      </c>
      <c r="F820" s="139" t="n">
        <v>1984</v>
      </c>
      <c r="G820" s="139" t="s">
        <v>4</v>
      </c>
      <c r="H820" s="139" t="n">
        <v>2</v>
      </c>
      <c r="I820" s="139" t="n">
        <v>2</v>
      </c>
      <c r="J820" s="17" t="n">
        <v>638.8</v>
      </c>
      <c r="K820" s="17" t="n">
        <v>591.8</v>
      </c>
      <c r="L820" s="17" t="n">
        <v>0</v>
      </c>
      <c r="M820" s="140" t="n">
        <v>27</v>
      </c>
      <c r="N820" s="16" t="n">
        <f aca="false" ca="false" dt2D="false" dtr="false" t="normal">P820+Q820+R820+S820+T820</f>
        <v>3296281.74</v>
      </c>
      <c r="O820" s="17" t="n"/>
      <c r="P820" s="17" t="n">
        <v>0</v>
      </c>
      <c r="Q820" s="17" t="n"/>
      <c r="R820" s="16" t="n">
        <v>56703.205</v>
      </c>
      <c r="S820" s="16" t="n"/>
      <c r="T820" s="16" t="n">
        <v>3239578.535</v>
      </c>
      <c r="U820" s="17" t="n">
        <v>7984.80281059028</v>
      </c>
      <c r="V820" s="17" t="n">
        <v>1348.283020064</v>
      </c>
      <c r="W820" s="21" t="n">
        <v>2024</v>
      </c>
      <c r="X820" s="103" t="n">
        <v>43686.45</v>
      </c>
      <c r="Y820" s="3" t="n">
        <f aca="false" ca="false" dt2D="false" dtr="false" t="normal">+(K820*12.71+L820*25.41)*12*0.85</f>
        <v>76722.13560000001</v>
      </c>
      <c r="Z820" s="3" t="n">
        <f aca="false" ca="false" dt2D="false" dtr="false" t="normal">+(K820*12.71+L820*25.41)*12*30</f>
        <v>2707840.08</v>
      </c>
      <c r="AA820" s="3" t="n">
        <f aca="false" ca="false" dt2D="false" dtr="false" t="normal">+N820-AB820</f>
        <v>0</v>
      </c>
      <c r="AB820" s="16" t="n">
        <f aca="false" ca="false" dt2D="false" dtr="false" t="normal">'Приложение №2'!E818</f>
        <v>3296281.74</v>
      </c>
      <c r="AC820" s="17" t="n"/>
      <c r="AD820" s="17" t="n">
        <v>2442319.31</v>
      </c>
      <c r="AE820" s="17" t="n"/>
      <c r="AF820" s="17" t="n">
        <v>853962.43</v>
      </c>
      <c r="AG820" s="17" t="n">
        <v>0</v>
      </c>
      <c r="AH820" s="17" t="n"/>
      <c r="AI820" s="17" t="n"/>
      <c r="AJ820" s="17" t="n">
        <v>0</v>
      </c>
      <c r="AK820" s="17" t="n">
        <v>0</v>
      </c>
      <c r="AL820" s="17" t="n">
        <v>0</v>
      </c>
      <c r="AM820" s="17" t="n">
        <v>0</v>
      </c>
      <c r="AN820" s="17" t="n">
        <v>0</v>
      </c>
      <c r="AO820" s="17" t="n"/>
      <c r="AP820" s="17" t="n"/>
      <c r="AQ820" s="188" t="n"/>
      <c r="AR820" s="241" t="n">
        <f aca="false" ca="false" dt2D="false" dtr="false" t="normal">COUNTIF(AC820:AN820, "&gt;0")</f>
        <v>2</v>
      </c>
    </row>
    <row ht="15.75" outlineLevel="0" r="821">
      <c r="A821" s="240" t="n">
        <f aca="false" ca="false" dt2D="false" dtr="false" t="normal">A820+1</f>
        <v>796</v>
      </c>
      <c r="B821" s="138" t="n">
        <f aca="false" ca="false" dt2D="false" dtr="false" t="normal">B813+1</f>
        <v>290</v>
      </c>
      <c r="C821" s="138" t="s">
        <v>356</v>
      </c>
      <c r="D821" s="138" t="s">
        <v>614</v>
      </c>
      <c r="E821" s="139" t="n">
        <v>1972</v>
      </c>
      <c r="F821" s="139" t="n">
        <v>2013</v>
      </c>
      <c r="G821" s="139" t="s">
        <v>4</v>
      </c>
      <c r="H821" s="139" t="n">
        <v>4</v>
      </c>
      <c r="I821" s="139" t="n">
        <v>3</v>
      </c>
      <c r="J821" s="17" t="n">
        <v>1348.9</v>
      </c>
      <c r="K821" s="17" t="n">
        <v>1047.4</v>
      </c>
      <c r="L821" s="17" t="n">
        <v>182.5</v>
      </c>
      <c r="M821" s="140" t="n">
        <v>50</v>
      </c>
      <c r="N821" s="16" t="n">
        <f aca="false" ca="false" dt2D="false" dtr="false" t="normal">P821+Q821+R821+S821+T821</f>
        <v>1041448.46</v>
      </c>
      <c r="O821" s="17" t="n"/>
      <c r="P821" s="17" t="n">
        <v>0</v>
      </c>
      <c r="Q821" s="17" t="n"/>
      <c r="R821" s="16" t="n">
        <v>166394.84</v>
      </c>
      <c r="T821" s="16" t="n">
        <v>875053.62</v>
      </c>
      <c r="U821" s="17" t="n">
        <v>2310.24590133422</v>
      </c>
      <c r="V821" s="17" t="n">
        <v>1362.283020064</v>
      </c>
      <c r="W821" s="21" t="n">
        <v>2024</v>
      </c>
      <c r="X821" s="103" t="n"/>
      <c r="Y821" s="3" t="n">
        <f aca="false" ca="false" dt2D="false" dtr="false" t="normal">+(K821*12.71+L821*25.41)*12*0.85</f>
        <v>183087.7458</v>
      </c>
      <c r="Z821" s="3" t="n">
        <f aca="false" ca="false" dt2D="false" dtr="false" t="normal">+(K821*12.71+L821*25.41)*12*30-'[1]Лист1'!$AQ$45</f>
        <v>6400660.69</v>
      </c>
      <c r="AA821" s="3" t="n">
        <f aca="false" ca="false" dt2D="false" dtr="false" t="normal">+N821-AB821</f>
        <v>0</v>
      </c>
      <c r="AB821" s="16" t="n">
        <f aca="false" ca="false" dt2D="false" dtr="false" t="normal">'Приложение №2'!E819</f>
        <v>1041448.46</v>
      </c>
      <c r="AC821" s="17" t="n">
        <v>0</v>
      </c>
      <c r="AD821" s="17" t="n">
        <v>0</v>
      </c>
      <c r="AE821" s="17" t="n"/>
      <c r="AF821" s="17" t="n">
        <v>0</v>
      </c>
      <c r="AG821" s="17" t="n">
        <v>0</v>
      </c>
      <c r="AH821" s="17" t="n"/>
      <c r="AI821" s="17" t="n"/>
      <c r="AJ821" s="17" t="n">
        <v>0</v>
      </c>
      <c r="AK821" s="17" t="n">
        <v>0</v>
      </c>
      <c r="AL821" s="17" t="n">
        <v>1041448.46</v>
      </c>
      <c r="AM821" s="17" t="n">
        <v>0</v>
      </c>
      <c r="AN821" s="17" t="n"/>
      <c r="AO821" s="17" t="n"/>
      <c r="AP821" s="17" t="n"/>
      <c r="AQ821" s="188" t="n"/>
      <c r="AR821" s="241" t="n">
        <f aca="false" ca="false" dt2D="false" dtr="false" t="normal">COUNTIF(AC821:AN821, "&gt;0")</f>
        <v>1</v>
      </c>
    </row>
    <row ht="15.75" outlineLevel="0" r="822">
      <c r="A822" s="240" t="n">
        <f aca="false" ca="false" dt2D="false" dtr="false" t="normal">A821+1</f>
        <v>797</v>
      </c>
      <c r="B822" s="138" t="s">
        <v>76</v>
      </c>
      <c r="C822" s="138" t="s">
        <v>356</v>
      </c>
      <c r="D822" s="138" t="s">
        <v>494</v>
      </c>
      <c r="E822" s="139" t="n">
        <v>1972</v>
      </c>
      <c r="F822" s="139" t="n">
        <v>2013</v>
      </c>
      <c r="G822" s="139" t="s">
        <v>4</v>
      </c>
      <c r="H822" s="139" t="n">
        <v>4</v>
      </c>
      <c r="I822" s="139" t="n">
        <v>1</v>
      </c>
      <c r="J822" s="17" t="n">
        <v>1401</v>
      </c>
      <c r="K822" s="17" t="n">
        <v>1155.6</v>
      </c>
      <c r="L822" s="17" t="n">
        <v>81.1</v>
      </c>
      <c r="M822" s="140" t="n">
        <v>60</v>
      </c>
      <c r="N822" s="16" t="n">
        <f aca="false" ca="false" dt2D="false" dtr="false" t="normal">P822+Q822+R822+S822+T822</f>
        <v>1047206.53</v>
      </c>
      <c r="O822" s="17" t="n"/>
      <c r="P822" s="17" t="n">
        <v>0</v>
      </c>
      <c r="Q822" s="17" t="n"/>
      <c r="R822" s="16" t="n">
        <v>509348.07</v>
      </c>
      <c r="S822" s="16" t="n"/>
      <c r="T822" s="17" t="n">
        <v>537858.46</v>
      </c>
      <c r="U822" s="17" t="n">
        <v>5399.27263390571</v>
      </c>
      <c r="V822" s="17" t="n">
        <v>1363.283020064</v>
      </c>
      <c r="W822" s="21" t="n">
        <v>2024</v>
      </c>
      <c r="X822" s="103" t="n">
        <v>590250.21</v>
      </c>
      <c r="Y822" s="3" t="n">
        <f aca="false" ca="false" dt2D="false" dtr="false" t="normal">+(K822*12.71+L822*25.41)*12*0.85</f>
        <v>170833.9554</v>
      </c>
      <c r="Z822" s="3" t="n">
        <f aca="false" ca="false" dt2D="false" dtr="false" t="normal">+(K822*12.71+L822*25.41)*12*30</f>
        <v>6029433.720000001</v>
      </c>
      <c r="AA822" s="3" t="n">
        <f aca="false" ca="false" dt2D="false" dtr="false" t="normal">+N822-AB822</f>
        <v>0</v>
      </c>
      <c r="AB822" s="16" t="n">
        <f aca="false" ca="false" dt2D="false" dtr="false" t="normal">'Приложение №2'!E820</f>
        <v>1047206.53</v>
      </c>
      <c r="AC822" s="17" t="n">
        <v>0</v>
      </c>
      <c r="AD822" s="17" t="n">
        <v>0</v>
      </c>
      <c r="AE822" s="17" t="n"/>
      <c r="AF822" s="17" t="n">
        <v>0</v>
      </c>
      <c r="AG822" s="17" t="n">
        <v>0</v>
      </c>
      <c r="AH822" s="17" t="n"/>
      <c r="AI822" s="17" t="n"/>
      <c r="AJ822" s="17" t="n">
        <v>0</v>
      </c>
      <c r="AK822" s="17" t="n">
        <v>0</v>
      </c>
      <c r="AL822" s="17" t="n">
        <v>1047206.53</v>
      </c>
      <c r="AM822" s="17" t="n">
        <v>0</v>
      </c>
      <c r="AN822" s="17" t="n"/>
      <c r="AO822" s="17" t="n"/>
      <c r="AP822" s="17" t="n"/>
      <c r="AQ822" s="188" t="n"/>
      <c r="AR822" s="241" t="n">
        <f aca="false" ca="false" dt2D="false" dtr="false" t="normal">COUNTIF(AC822:AN822, "&gt;0")</f>
        <v>1</v>
      </c>
    </row>
    <row ht="15.75" outlineLevel="0" r="823">
      <c r="A823" s="240" t="n">
        <f aca="false" ca="false" dt2D="false" dtr="false" t="normal">A822+1</f>
        <v>798</v>
      </c>
      <c r="B823" s="138" t="n">
        <f aca="false" ca="false" dt2D="false" dtr="false" t="normal">+B821+1</f>
        <v>291</v>
      </c>
      <c r="C823" s="138" t="s">
        <v>356</v>
      </c>
      <c r="D823" s="138" t="s">
        <v>359</v>
      </c>
      <c r="E823" s="139" t="n">
        <v>1973</v>
      </c>
      <c r="F823" s="139" t="n">
        <v>1973</v>
      </c>
      <c r="G823" s="139" t="s">
        <v>4</v>
      </c>
      <c r="H823" s="139" t="n">
        <v>4</v>
      </c>
      <c r="I823" s="139" t="n">
        <v>3</v>
      </c>
      <c r="J823" s="17" t="n">
        <v>1399</v>
      </c>
      <c r="K823" s="17" t="n">
        <v>1081.6</v>
      </c>
      <c r="L823" s="17" t="n">
        <v>197.9</v>
      </c>
      <c r="M823" s="140" t="n">
        <v>41</v>
      </c>
      <c r="N823" s="16" t="n">
        <f aca="false" ca="false" dt2D="false" dtr="false" t="normal">P823+Q823+R823+S823+T823</f>
        <v>1722929.35</v>
      </c>
      <c r="O823" s="17" t="n"/>
      <c r="P823" s="17" t="n">
        <v>0</v>
      </c>
      <c r="Q823" s="17" t="n"/>
      <c r="R823" s="16" t="n">
        <v>174052.49</v>
      </c>
      <c r="T823" s="16" t="n">
        <v>1548876.86</v>
      </c>
      <c r="U823" s="17" t="n">
        <v>1627.7795214497</v>
      </c>
      <c r="V823" s="17" t="n">
        <v>1361.283020064</v>
      </c>
      <c r="W823" s="21" t="n">
        <v>2024</v>
      </c>
      <c r="X823" s="12" t="n"/>
      <c r="Y823" s="3" t="n">
        <f aca="false" ca="false" dt2D="false" dtr="false" t="normal">+(K823*12.71+L823*25.41)*12*0.85</f>
        <v>191512.905</v>
      </c>
      <c r="Z823" s="3" t="n">
        <f aca="false" ca="false" dt2D="false" dtr="false" t="normal">+(K823*12.71+L823*25.41)*12*30-'[1]Лист1'!$AQ$47</f>
        <v>3621200.610000001</v>
      </c>
      <c r="AA823" s="3" t="n">
        <f aca="false" ca="false" dt2D="false" dtr="false" t="normal">+N823-AB823</f>
        <v>0</v>
      </c>
      <c r="AB823" s="16" t="n">
        <f aca="false" ca="false" dt2D="false" dtr="false" t="normal">'Приложение №2'!E821</f>
        <v>1722929.35</v>
      </c>
      <c r="AC823" s="17" t="n"/>
      <c r="AD823" s="17" t="n"/>
      <c r="AE823" s="17" t="n">
        <v>1722929.35</v>
      </c>
      <c r="AF823" s="17" t="n">
        <v>0</v>
      </c>
      <c r="AG823" s="17" t="n">
        <v>0</v>
      </c>
      <c r="AH823" s="17" t="n"/>
      <c r="AI823" s="17" t="n"/>
      <c r="AJ823" s="17" t="n">
        <v>0</v>
      </c>
      <c r="AK823" s="17" t="n">
        <v>0</v>
      </c>
      <c r="AL823" s="17" t="n">
        <v>0</v>
      </c>
      <c r="AM823" s="17" t="n">
        <v>0</v>
      </c>
      <c r="AN823" s="17" t="n">
        <v>0</v>
      </c>
      <c r="AO823" s="17" t="n"/>
      <c r="AP823" s="17" t="n"/>
      <c r="AQ823" s="188" t="n"/>
      <c r="AR823" s="241" t="n">
        <f aca="false" ca="false" dt2D="false" dtr="false" t="normal">COUNTIF(AC823:AN823, "&gt;0")</f>
        <v>1</v>
      </c>
    </row>
    <row ht="15.75" outlineLevel="0" r="824">
      <c r="A824" s="240" t="n">
        <f aca="false" ca="false" dt2D="false" dtr="false" t="normal">A823+1</f>
        <v>799</v>
      </c>
      <c r="B824" s="138" t="s">
        <v>76</v>
      </c>
      <c r="C824" s="138" t="s">
        <v>356</v>
      </c>
      <c r="D824" s="138" t="s">
        <v>509</v>
      </c>
      <c r="E824" s="139" t="n">
        <v>1967</v>
      </c>
      <c r="F824" s="139" t="n">
        <v>1967</v>
      </c>
      <c r="G824" s="139" t="s">
        <v>4</v>
      </c>
      <c r="H824" s="139" t="n">
        <v>3</v>
      </c>
      <c r="I824" s="139" t="n">
        <v>2</v>
      </c>
      <c r="J824" s="17" t="n">
        <v>994.3</v>
      </c>
      <c r="K824" s="17" t="n">
        <v>775.2</v>
      </c>
      <c r="L824" s="17" t="n">
        <v>168.7</v>
      </c>
      <c r="M824" s="140" t="n">
        <v>26</v>
      </c>
      <c r="N824" s="16" t="n">
        <f aca="false" ca="false" dt2D="false" dtr="false" t="normal">P824+Q824+R824+S824+T824</f>
        <v>341058.14</v>
      </c>
      <c r="O824" s="17" t="n"/>
      <c r="P824" s="17" t="n">
        <v>0</v>
      </c>
      <c r="Q824" s="17" t="n"/>
      <c r="R824" s="16" t="n"/>
      <c r="S824" s="16" t="n"/>
      <c r="T824" s="16" t="n">
        <v>341058.14</v>
      </c>
      <c r="U824" s="17" t="n">
        <v>1325.78203196453</v>
      </c>
      <c r="V824" s="17" t="n">
        <v>1325.78203196453</v>
      </c>
      <c r="W824" s="21" t="n">
        <v>2024</v>
      </c>
      <c r="Y824" s="3" t="n">
        <f aca="false" ca="false" dt2D="false" dtr="false" t="normal">+(K824*12.71+L824*25.41)*12*0.85</f>
        <v>144222.4818</v>
      </c>
      <c r="Z824" s="3" t="n">
        <f aca="false" ca="false" dt2D="false" dtr="false" t="normal">+(K824*12.71+L824*25.41)*12*30-'[1]Лист1'!$AQ$56</f>
        <v>1075401.8600000003</v>
      </c>
      <c r="AA824" s="3" t="n">
        <f aca="false" ca="false" dt2D="false" dtr="false" t="normal">+N824-AB824</f>
        <v>0</v>
      </c>
      <c r="AB824" s="16" t="n">
        <f aca="false" ca="false" dt2D="false" dtr="false" t="normal">'Приложение №2'!E822</f>
        <v>341058.14</v>
      </c>
      <c r="AC824" s="17" t="n"/>
      <c r="AD824" s="17" t="n"/>
      <c r="AE824" s="17" t="n"/>
      <c r="AF824" s="17" t="n">
        <v>341058.14</v>
      </c>
      <c r="AG824" s="17" t="n">
        <v>0</v>
      </c>
      <c r="AH824" s="17" t="n"/>
      <c r="AI824" s="17" t="n"/>
      <c r="AJ824" s="17" t="n">
        <v>0</v>
      </c>
      <c r="AK824" s="17" t="n"/>
      <c r="AL824" s="17" t="n">
        <v>0</v>
      </c>
      <c r="AM824" s="17" t="n"/>
      <c r="AN824" s="17" t="n"/>
      <c r="AO824" s="17" t="n"/>
      <c r="AP824" s="17" t="n"/>
      <c r="AQ824" s="188" t="n"/>
      <c r="AR824" s="241" t="n">
        <f aca="false" ca="false" dt2D="false" dtr="false" t="normal">COUNTIF(AC824:AN824, "&gt;0")</f>
        <v>1</v>
      </c>
    </row>
    <row ht="15.75" outlineLevel="0" r="825">
      <c r="A825" s="231" t="n"/>
      <c r="B825" s="232" t="n"/>
      <c r="C825" s="233" t="n"/>
      <c r="D825" s="176" t="s">
        <v>695</v>
      </c>
      <c r="E825" s="234" t="n"/>
      <c r="F825" s="234" t="n"/>
      <c r="G825" s="234" t="n"/>
      <c r="H825" s="234" t="n"/>
      <c r="I825" s="234" t="n"/>
      <c r="J825" s="235" t="n">
        <v>126843.29</v>
      </c>
      <c r="K825" s="235" t="n">
        <v>106815.56</v>
      </c>
      <c r="L825" s="235" t="n">
        <v>5968.94</v>
      </c>
      <c r="M825" s="235" t="n">
        <v>4030</v>
      </c>
      <c r="N825" s="236" t="n">
        <f aca="false" ca="false" dt2D="false" dtr="false" t="normal">P825+Q825+R825+S825+T825</f>
        <v>139216419.05</v>
      </c>
      <c r="O825" s="236" t="n">
        <f aca="false" ca="false" dt2D="false" dtr="false" t="normal">SUM(O826:O844)</f>
        <v>0</v>
      </c>
      <c r="P825" s="236" t="n">
        <f aca="false" ca="false" dt2D="false" dtr="false" t="normal">SUM(P826:P844)</f>
        <v>0</v>
      </c>
      <c r="Q825" s="237" t="n">
        <f aca="false" ca="false" dt2D="false" dtr="false" t="normal">SUM(Q826:Q844)</f>
        <v>0</v>
      </c>
      <c r="R825" s="237" t="n">
        <f aca="false" ca="false" dt2D="false" dtr="false" t="normal">SUM(R826:R844)</f>
        <v>62940509.15</v>
      </c>
      <c r="S825" s="237" t="n">
        <f aca="false" ca="false" dt2D="false" dtr="false" t="normal">SUM(S826:S844)</f>
        <v>0</v>
      </c>
      <c r="T825" s="237" t="n">
        <f aca="false" ca="false" dt2D="false" dtr="false" t="normal">SUM(T826:T844)</f>
        <v>76275909.9</v>
      </c>
      <c r="U825" s="236" t="n"/>
      <c r="V825" s="236" t="n"/>
      <c r="W825" s="238" t="n"/>
      <c r="X825" s="190" t="n"/>
      <c r="AB825" s="248" t="n">
        <f aca="false" ca="false" dt2D="false" dtr="false" t="normal">'Приложение №2'!E823</f>
        <v>139216419.04999998</v>
      </c>
      <c r="AC825" s="239" t="n">
        <f aca="false" ca="false" dt2D="false" dtr="false" t="normal">SUM(AC827:AC840)</f>
        <v>32127092.42</v>
      </c>
      <c r="AD825" s="239" t="n">
        <f aca="false" ca="false" dt2D="false" dtr="false" t="normal">SUM(AD827:AD840)</f>
        <v>15323179.09</v>
      </c>
      <c r="AE825" s="239" t="n">
        <f aca="false" ca="false" dt2D="false" dtr="false" t="normal">SUM(AE827:AE840)</f>
        <v>7448558.890000001</v>
      </c>
      <c r="AF825" s="239" t="n">
        <f aca="false" ca="false" dt2D="false" dtr="false" t="normal">SUM(AF827:AF840)</f>
        <v>2208309.01</v>
      </c>
      <c r="AG825" s="239" t="n">
        <f aca="false" ca="false" dt2D="false" dtr="false" t="normal">SUM(AG827:AG840)</f>
        <v>0</v>
      </c>
      <c r="AH825" s="239" t="n">
        <f aca="false" ca="false" dt2D="false" dtr="false" t="normal">SUM(AH827:AH840)</f>
        <v>0</v>
      </c>
      <c r="AI825" s="239" t="n">
        <f aca="false" ca="false" dt2D="false" dtr="false" t="normal">SUM(AI827:AI840)</f>
        <v>0</v>
      </c>
      <c r="AJ825" s="239" t="n">
        <f aca="false" ca="false" dt2D="false" dtr="false" t="normal">SUM(AJ827:AJ840)</f>
        <v>61325906.669999994</v>
      </c>
      <c r="AK825" s="239" t="n">
        <f aca="false" ca="false" dt2D="false" dtr="false" t="normal">SUM(AK827:AK840)</f>
        <v>4256351.5</v>
      </c>
      <c r="AL825" s="239" t="n">
        <f aca="false" ca="false" dt2D="false" dtr="false" t="normal">SUM(AL827:AL840)</f>
        <v>2000973</v>
      </c>
      <c r="AM825" s="239" t="n">
        <f aca="false" ca="false" dt2D="false" dtr="false" t="normal">SUM(AM827:AM840)</f>
        <v>7661130.539999999</v>
      </c>
      <c r="AN825" s="239" t="n">
        <f aca="false" ca="false" dt2D="false" dtr="false" t="normal">SUM(AN827:AN840)</f>
        <v>0</v>
      </c>
      <c r="AO825" s="239" t="n">
        <f aca="false" ca="false" dt2D="false" dtr="false" t="normal">SUM(AO827:AO840)</f>
        <v>949584.48</v>
      </c>
      <c r="AP825" s="239" t="n">
        <f aca="false" ca="false" dt2D="false" dtr="false" t="normal">SUM(AP827:AP840)</f>
        <v>116147.45</v>
      </c>
      <c r="AQ825" s="239" t="n">
        <f aca="false" ca="false" dt2D="false" dtr="false" t="normal">SUM(AQ827:AQ840)</f>
        <v>0</v>
      </c>
      <c r="AR825" s="186" t="n"/>
    </row>
    <row ht="15.75" outlineLevel="0" r="826">
      <c r="A826" s="5" t="n">
        <f aca="false" ca="false" dt2D="false" dtr="false" t="normal">A824+1</f>
        <v>800</v>
      </c>
      <c r="B826" s="6" t="n">
        <f aca="false" ca="false" dt2D="false" dtr="false" t="normal">B823+1</f>
        <v>292</v>
      </c>
      <c r="C826" s="138" t="s">
        <v>696</v>
      </c>
      <c r="D826" s="138" t="s">
        <v>697</v>
      </c>
      <c r="E826" s="220" t="n">
        <v>1995</v>
      </c>
      <c r="F826" s="220" t="n"/>
      <c r="G826" s="220" t="s">
        <v>4</v>
      </c>
      <c r="H826" s="220" t="n">
        <v>5</v>
      </c>
      <c r="I826" s="220" t="n">
        <v>4</v>
      </c>
      <c r="J826" s="207" t="n">
        <v>6328.8</v>
      </c>
      <c r="K826" s="207" t="n">
        <v>5632.4</v>
      </c>
      <c r="L826" s="207" t="n">
        <v>0</v>
      </c>
      <c r="M826" s="140" t="n">
        <v>167</v>
      </c>
      <c r="N826" s="16" t="n">
        <f aca="false" ca="false" dt2D="false" dtr="false" t="normal">P826+Q826+R826+S826+T826</f>
        <v>1500250</v>
      </c>
      <c r="O826" s="249" t="n"/>
      <c r="P826" s="249" t="n"/>
      <c r="Q826" s="249" t="n"/>
      <c r="R826" s="250" t="n">
        <v>1500250</v>
      </c>
      <c r="S826" s="249" t="n"/>
      <c r="T826" s="249" t="n"/>
      <c r="U826" s="216" t="n">
        <v>266.360698814005</v>
      </c>
      <c r="V826" s="216" t="n">
        <v>266.360698814005</v>
      </c>
      <c r="W826" s="222" t="n">
        <v>2024</v>
      </c>
      <c r="X826" s="190" t="n"/>
      <c r="AB826" s="248" t="n">
        <f aca="false" ca="false" dt2D="false" dtr="false" t="normal">'Приложение №2'!E824</f>
        <v>1500250</v>
      </c>
      <c r="AC826" s="228" t="n"/>
      <c r="AD826" s="228" t="n"/>
      <c r="AE826" s="228" t="n"/>
      <c r="AF826" s="228" t="n"/>
      <c r="AG826" s="228" t="n"/>
      <c r="AH826" s="228" t="n"/>
      <c r="AI826" s="228" t="n"/>
      <c r="AJ826" s="228" t="n"/>
      <c r="AK826" s="228" t="n"/>
      <c r="AL826" s="228" t="n"/>
      <c r="AM826" s="203" t="n">
        <v>1500250</v>
      </c>
      <c r="AN826" s="228" t="n"/>
      <c r="AO826" s="228" t="n"/>
      <c r="AP826" s="228" t="n"/>
      <c r="AQ826" s="251" t="n"/>
      <c r="AR826" s="186" t="n"/>
    </row>
    <row ht="15.75" outlineLevel="0" r="827">
      <c r="A827" s="5" t="n">
        <f aca="false" ca="false" dt2D="false" dtr="false" t="normal">A826+1</f>
        <v>801</v>
      </c>
      <c r="B827" s="6" t="n">
        <f aca="false" ca="false" dt2D="false" dtr="false" t="normal">B826+1</f>
        <v>293</v>
      </c>
      <c r="C827" s="138" t="s">
        <v>696</v>
      </c>
      <c r="D827" s="138" t="s">
        <v>698</v>
      </c>
      <c r="E827" s="139" t="n">
        <v>1996</v>
      </c>
      <c r="F827" s="139" t="n">
        <v>1996</v>
      </c>
      <c r="G827" s="139" t="s">
        <v>4</v>
      </c>
      <c r="H827" s="139" t="n">
        <v>5</v>
      </c>
      <c r="I827" s="139" t="n">
        <v>3</v>
      </c>
      <c r="J827" s="17" t="n">
        <v>4938</v>
      </c>
      <c r="K827" s="17" t="n">
        <v>4205.4</v>
      </c>
      <c r="L827" s="17" t="n">
        <v>368.1</v>
      </c>
      <c r="M827" s="140" t="n">
        <v>144</v>
      </c>
      <c r="N827" s="16" t="n">
        <f aca="false" ca="false" dt2D="false" dtr="false" t="normal">P827+Q827+R827+S827+T827</f>
        <v>25883294.729999997</v>
      </c>
      <c r="O827" s="17" t="n"/>
      <c r="P827" s="27" t="n"/>
      <c r="Q827" s="18" t="n"/>
      <c r="R827" s="27" t="n">
        <v>893007.83</v>
      </c>
      <c r="S827" s="18" t="n">
        <v>0</v>
      </c>
      <c r="T827" s="27" t="n">
        <v>24990286.9</v>
      </c>
      <c r="U827" s="18" t="n">
        <v>6378.55740208881</v>
      </c>
      <c r="V827" s="18" t="n">
        <v>1183.283020064</v>
      </c>
      <c r="W827" s="21" t="n">
        <v>2024</v>
      </c>
      <c r="Y827" s="3" t="n">
        <f aca="false" ca="false" dt2D="false" dtr="false" t="normal">+(K827*10.5+L827*21)*12*0.85</f>
        <v>529245.36</v>
      </c>
      <c r="AA827" s="3" t="n">
        <f aca="false" ca="false" dt2D="false" dtr="false" t="normal">+N827-AB827</f>
        <v>0</v>
      </c>
      <c r="AB827" s="248" t="n">
        <f aca="false" ca="false" dt2D="false" dtr="false" t="normal">'Приложение №2'!E825</f>
        <v>25883294.730000004</v>
      </c>
      <c r="AC827" s="17" t="n">
        <v>14432823.3</v>
      </c>
      <c r="AD827" s="18" t="n">
        <v>7108989.15</v>
      </c>
      <c r="AE827" s="18" t="n">
        <v>4341482.28</v>
      </c>
      <c r="AF827" s="18" t="n">
        <v>0</v>
      </c>
      <c r="AG827" s="18" t="n">
        <v>0</v>
      </c>
      <c r="AH827" s="18" t="n">
        <v>0</v>
      </c>
      <c r="AI827" s="17" t="n"/>
      <c r="AJ827" s="18" t="n">
        <v>0</v>
      </c>
      <c r="AK827" s="18" t="n">
        <v>0</v>
      </c>
      <c r="AL827" s="18" t="n">
        <v>0</v>
      </c>
      <c r="AM827" s="18" t="n">
        <v>0</v>
      </c>
      <c r="AN827" s="18" t="n">
        <v>0</v>
      </c>
      <c r="AO827" s="18" t="n"/>
      <c r="AP827" s="18" t="n"/>
      <c r="AQ827" s="185" t="n"/>
      <c r="AR827" s="186" t="n">
        <f aca="false" ca="false" dt2D="false" dtr="false" t="normal">COUNTIF(AC827:AN827, "&gt;0")</f>
        <v>3</v>
      </c>
    </row>
    <row ht="15.75" outlineLevel="0" r="828">
      <c r="A828" s="5" t="n">
        <f aca="false" ca="false" dt2D="false" dtr="false" t="normal">A827+1</f>
        <v>802</v>
      </c>
      <c r="B828" s="6" t="n">
        <f aca="false" ca="false" dt2D="false" dtr="false" t="normal">B827+1</f>
        <v>294</v>
      </c>
      <c r="C828" s="138" t="s">
        <v>110</v>
      </c>
      <c r="D828" s="6" t="s">
        <v>699</v>
      </c>
      <c r="E828" s="139" t="n">
        <v>1986</v>
      </c>
      <c r="F828" s="139" t="n"/>
      <c r="G828" s="220" t="s">
        <v>4</v>
      </c>
      <c r="H828" s="139" t="n">
        <v>9</v>
      </c>
      <c r="I828" s="139" t="n">
        <v>1</v>
      </c>
      <c r="J828" s="17" t="n">
        <v>3166.9</v>
      </c>
      <c r="K828" s="17" t="n">
        <v>2687.51</v>
      </c>
      <c r="L828" s="17" t="n">
        <v>0</v>
      </c>
      <c r="M828" s="140" t="n">
        <v>93</v>
      </c>
      <c r="N828" s="16" t="n">
        <f aca="false" ca="false" dt2D="false" dtr="false" t="normal">P828+Q828+R828+S828+T828</f>
        <v>2000973</v>
      </c>
      <c r="O828" s="17" t="n"/>
      <c r="P828" s="27" t="n"/>
      <c r="Q828" s="18" t="n"/>
      <c r="R828" s="18" t="n">
        <v>2000973</v>
      </c>
      <c r="S828" s="18" t="n"/>
      <c r="T828" s="27" t="n"/>
      <c r="U828" s="216" t="n">
        <v>744.545322622055</v>
      </c>
      <c r="V828" s="216" t="n">
        <v>744.545322622055</v>
      </c>
      <c r="W828" s="21" t="n">
        <v>2024</v>
      </c>
      <c r="AB828" s="248" t="n">
        <f aca="false" ca="false" dt2D="false" dtr="false" t="normal">'Приложение №2'!E826</f>
        <v>2000973</v>
      </c>
      <c r="AC828" s="17" t="n">
        <v>0</v>
      </c>
      <c r="AD828" s="18" t="n">
        <v>0</v>
      </c>
      <c r="AE828" s="18" t="n"/>
      <c r="AF828" s="18" t="n">
        <v>0</v>
      </c>
      <c r="AG828" s="18" t="n">
        <v>0</v>
      </c>
      <c r="AH828" s="18" t="n"/>
      <c r="AI828" s="17" t="n"/>
      <c r="AJ828" s="18" t="n">
        <v>0</v>
      </c>
      <c r="AK828" s="18" t="n">
        <v>0</v>
      </c>
      <c r="AL828" s="18" t="n">
        <v>2000973</v>
      </c>
      <c r="AM828" s="18" t="n">
        <v>0</v>
      </c>
      <c r="AN828" s="18" t="n">
        <v>0</v>
      </c>
      <c r="AO828" s="18" t="n"/>
      <c r="AP828" s="18" t="n"/>
      <c r="AQ828" s="191" t="n"/>
      <c r="AR828" s="186" t="n"/>
    </row>
    <row ht="15.75" outlineLevel="0" r="829">
      <c r="A829" s="5" t="n">
        <f aca="false" ca="false" dt2D="false" dtr="false" t="normal">A828+1</f>
        <v>803</v>
      </c>
      <c r="B829" s="6" t="n">
        <f aca="false" ca="false" dt2D="false" dtr="false" t="normal">B828+1</f>
        <v>295</v>
      </c>
      <c r="C829" s="138" t="s">
        <v>110</v>
      </c>
      <c r="D829" s="6" t="s">
        <v>700</v>
      </c>
      <c r="E829" s="139" t="n">
        <v>1986</v>
      </c>
      <c r="F829" s="139" t="n"/>
      <c r="G829" s="220" t="s">
        <v>4</v>
      </c>
      <c r="H829" s="139" t="n">
        <v>9</v>
      </c>
      <c r="I829" s="139" t="n">
        <v>1</v>
      </c>
      <c r="J829" s="17" t="n">
        <v>3133.7</v>
      </c>
      <c r="K829" s="17" t="n">
        <v>2674.7</v>
      </c>
      <c r="L829" s="17" t="n">
        <v>459</v>
      </c>
      <c r="M829" s="140" t="n">
        <v>106</v>
      </c>
      <c r="N829" s="16" t="n">
        <f aca="false" ca="false" dt2D="false" dtr="false" t="normal">P829+Q829+R829+S829+T829</f>
        <v>1963777.32</v>
      </c>
      <c r="O829" s="17" t="n"/>
      <c r="P829" s="27" t="n"/>
      <c r="Q829" s="18" t="n"/>
      <c r="R829" s="18" t="n">
        <v>1963777.32</v>
      </c>
      <c r="S829" s="18" t="n"/>
      <c r="T829" s="27" t="n"/>
      <c r="U829" s="216" t="n">
        <v>626.664109519099</v>
      </c>
      <c r="V829" s="216" t="n">
        <v>626.664109519099</v>
      </c>
      <c r="W829" s="21" t="n">
        <v>2024</v>
      </c>
      <c r="AB829" s="248" t="n">
        <f aca="false" ca="false" dt2D="false" dtr="false" t="normal">'Приложение №2'!E827</f>
        <v>1963777.32</v>
      </c>
      <c r="AC829" s="17" t="n"/>
      <c r="AD829" s="18" t="n"/>
      <c r="AE829" s="18" t="n">
        <v>1963777.32</v>
      </c>
      <c r="AF829" s="18" t="n"/>
      <c r="AG829" s="18" t="n"/>
      <c r="AH829" s="18" t="n"/>
      <c r="AI829" s="17" t="n"/>
      <c r="AJ829" s="18" t="n"/>
      <c r="AK829" s="18" t="n"/>
      <c r="AL829" s="18" t="n"/>
      <c r="AM829" s="18" t="n"/>
      <c r="AN829" s="18" t="n"/>
      <c r="AO829" s="18" t="n"/>
      <c r="AP829" s="18" t="n"/>
      <c r="AQ829" s="191" t="n"/>
      <c r="AR829" s="186" t="n"/>
    </row>
    <row ht="15.75" outlineLevel="0" r="830">
      <c r="A830" s="5" t="n">
        <f aca="false" ca="false" dt2D="false" dtr="false" t="normal">A829+1</f>
        <v>804</v>
      </c>
      <c r="B830" s="6" t="n">
        <f aca="false" ca="false" dt2D="false" dtr="false" t="normal">B829+1</f>
        <v>296</v>
      </c>
      <c r="C830" s="138" t="s">
        <v>110</v>
      </c>
      <c r="D830" s="6" t="s">
        <v>701</v>
      </c>
      <c r="E830" s="139" t="n">
        <v>1992</v>
      </c>
      <c r="F830" s="139" t="n"/>
      <c r="G830" s="220" t="s">
        <v>4</v>
      </c>
      <c r="H830" s="139" t="n">
        <v>9</v>
      </c>
      <c r="I830" s="139" t="n">
        <v>1</v>
      </c>
      <c r="J830" s="17" t="n">
        <v>2853.9</v>
      </c>
      <c r="K830" s="17" t="n">
        <v>2392.6</v>
      </c>
      <c r="L830" s="17" t="n">
        <v>387.3</v>
      </c>
      <c r="M830" s="140" t="n">
        <v>81</v>
      </c>
      <c r="N830" s="16" t="n">
        <f aca="false" ca="false" dt2D="false" dtr="false" t="normal">P830+Q830+R830+S830+T830</f>
        <v>1143299.29</v>
      </c>
      <c r="O830" s="17" t="n"/>
      <c r="P830" s="27" t="n"/>
      <c r="Q830" s="18" t="n"/>
      <c r="R830" s="18" t="n">
        <v>1143299.29</v>
      </c>
      <c r="S830" s="18" t="n"/>
      <c r="T830" s="27" t="n"/>
      <c r="U830" s="216" t="n">
        <v>411.273531421994</v>
      </c>
      <c r="V830" s="216" t="n">
        <v>411.273531421994</v>
      </c>
      <c r="W830" s="21" t="n">
        <v>2024</v>
      </c>
      <c r="AB830" s="248" t="n">
        <f aca="false" ca="false" dt2D="false" dtr="false" t="normal">'Приложение №2'!E828</f>
        <v>1143299.29</v>
      </c>
      <c r="AC830" s="17" t="n"/>
      <c r="AD830" s="18" t="n">
        <v>0</v>
      </c>
      <c r="AE830" s="18" t="n">
        <v>1143299.29</v>
      </c>
      <c r="AF830" s="18" t="n">
        <v>0</v>
      </c>
      <c r="AG830" s="18" t="n">
        <v>0</v>
      </c>
      <c r="AH830" s="18" t="n"/>
      <c r="AI830" s="17" t="n"/>
      <c r="AJ830" s="18" t="n">
        <v>0</v>
      </c>
      <c r="AK830" s="18" t="n">
        <v>0</v>
      </c>
      <c r="AL830" s="18" t="n">
        <v>0</v>
      </c>
      <c r="AM830" s="18" t="n">
        <v>0</v>
      </c>
      <c r="AN830" s="18" t="n">
        <v>0</v>
      </c>
      <c r="AO830" s="18" t="n"/>
      <c r="AP830" s="18" t="n"/>
      <c r="AQ830" s="191" t="n"/>
      <c r="AR830" s="186" t="n"/>
    </row>
    <row ht="15.75" outlineLevel="0" r="831">
      <c r="A831" s="5" t="n">
        <f aca="false" ca="false" dt2D="false" dtr="false" t="normal">A830+1</f>
        <v>805</v>
      </c>
      <c r="B831" s="6" t="n">
        <f aca="false" ca="false" dt2D="false" dtr="false" t="normal">B830+1</f>
        <v>297</v>
      </c>
      <c r="C831" s="138" t="s">
        <v>110</v>
      </c>
      <c r="D831" s="138" t="s">
        <v>702</v>
      </c>
      <c r="E831" s="139" t="n">
        <v>1991</v>
      </c>
      <c r="F831" s="139" t="n">
        <v>2007</v>
      </c>
      <c r="G831" s="139" t="s">
        <v>4</v>
      </c>
      <c r="H831" s="139" t="n">
        <v>9</v>
      </c>
      <c r="I831" s="139" t="n">
        <v>5</v>
      </c>
      <c r="J831" s="17" t="n">
        <v>17171.8</v>
      </c>
      <c r="K831" s="17" t="n">
        <v>14372.9</v>
      </c>
      <c r="L831" s="17" t="n">
        <v>1885.6</v>
      </c>
      <c r="M831" s="140" t="n">
        <v>500</v>
      </c>
      <c r="N831" s="16" t="n">
        <f aca="false" ca="false" dt2D="false" dtr="false" t="normal">P831+Q831+R831+S831+T831</f>
        <v>17956800</v>
      </c>
      <c r="O831" s="17" t="n"/>
      <c r="P831" s="27" t="n"/>
      <c r="Q831" s="18" t="n"/>
      <c r="R831" s="27" t="n">
        <v>10240482.56</v>
      </c>
      <c r="S831" s="27" t="n">
        <v>0</v>
      </c>
      <c r="T831" s="27" t="n">
        <v>7716317.44</v>
      </c>
      <c r="U831" s="18" t="n">
        <v>1249.35120956801</v>
      </c>
      <c r="V831" s="18" t="n">
        <v>1202.283020064</v>
      </c>
      <c r="W831" s="21" t="n">
        <v>2024</v>
      </c>
      <c r="Y831" s="3" t="n">
        <f aca="false" ca="false" dt2D="false" dtr="false" t="normal">+(K831*15.35+L831*26.02)*12*0.85</f>
        <v>2750810.7353999997</v>
      </c>
      <c r="AA831" s="3" t="n">
        <f aca="false" ca="false" dt2D="false" dtr="false" t="normal">+N831-AB831</f>
        <v>0</v>
      </c>
      <c r="AB831" s="248" t="n">
        <f aca="false" ca="false" dt2D="false" dtr="false" t="normal">'Приложение №2'!E829</f>
        <v>17956800</v>
      </c>
      <c r="AC831" s="17" t="n"/>
      <c r="AD831" s="18" t="n"/>
      <c r="AE831" s="18" t="n"/>
      <c r="AF831" s="18" t="n"/>
      <c r="AG831" s="18" t="n"/>
      <c r="AH831" s="18" t="n"/>
      <c r="AI831" s="17" t="n"/>
      <c r="AJ831" s="18" t="n">
        <v>17956800</v>
      </c>
      <c r="AK831" s="18" t="n"/>
      <c r="AL831" s="18" t="n"/>
      <c r="AM831" s="18" t="n"/>
      <c r="AN831" s="18" t="n"/>
      <c r="AO831" s="18" t="n"/>
      <c r="AP831" s="18" t="n"/>
      <c r="AQ831" s="191" t="n"/>
      <c r="AR831" s="186" t="n">
        <f aca="false" ca="false" dt2D="false" dtr="false" t="normal">COUNTIF(AC831:AN831, "&gt;0")</f>
        <v>1</v>
      </c>
    </row>
    <row ht="15.75" outlineLevel="0" r="832">
      <c r="A832" s="5" t="n">
        <f aca="false" ca="false" dt2D="false" dtr="false" t="normal">A831+1</f>
        <v>806</v>
      </c>
      <c r="B832" s="6" t="n">
        <f aca="false" ca="false" dt2D="false" dtr="false" t="normal">B831+1</f>
        <v>298</v>
      </c>
      <c r="C832" s="138" t="s">
        <v>110</v>
      </c>
      <c r="D832" s="138" t="s">
        <v>704</v>
      </c>
      <c r="E832" s="139" t="n">
        <v>1992</v>
      </c>
      <c r="F832" s="139" t="n">
        <v>2008</v>
      </c>
      <c r="G832" s="139" t="s">
        <v>4</v>
      </c>
      <c r="H832" s="139" t="n">
        <v>9</v>
      </c>
      <c r="I832" s="139" t="n">
        <v>5</v>
      </c>
      <c r="J832" s="17" t="n">
        <v>17240</v>
      </c>
      <c r="K832" s="17" t="n">
        <v>14691.6</v>
      </c>
      <c r="L832" s="17" t="n">
        <v>793.1</v>
      </c>
      <c r="M832" s="140" t="n">
        <v>518</v>
      </c>
      <c r="N832" s="16" t="n">
        <f aca="false" ca="false" dt2D="false" dtr="false" t="normal">P832+Q832+R832+S832+T832</f>
        <v>28379298.949999996</v>
      </c>
      <c r="O832" s="17" t="n"/>
      <c r="P832" s="27" t="n"/>
      <c r="Q832" s="18" t="n"/>
      <c r="R832" s="27" t="n">
        <v>18171770.83</v>
      </c>
      <c r="S832" s="27" t="n">
        <v>0</v>
      </c>
      <c r="T832" s="27" t="n">
        <v>10207528.12</v>
      </c>
      <c r="U832" s="18" t="n">
        <v>1222.24944866454</v>
      </c>
      <c r="V832" s="18" t="n">
        <v>1203.283020064</v>
      </c>
      <c r="W832" s="21" t="n">
        <v>2024</v>
      </c>
      <c r="X832" s="1" t="n">
        <v>620</v>
      </c>
      <c r="Y832" s="3" t="n">
        <f aca="false" ca="false" dt2D="false" dtr="false" t="normal">+(K832*15.35+L832*26.02)*12*0.85</f>
        <v>2510755.7243999997</v>
      </c>
      <c r="AA832" s="3" t="n">
        <f aca="false" ca="false" dt2D="false" dtr="false" t="normal">+N832-AB832</f>
        <v>0</v>
      </c>
      <c r="AB832" s="248" t="n">
        <f aca="false" ca="false" dt2D="false" dtr="false" t="normal">'Приложение №2'!E830</f>
        <v>28379298.95</v>
      </c>
      <c r="AC832" s="17" t="n"/>
      <c r="AD832" s="18" t="n">
        <v>8214189.94</v>
      </c>
      <c r="AE832" s="18" t="n"/>
      <c r="AF832" s="18" t="n">
        <v>2208309.01</v>
      </c>
      <c r="AG832" s="18" t="n"/>
      <c r="AH832" s="18" t="n"/>
      <c r="AI832" s="17" t="n"/>
      <c r="AJ832" s="18" t="n">
        <v>17956800</v>
      </c>
      <c r="AK832" s="18" t="n"/>
      <c r="AL832" s="18" t="n"/>
      <c r="AM832" s="18" t="n"/>
      <c r="AN832" s="18" t="n"/>
      <c r="AO832" s="18" t="n"/>
      <c r="AP832" s="18" t="n"/>
      <c r="AQ832" s="191" t="n"/>
      <c r="AR832" s="186" t="n">
        <f aca="false" ca="false" dt2D="false" dtr="false" t="normal">COUNTIF(AC832:AN832, "&gt;0")</f>
        <v>3</v>
      </c>
    </row>
    <row ht="15.75" outlineLevel="0" r="833">
      <c r="A833" s="5" t="n">
        <f aca="false" ca="false" dt2D="false" dtr="false" t="normal">A832+1</f>
        <v>807</v>
      </c>
      <c r="B833" s="6" t="n">
        <f aca="false" ca="false" dt2D="false" dtr="false" t="normal">B832+1</f>
        <v>299</v>
      </c>
      <c r="C833" s="138" t="s">
        <v>705</v>
      </c>
      <c r="D833" s="138" t="s">
        <v>706</v>
      </c>
      <c r="E833" s="139" t="n">
        <v>1994</v>
      </c>
      <c r="F833" s="139" t="n">
        <v>1994</v>
      </c>
      <c r="G833" s="139" t="s">
        <v>4</v>
      </c>
      <c r="H833" s="139" t="n">
        <v>10</v>
      </c>
      <c r="I833" s="139" t="n">
        <v>1</v>
      </c>
      <c r="J833" s="17" t="n">
        <v>4860.7</v>
      </c>
      <c r="K833" s="17" t="n">
        <v>4172.4</v>
      </c>
      <c r="L833" s="17" t="n">
        <v>0</v>
      </c>
      <c r="M833" s="140" t="n">
        <v>162</v>
      </c>
      <c r="N833" s="16" t="n">
        <f aca="false" ca="false" dt2D="false" dtr="false" t="normal">P833+Q833+R833+S833+T833</f>
        <v>7085527.93</v>
      </c>
      <c r="O833" s="17" t="n"/>
      <c r="P833" s="27" t="n"/>
      <c r="Q833" s="18" t="n"/>
      <c r="R833" s="230" t="n">
        <v>7085527.93</v>
      </c>
      <c r="S833" s="27" t="n"/>
      <c r="T833" s="27" t="n"/>
      <c r="U833" s="18" t="n">
        <v>1023.64346658997</v>
      </c>
      <c r="V833" s="18" t="n">
        <v>1210.283020064</v>
      </c>
      <c r="W833" s="21" t="n">
        <v>2024</v>
      </c>
      <c r="Y833" s="3" t="n">
        <f aca="false" ca="false" dt2D="false" dtr="false" t="normal">+(K833*15.35+L833*26.02)*12*0.85</f>
        <v>653272.668</v>
      </c>
      <c r="AA833" s="3" t="n">
        <f aca="false" ca="false" dt2D="false" dtr="false" t="normal">+N833-AB833</f>
        <v>0</v>
      </c>
      <c r="AB833" s="248" t="n">
        <f aca="false" ca="false" dt2D="false" dtr="false" t="normal">'Приложение №2'!E831</f>
        <v>7085527.930000001</v>
      </c>
      <c r="AC833" s="17" t="n"/>
      <c r="AD833" s="18" t="n"/>
      <c r="AE833" s="18" t="n"/>
      <c r="AF833" s="18" t="n"/>
      <c r="AG833" s="18" t="n"/>
      <c r="AH833" s="18" t="n"/>
      <c r="AI833" s="17" t="n"/>
      <c r="AJ833" s="27" t="n">
        <v>2704312.41</v>
      </c>
      <c r="AK833" s="18" t="n">
        <v>4256351.5</v>
      </c>
      <c r="AL833" s="18" t="n"/>
      <c r="AM833" s="18" t="n"/>
      <c r="AN833" s="18" t="n"/>
      <c r="AO833" s="27" t="n">
        <v>110716.57</v>
      </c>
      <c r="AP833" s="27" t="n">
        <v>14147.45</v>
      </c>
      <c r="AQ833" s="185" t="n"/>
      <c r="AR833" s="186" t="n">
        <f aca="false" ca="false" dt2D="false" dtr="false" t="normal">COUNTIF(AC833:AN833, "&gt;0")</f>
        <v>2</v>
      </c>
    </row>
    <row ht="15.75" outlineLevel="0" r="834">
      <c r="A834" s="5" t="n">
        <f aca="false" ca="false" dt2D="false" dtr="false" t="normal">A833+1</f>
        <v>808</v>
      </c>
      <c r="B834" s="6" t="n">
        <f aca="false" ca="false" dt2D="false" dtr="false" t="normal">B833+1</f>
        <v>300</v>
      </c>
      <c r="C834" s="138" t="s">
        <v>110</v>
      </c>
      <c r="D834" s="138" t="s">
        <v>707</v>
      </c>
      <c r="E834" s="139" t="n">
        <v>1994</v>
      </c>
      <c r="F834" s="139" t="n">
        <v>2005</v>
      </c>
      <c r="G834" s="139" t="s">
        <v>4</v>
      </c>
      <c r="H834" s="139" t="n">
        <v>10</v>
      </c>
      <c r="I834" s="139" t="n">
        <v>1</v>
      </c>
      <c r="J834" s="17" t="n">
        <v>3221.8</v>
      </c>
      <c r="K834" s="17" t="n">
        <v>2772.9</v>
      </c>
      <c r="L834" s="17" t="n">
        <v>0</v>
      </c>
      <c r="M834" s="140" t="n">
        <v>100</v>
      </c>
      <c r="N834" s="16" t="n">
        <f aca="false" ca="false" dt2D="false" dtr="false" t="normal">P834+Q834+R834+S834+T834</f>
        <v>3517263.77</v>
      </c>
      <c r="O834" s="17" t="n"/>
      <c r="P834" s="27" t="n"/>
      <c r="Q834" s="18" t="n"/>
      <c r="R834" s="27" t="n">
        <v>1683337.51</v>
      </c>
      <c r="S834" s="27" t="n">
        <v>0</v>
      </c>
      <c r="T834" s="27" t="n">
        <v>1833926.26</v>
      </c>
      <c r="U834" s="18" t="n">
        <v>1295.16390782214</v>
      </c>
      <c r="V834" s="18" t="n">
        <v>1215.283020064</v>
      </c>
      <c r="W834" s="21" t="n">
        <v>2024</v>
      </c>
      <c r="Y834" s="3" t="n">
        <f aca="false" ca="false" dt2D="false" dtr="false" t="normal">+(K834*15.35+L834*26.02)*12*0.85</f>
        <v>434152.953</v>
      </c>
      <c r="AA834" s="3" t="n">
        <f aca="false" ca="false" dt2D="false" dtr="false" t="normal">+N834-AB834</f>
        <v>0</v>
      </c>
      <c r="AB834" s="248" t="n">
        <f aca="false" ca="false" dt2D="false" dtr="false" t="normal">'Приложение №2'!E832</f>
        <v>3517263.77</v>
      </c>
      <c r="AC834" s="17" t="n"/>
      <c r="AD834" s="18" t="n"/>
      <c r="AE834" s="18" t="n"/>
      <c r="AF834" s="18" t="n"/>
      <c r="AG834" s="18" t="n"/>
      <c r="AH834" s="18" t="n"/>
      <c r="AI834" s="17" t="n"/>
      <c r="AJ834" s="18" t="n">
        <v>3388344.65</v>
      </c>
      <c r="AK834" s="18" t="n"/>
      <c r="AL834" s="18" t="n"/>
      <c r="AM834" s="18" t="n"/>
      <c r="AN834" s="18" t="n"/>
      <c r="AO834" s="18" t="n">
        <v>104919.12</v>
      </c>
      <c r="AP834" s="18" t="n">
        <v>24000</v>
      </c>
      <c r="AQ834" s="185" t="n"/>
      <c r="AR834" s="186" t="n">
        <f aca="false" ca="false" dt2D="false" dtr="false" t="normal">COUNTIF(AC834:AN834, "&gt;0")</f>
        <v>1</v>
      </c>
    </row>
    <row ht="15.75" outlineLevel="0" r="835">
      <c r="A835" s="5" t="n">
        <f aca="false" ca="false" dt2D="false" dtr="false" t="normal">A834+1</f>
        <v>809</v>
      </c>
      <c r="B835" s="6" t="n">
        <f aca="false" ca="false" dt2D="false" dtr="false" t="normal">B834+1</f>
        <v>301</v>
      </c>
      <c r="C835" s="138" t="s">
        <v>110</v>
      </c>
      <c r="D835" s="6" t="s">
        <v>708</v>
      </c>
      <c r="E835" s="139" t="n">
        <v>1989</v>
      </c>
      <c r="F835" s="139" t="n"/>
      <c r="G835" s="220" t="s">
        <v>4</v>
      </c>
      <c r="H835" s="139" t="n">
        <v>9</v>
      </c>
      <c r="I835" s="139" t="n">
        <v>1</v>
      </c>
      <c r="J835" s="17" t="n">
        <v>3177.2</v>
      </c>
      <c r="K835" s="17" t="n">
        <v>2634</v>
      </c>
      <c r="L835" s="17" t="n">
        <v>187.2</v>
      </c>
      <c r="M835" s="140" t="n">
        <v>108</v>
      </c>
      <c r="N835" s="16" t="n">
        <f aca="false" ca="false" dt2D="false" dtr="false" t="normal">P835+Q835+R835+S835+T835</f>
        <v>2567769.61</v>
      </c>
      <c r="O835" s="17" t="n"/>
      <c r="P835" s="27" t="n"/>
      <c r="Q835" s="18" t="n"/>
      <c r="R835" s="18" t="n">
        <v>2567769.61</v>
      </c>
      <c r="S835" s="27" t="n"/>
      <c r="T835" s="27" t="n"/>
      <c r="U835" s="216" t="n">
        <v>910.169293208564</v>
      </c>
      <c r="V835" s="216" t="n">
        <v>910.169293208564</v>
      </c>
      <c r="W835" s="21" t="n">
        <v>2024</v>
      </c>
      <c r="AB835" s="248" t="n">
        <f aca="false" ca="false" dt2D="false" dtr="false" t="normal">'Приложение №2'!E833</f>
        <v>2567769.61</v>
      </c>
      <c r="AC835" s="17" t="n"/>
      <c r="AD835" s="18" t="n"/>
      <c r="AE835" s="18" t="n"/>
      <c r="AF835" s="18" t="n"/>
      <c r="AG835" s="18" t="n">
        <v>0</v>
      </c>
      <c r="AH835" s="18" t="n"/>
      <c r="AI835" s="17" t="n"/>
      <c r="AJ835" s="18" t="n">
        <v>0</v>
      </c>
      <c r="AK835" s="18" t="n">
        <v>0</v>
      </c>
      <c r="AL835" s="18" t="n"/>
      <c r="AM835" s="18" t="n">
        <v>2567769.61</v>
      </c>
      <c r="AN835" s="18" t="n">
        <v>0</v>
      </c>
      <c r="AO835" s="18" t="n"/>
      <c r="AP835" s="18" t="n"/>
      <c r="AQ835" s="191" t="n"/>
      <c r="AR835" s="186" t="n"/>
    </row>
    <row ht="15.75" outlineLevel="0" r="836">
      <c r="A836" s="5" t="n">
        <f aca="false" ca="false" dt2D="false" dtr="false" t="normal">A835+1</f>
        <v>810</v>
      </c>
      <c r="B836" s="6" t="n">
        <f aca="false" ca="false" dt2D="false" dtr="false" t="normal">B835+1</f>
        <v>302</v>
      </c>
      <c r="C836" s="138" t="s">
        <v>110</v>
      </c>
      <c r="D836" s="6" t="s">
        <v>710</v>
      </c>
      <c r="E836" s="139" t="n">
        <v>1984</v>
      </c>
      <c r="F836" s="139" t="n"/>
      <c r="G836" s="220" t="s">
        <v>4</v>
      </c>
      <c r="H836" s="139" t="n">
        <v>5</v>
      </c>
      <c r="I836" s="139" t="n">
        <v>9</v>
      </c>
      <c r="J836" s="17" t="n">
        <v>10740.2</v>
      </c>
      <c r="K836" s="17" t="n">
        <v>8904.5</v>
      </c>
      <c r="L836" s="17" t="n">
        <v>0</v>
      </c>
      <c r="M836" s="140" t="n">
        <v>402</v>
      </c>
      <c r="N836" s="16" t="n">
        <f aca="false" ca="false" dt2D="false" dtr="false" t="normal">P836+Q836+R836+S836+T836</f>
        <v>5093360.93</v>
      </c>
      <c r="O836" s="17" t="n"/>
      <c r="P836" s="27" t="n"/>
      <c r="Q836" s="18" t="n"/>
      <c r="R836" s="18" t="n">
        <v>5093360.93</v>
      </c>
      <c r="S836" s="27" t="n"/>
      <c r="T836" s="27" t="n"/>
      <c r="U836" s="216" t="n">
        <v>571.998532202819</v>
      </c>
      <c r="V836" s="216" t="n">
        <v>571.998532202819</v>
      </c>
      <c r="W836" s="21" t="n">
        <v>2024</v>
      </c>
      <c r="AB836" s="248" t="n">
        <f aca="false" ca="false" dt2D="false" dtr="false" t="normal">'Приложение №2'!E834</f>
        <v>5093360.93</v>
      </c>
      <c r="AC836" s="17" t="n"/>
      <c r="AD836" s="18" t="n"/>
      <c r="AE836" s="18" t="n"/>
      <c r="AF836" s="18" t="n"/>
      <c r="AG836" s="18" t="n"/>
      <c r="AH836" s="18" t="n"/>
      <c r="AI836" s="17" t="n"/>
      <c r="AJ836" s="18" t="n"/>
      <c r="AK836" s="18" t="n"/>
      <c r="AL836" s="18" t="n"/>
      <c r="AM836" s="18" t="n">
        <v>5093360.93</v>
      </c>
      <c r="AN836" s="18" t="n"/>
      <c r="AO836" s="18" t="n"/>
      <c r="AP836" s="18" t="n"/>
      <c r="AQ836" s="191" t="n"/>
      <c r="AR836" s="186" t="n"/>
    </row>
    <row ht="15.75" outlineLevel="0" r="837">
      <c r="A837" s="5" t="n">
        <f aca="false" ca="false" dt2D="false" dtr="false" t="normal">A836+1</f>
        <v>811</v>
      </c>
      <c r="B837" s="6" t="n">
        <f aca="false" ca="false" dt2D="false" dtr="false" t="normal">B836+1</f>
        <v>303</v>
      </c>
      <c r="C837" s="138" t="s">
        <v>711</v>
      </c>
      <c r="D837" s="138" t="s">
        <v>712</v>
      </c>
      <c r="E837" s="139" t="n">
        <v>1993</v>
      </c>
      <c r="F837" s="139" t="s">
        <v>713</v>
      </c>
      <c r="G837" s="139" t="s">
        <v>4</v>
      </c>
      <c r="H837" s="139" t="n">
        <v>9</v>
      </c>
      <c r="I837" s="139" t="n">
        <v>3</v>
      </c>
      <c r="J837" s="17" t="n">
        <v>10078.2</v>
      </c>
      <c r="K837" s="17" t="n">
        <v>8569.9</v>
      </c>
      <c r="L837" s="17" t="n">
        <v>245.1</v>
      </c>
      <c r="M837" s="140" t="n">
        <v>295</v>
      </c>
      <c r="N837" s="16" t="n">
        <f aca="false" ca="false" dt2D="false" dtr="false" t="normal">P837+Q837+R837+S837+T837</f>
        <v>9581814.6</v>
      </c>
      <c r="O837" s="17" t="n"/>
      <c r="P837" s="27" t="n"/>
      <c r="Q837" s="18" t="n"/>
      <c r="R837" s="27" t="n">
        <v>1280989.54</v>
      </c>
      <c r="S837" s="27" t="n">
        <v>0</v>
      </c>
      <c r="T837" s="3" t="n">
        <v>8300825.06</v>
      </c>
      <c r="U837" s="18" t="n">
        <v>1141.20351462678</v>
      </c>
      <c r="V837" s="18" t="n">
        <v>1245.283020064</v>
      </c>
      <c r="W837" s="21" t="n">
        <v>2024</v>
      </c>
      <c r="X837" s="103" t="n"/>
      <c r="Y837" s="3" t="n">
        <f aca="false" ca="false" dt2D="false" dtr="false" t="normal">+(K837*15.35+L837*26.02)*12*0.85</f>
        <v>1406839.7634</v>
      </c>
      <c r="AA837" s="3" t="n">
        <f aca="false" ca="false" dt2D="false" dtr="false" t="normal">+N837-AB837</f>
        <v>0</v>
      </c>
      <c r="AB837" s="248" t="n">
        <f aca="false" ca="false" dt2D="false" dtr="false" t="normal">'Приложение №2'!E835</f>
        <v>9581814.6</v>
      </c>
      <c r="AC837" s="17" t="n"/>
      <c r="AD837" s="18" t="n"/>
      <c r="AE837" s="18" t="n"/>
      <c r="AF837" s="18" t="n"/>
      <c r="AG837" s="18" t="n"/>
      <c r="AH837" s="18" t="n"/>
      <c r="AI837" s="17" t="n"/>
      <c r="AJ837" s="18" t="n">
        <v>9062814.6</v>
      </c>
      <c r="AK837" s="18" t="n"/>
      <c r="AL837" s="18" t="n"/>
      <c r="AM837" s="18" t="n"/>
      <c r="AN837" s="18" t="n"/>
      <c r="AO837" s="18" t="n">
        <v>489000</v>
      </c>
      <c r="AP837" s="18" t="n">
        <v>30000</v>
      </c>
      <c r="AQ837" s="185" t="n"/>
      <c r="AR837" s="186" t="n">
        <f aca="false" ca="false" dt2D="false" dtr="false" t="normal">COUNTIF(AC837:AN837, "&gt;0")</f>
        <v>1</v>
      </c>
    </row>
    <row ht="15.75" outlineLevel="0" r="838">
      <c r="A838" s="5" t="n">
        <f aca="false" ca="false" dt2D="false" dtr="false" t="normal">A837+1</f>
        <v>812</v>
      </c>
      <c r="B838" s="6" t="n">
        <f aca="false" ca="false" dt2D="false" dtr="false" t="normal">B837+1</f>
        <v>304</v>
      </c>
      <c r="C838" s="138" t="s">
        <v>110</v>
      </c>
      <c r="D838" s="138" t="s">
        <v>714</v>
      </c>
      <c r="E838" s="139" t="n">
        <v>1993</v>
      </c>
      <c r="F838" s="139" t="n">
        <v>2007</v>
      </c>
      <c r="G838" s="139" t="s">
        <v>4</v>
      </c>
      <c r="H838" s="139" t="n">
        <v>9</v>
      </c>
      <c r="I838" s="139" t="n">
        <v>1</v>
      </c>
      <c r="J838" s="17" t="n">
        <v>2855.54</v>
      </c>
      <c r="K838" s="17" t="n">
        <v>2487.9</v>
      </c>
      <c r="L838" s="17" t="n">
        <v>367.64</v>
      </c>
      <c r="M838" s="140" t="n">
        <v>94</v>
      </c>
      <c r="N838" s="16" t="n">
        <f aca="false" ca="false" dt2D="false" dtr="false" t="normal">P838+Q838+R838+S838+T838</f>
        <v>3517263.77</v>
      </c>
      <c r="O838" s="17" t="n"/>
      <c r="P838" s="27" t="n"/>
      <c r="Q838" s="18" t="n"/>
      <c r="R838" s="27" t="n">
        <v>1390815.35</v>
      </c>
      <c r="S838" s="27" t="n">
        <v>0</v>
      </c>
      <c r="T838" s="27" t="n">
        <v>2126448.42</v>
      </c>
      <c r="U838" s="18" t="n">
        <v>1443.5306885325</v>
      </c>
      <c r="V838" s="18" t="n">
        <v>1247.283020064</v>
      </c>
      <c r="W838" s="21" t="n">
        <v>2024</v>
      </c>
      <c r="Y838" s="3" t="n">
        <f aca="false" ca="false" dt2D="false" dtr="false" t="normal">+(K838*15.35+L838*26.02)*12*0.85</f>
        <v>487103.62956000003</v>
      </c>
      <c r="AA838" s="3" t="n">
        <f aca="false" ca="false" dt2D="false" dtr="false" t="normal">+N838-AB838</f>
        <v>0</v>
      </c>
      <c r="AB838" s="248" t="n">
        <f aca="false" ca="false" dt2D="false" dtr="false" t="normal">'Приложение №2'!E836</f>
        <v>3517263.77</v>
      </c>
      <c r="AC838" s="17" t="n"/>
      <c r="AD838" s="18" t="n"/>
      <c r="AE838" s="18" t="n"/>
      <c r="AF838" s="18" t="n"/>
      <c r="AG838" s="18" t="n"/>
      <c r="AH838" s="18" t="n"/>
      <c r="AI838" s="17" t="n"/>
      <c r="AJ838" s="18" t="n">
        <v>3388344.65</v>
      </c>
      <c r="AK838" s="18" t="n"/>
      <c r="AL838" s="18" t="n"/>
      <c r="AM838" s="18" t="n"/>
      <c r="AN838" s="18" t="n"/>
      <c r="AO838" s="18" t="n">
        <v>104919.12</v>
      </c>
      <c r="AP838" s="18" t="n">
        <v>24000</v>
      </c>
      <c r="AQ838" s="185" t="n"/>
      <c r="AR838" s="186" t="n">
        <f aca="false" ca="false" dt2D="false" dtr="false" t="normal">COUNTIF(AC838:AN838, "&gt;0")</f>
        <v>1</v>
      </c>
    </row>
    <row customFormat="true" ht="15.75" outlineLevel="0" r="839" s="184">
      <c r="A839" s="5" t="n">
        <f aca="false" ca="false" dt2D="false" dtr="false" t="normal">A838+1</f>
        <v>813</v>
      </c>
      <c r="B839" s="6" t="n">
        <f aca="false" ca="false" dt2D="false" dtr="false" t="normal">B838+1</f>
        <v>305</v>
      </c>
      <c r="C839" s="138" t="s">
        <v>110</v>
      </c>
      <c r="D839" s="138" t="s">
        <v>715</v>
      </c>
      <c r="E839" s="139" t="s">
        <v>196</v>
      </c>
      <c r="F839" s="139" t="n"/>
      <c r="G839" s="139" t="s">
        <v>4</v>
      </c>
      <c r="H839" s="139" t="s">
        <v>150</v>
      </c>
      <c r="I839" s="139" t="s">
        <v>5</v>
      </c>
      <c r="J839" s="17" t="n">
        <v>7245.1</v>
      </c>
      <c r="K839" s="17" t="n">
        <v>6191.5</v>
      </c>
      <c r="L839" s="17" t="n">
        <v>105</v>
      </c>
      <c r="M839" s="140" t="n">
        <v>262</v>
      </c>
      <c r="N839" s="16" t="n">
        <f aca="false" ca="false" dt2D="false" dtr="false" t="normal">P839+Q839+R839+S839+T839</f>
        <v>7032520.03</v>
      </c>
      <c r="O839" s="17" t="n">
        <v>0</v>
      </c>
      <c r="P839" s="27" t="n"/>
      <c r="Q839" s="18" t="n"/>
      <c r="R839" s="27" t="n">
        <v>2531984.92</v>
      </c>
      <c r="S839" s="27" t="n">
        <v>0</v>
      </c>
      <c r="T839" s="27" t="n">
        <v>4500535.11</v>
      </c>
      <c r="U839" s="18" t="n">
        <v>1160.09367681499</v>
      </c>
      <c r="V839" s="18" t="n">
        <v>1248.283020064</v>
      </c>
      <c r="W839" s="21" t="n">
        <v>2024</v>
      </c>
      <c r="Y839" s="3" t="n">
        <f aca="false" ca="false" dt2D="false" dtr="false" t="normal">+(K839*15.35+L839*26.02)*12*0.85</f>
        <v>997270.575</v>
      </c>
      <c r="Z839" s="3" t="n"/>
      <c r="AA839" s="3" t="n">
        <f aca="false" ca="false" dt2D="false" dtr="false" t="normal">+N839-AB839</f>
        <v>0</v>
      </c>
      <c r="AB839" s="248" t="n">
        <f aca="false" ca="false" dt2D="false" dtr="false" t="normal">'Приложение №2'!E837</f>
        <v>7032520.03</v>
      </c>
      <c r="AC839" s="17" t="n"/>
      <c r="AD839" s="18" t="n"/>
      <c r="AE839" s="18" t="n"/>
      <c r="AF839" s="18" t="n"/>
      <c r="AG839" s="18" t="n"/>
      <c r="AH839" s="18" t="n"/>
      <c r="AI839" s="17" t="n"/>
      <c r="AJ839" s="18" t="n">
        <v>6868490.36</v>
      </c>
      <c r="AK839" s="18" t="n"/>
      <c r="AL839" s="18" t="n"/>
      <c r="AM839" s="18" t="n"/>
      <c r="AN839" s="18" t="n"/>
      <c r="AO839" s="18" t="n">
        <v>140029.67</v>
      </c>
      <c r="AP839" s="18" t="n">
        <v>24000</v>
      </c>
      <c r="AQ839" s="185" t="n"/>
      <c r="AR839" s="186" t="n">
        <f aca="false" ca="false" dt2D="false" dtr="false" t="normal">COUNTIF(AC839:AN839, "&gt;0")</f>
        <v>1</v>
      </c>
      <c r="AT839" s="187" t="n"/>
    </row>
    <row ht="15.75" outlineLevel="0" r="840">
      <c r="A840" s="5" t="n">
        <f aca="false" ca="false" dt2D="false" dtr="false" t="normal">A839+1</f>
        <v>814</v>
      </c>
      <c r="B840" s="6" t="n">
        <f aca="false" ca="false" dt2D="false" dtr="false" t="normal">B839+1</f>
        <v>306</v>
      </c>
      <c r="C840" s="138" t="s">
        <v>110</v>
      </c>
      <c r="D840" s="138" t="s">
        <v>175</v>
      </c>
      <c r="E840" s="139" t="n">
        <v>1995</v>
      </c>
      <c r="F840" s="139" t="n">
        <v>2007</v>
      </c>
      <c r="G840" s="139" t="s">
        <v>4</v>
      </c>
      <c r="H840" s="139" t="n">
        <v>9</v>
      </c>
      <c r="I840" s="139" t="n">
        <v>3</v>
      </c>
      <c r="J840" s="17" t="n">
        <v>8715.5</v>
      </c>
      <c r="K840" s="17" t="n">
        <v>7251.1</v>
      </c>
      <c r="L840" s="17" t="n">
        <v>660.9</v>
      </c>
      <c r="M840" s="140" t="n">
        <v>283</v>
      </c>
      <c r="N840" s="16" t="n">
        <f aca="false" ca="false" dt2D="false" dtr="false" t="normal">P840+Q840+R840+S840+T840</f>
        <v>17694269.12</v>
      </c>
      <c r="O840" s="17" t="n"/>
      <c r="P840" s="18" t="n"/>
      <c r="Q840" s="161" t="n"/>
      <c r="R840" s="27" t="n">
        <v>1094226.53</v>
      </c>
      <c r="S840" s="18" t="n">
        <v>0</v>
      </c>
      <c r="T840" s="230" t="n">
        <v>16600042.59</v>
      </c>
      <c r="U840" s="18" t="n">
        <v>2236.38386248736</v>
      </c>
      <c r="V840" s="18" t="n">
        <v>2236.38386248736</v>
      </c>
      <c r="W840" s="21" t="n">
        <v>2024</v>
      </c>
      <c r="Y840" s="3" t="n">
        <f aca="false" ca="false" dt2D="false" dtr="false" t="normal">+(K840*15.35+L840*26.02)*12*0.85</f>
        <v>1310710.2306000001</v>
      </c>
      <c r="AA840" s="3" t="n">
        <f aca="false" ca="false" dt2D="false" dtr="false" t="normal">+N840-AB840</f>
        <v>0</v>
      </c>
      <c r="AB840" s="248" t="n">
        <f aca="false" ca="false" dt2D="false" dtr="false" t="normal">'Приложение №2'!E838</f>
        <v>17694269.12</v>
      </c>
      <c r="AC840" s="17" t="n">
        <v>17694269.12</v>
      </c>
      <c r="AD840" s="18" t="n"/>
      <c r="AE840" s="18" t="n"/>
      <c r="AF840" s="18" t="n"/>
      <c r="AG840" s="18" t="n"/>
      <c r="AH840" s="18" t="n"/>
      <c r="AI840" s="17" t="n"/>
      <c r="AJ840" s="18" t="n"/>
      <c r="AK840" s="18" t="n"/>
      <c r="AL840" s="18" t="n"/>
      <c r="AM840" s="18" t="n"/>
      <c r="AN840" s="18" t="n"/>
      <c r="AO840" s="18" t="n"/>
      <c r="AP840" s="18" t="n"/>
      <c r="AQ840" s="191" t="n"/>
      <c r="AR840" s="186" t="n">
        <f aca="false" ca="false" dt2D="false" dtr="false" t="normal">COUNTIF(AC840:AN840, "&gt;0")</f>
        <v>1</v>
      </c>
    </row>
    <row ht="15.75" outlineLevel="0" r="841">
      <c r="A841" s="5" t="n">
        <f aca="false" ca="false" dt2D="false" dtr="false" t="normal">A840+1</f>
        <v>815</v>
      </c>
      <c r="B841" s="6" t="n">
        <f aca="false" ca="false" dt2D="false" dtr="false" t="normal">B840+1</f>
        <v>307</v>
      </c>
      <c r="C841" s="138" t="s">
        <v>716</v>
      </c>
      <c r="D841" s="6" t="s">
        <v>717</v>
      </c>
      <c r="E841" s="139" t="n">
        <v>2004</v>
      </c>
      <c r="F841" s="139" t="n"/>
      <c r="G841" s="220" t="s">
        <v>4</v>
      </c>
      <c r="H841" s="139" t="n">
        <v>9</v>
      </c>
      <c r="I841" s="139" t="n">
        <v>2</v>
      </c>
      <c r="J841" s="17" t="n">
        <v>3834.5</v>
      </c>
      <c r="K841" s="17" t="n">
        <v>3245.6</v>
      </c>
      <c r="L841" s="17" t="n">
        <v>371.7</v>
      </c>
      <c r="M841" s="140" t="n">
        <v>141</v>
      </c>
      <c r="N841" s="16" t="n">
        <f aca="false" ca="false" dt2D="false" dtr="false" t="normal">P841+Q841+R841+S841+T841</f>
        <v>1200000</v>
      </c>
      <c r="O841" s="207" t="n"/>
      <c r="P841" s="216" t="n"/>
      <c r="Q841" s="252" t="n"/>
      <c r="R841" s="200" t="n">
        <v>1200000</v>
      </c>
      <c r="S841" s="216" t="n"/>
      <c r="T841" s="253" t="n"/>
      <c r="U841" s="216" t="n">
        <v>331.739142454317</v>
      </c>
      <c r="V841" s="18" t="n">
        <v>331.739142454317</v>
      </c>
      <c r="W841" s="21" t="n">
        <v>2024</v>
      </c>
      <c r="AB841" s="248" t="n">
        <f aca="false" ca="false" dt2D="false" dtr="false" t="normal">'Приложение №2'!E839</f>
        <v>1200000</v>
      </c>
      <c r="AC841" s="198" t="n"/>
      <c r="AD841" s="200" t="n"/>
      <c r="AE841" s="200" t="n"/>
      <c r="AF841" s="200" t="n"/>
      <c r="AG841" s="200" t="n"/>
      <c r="AH841" s="200" t="n"/>
      <c r="AI841" s="198" t="n"/>
      <c r="AJ841" s="200" t="n"/>
      <c r="AK841" s="200" t="n">
        <v>1200000</v>
      </c>
      <c r="AL841" s="200" t="n"/>
      <c r="AM841" s="200" t="n"/>
      <c r="AN841" s="200" t="n"/>
      <c r="AO841" s="200" t="n"/>
      <c r="AP841" s="200" t="n"/>
      <c r="AQ841" s="191" t="n"/>
      <c r="AR841" s="186" t="n"/>
    </row>
    <row ht="15.75" outlineLevel="0" r="842">
      <c r="A842" s="5" t="n">
        <f aca="false" ca="false" dt2D="false" dtr="false" t="normal">A841+1</f>
        <v>816</v>
      </c>
      <c r="B842" s="6" t="n">
        <f aca="false" ca="false" dt2D="false" dtr="false" t="normal">B841+1</f>
        <v>308</v>
      </c>
      <c r="C842" s="138" t="s">
        <v>716</v>
      </c>
      <c r="D842" s="6" t="s">
        <v>718</v>
      </c>
      <c r="E842" s="139" t="n">
        <v>2010</v>
      </c>
      <c r="F842" s="139" t="n"/>
      <c r="G842" s="220" t="s">
        <v>4</v>
      </c>
      <c r="H842" s="139" t="n">
        <v>3</v>
      </c>
      <c r="I842" s="139" t="n">
        <v>5</v>
      </c>
      <c r="J842" s="17" t="n">
        <v>4786.2</v>
      </c>
      <c r="K842" s="17" t="n">
        <v>4155.15</v>
      </c>
      <c r="L842" s="17" t="n">
        <v>0</v>
      </c>
      <c r="M842" s="140" t="n">
        <v>130</v>
      </c>
      <c r="N842" s="16" t="n">
        <f aca="false" ca="false" dt2D="false" dtr="false" t="normal">P842+Q842+R842+S842+T842</f>
        <v>707332</v>
      </c>
      <c r="O842" s="207" t="n"/>
      <c r="P842" s="216" t="n"/>
      <c r="Q842" s="252" t="n"/>
      <c r="R842" s="200" t="n">
        <v>707332</v>
      </c>
      <c r="S842" s="216" t="n"/>
      <c r="T842" s="253" t="n"/>
      <c r="U842" s="216" t="n">
        <v>170.230196262469</v>
      </c>
      <c r="V842" s="18" t="n">
        <v>170.230196262469</v>
      </c>
      <c r="W842" s="21" t="n">
        <v>2024</v>
      </c>
      <c r="AB842" s="248" t="n">
        <f aca="false" ca="false" dt2D="false" dtr="false" t="normal">'Приложение №2'!E840</f>
        <v>707332</v>
      </c>
      <c r="AC842" s="198" t="n"/>
      <c r="AD842" s="200" t="n"/>
      <c r="AE842" s="200" t="n"/>
      <c r="AF842" s="200" t="n"/>
      <c r="AG842" s="200" t="n"/>
      <c r="AH842" s="200" t="n"/>
      <c r="AI842" s="198" t="n"/>
      <c r="AJ842" s="200" t="n"/>
      <c r="AK842" s="200" t="n"/>
      <c r="AL842" s="200" t="n"/>
      <c r="AM842" s="200" t="n"/>
      <c r="AN842" s="200" t="n">
        <v>707332</v>
      </c>
      <c r="AO842" s="200" t="n"/>
      <c r="AP842" s="200" t="n"/>
      <c r="AQ842" s="191" t="n"/>
      <c r="AR842" s="186" t="n"/>
    </row>
    <row ht="15.75" outlineLevel="0" r="843">
      <c r="A843" s="5" t="n">
        <f aca="false" ca="false" dt2D="false" dtr="false" t="normal">A842+1</f>
        <v>817</v>
      </c>
      <c r="B843" s="6" t="n">
        <f aca="false" ca="false" dt2D="false" dtr="false" t="normal">B842+1</f>
        <v>309</v>
      </c>
      <c r="C843" s="138" t="s">
        <v>716</v>
      </c>
      <c r="D843" s="6" t="s">
        <v>719</v>
      </c>
      <c r="E843" s="139" t="n">
        <v>1990</v>
      </c>
      <c r="F843" s="139" t="n"/>
      <c r="G843" s="220" t="s">
        <v>4</v>
      </c>
      <c r="H843" s="139" t="n">
        <v>5</v>
      </c>
      <c r="I843" s="139" t="n">
        <v>3</v>
      </c>
      <c r="J843" s="17" t="n">
        <v>4257.49</v>
      </c>
      <c r="K843" s="17" t="n">
        <v>3612</v>
      </c>
      <c r="L843" s="17" t="n">
        <v>67.6</v>
      </c>
      <c r="M843" s="140" t="n">
        <v>142</v>
      </c>
      <c r="N843" s="16" t="n">
        <f aca="false" ca="false" dt2D="false" dtr="false" t="normal">P843+Q843+R843+S843+T843</f>
        <v>418182</v>
      </c>
      <c r="O843" s="207" t="n"/>
      <c r="P843" s="216" t="n"/>
      <c r="Q843" s="252" t="n"/>
      <c r="R843" s="200" t="n">
        <v>418182</v>
      </c>
      <c r="S843" s="216" t="n"/>
      <c r="T843" s="253" t="n"/>
      <c r="U843" s="216" t="n">
        <v>113.648766170236</v>
      </c>
      <c r="V843" s="18" t="n">
        <v>113.648766170236</v>
      </c>
      <c r="W843" s="21" t="n">
        <v>2024</v>
      </c>
      <c r="AB843" s="248" t="n">
        <f aca="false" ca="false" dt2D="false" dtr="false" t="normal">'Приложение №2'!E841</f>
        <v>418182</v>
      </c>
      <c r="AC843" s="198" t="n"/>
      <c r="AD843" s="200" t="n"/>
      <c r="AE843" s="200" t="n"/>
      <c r="AF843" s="200" t="n"/>
      <c r="AG843" s="200" t="n"/>
      <c r="AH843" s="200" t="n"/>
      <c r="AI843" s="198" t="n"/>
      <c r="AJ843" s="200" t="n"/>
      <c r="AK843" s="200" t="n">
        <v>418182</v>
      </c>
      <c r="AL843" s="200" t="n"/>
      <c r="AM843" s="200" t="n"/>
      <c r="AN843" s="200" t="n"/>
      <c r="AO843" s="200" t="n"/>
      <c r="AP843" s="200" t="n"/>
      <c r="AQ843" s="191" t="n"/>
      <c r="AR843" s="186" t="n"/>
    </row>
    <row ht="15.75" outlineLevel="0" r="844">
      <c r="A844" s="5" t="n">
        <f aca="false" ca="false" dt2D="false" dtr="false" t="normal">A843+1</f>
        <v>818</v>
      </c>
      <c r="B844" s="6" t="n">
        <f aca="false" ca="false" dt2D="false" dtr="false" t="normal">B843+1</f>
        <v>310</v>
      </c>
      <c r="C844" s="138" t="s">
        <v>716</v>
      </c>
      <c r="D844" s="6" t="s">
        <v>720</v>
      </c>
      <c r="E844" s="139" t="n">
        <v>1988</v>
      </c>
      <c r="F844" s="139" t="n"/>
      <c r="G844" s="220" t="s">
        <v>4</v>
      </c>
      <c r="H844" s="139" t="n">
        <v>5</v>
      </c>
      <c r="I844" s="139" t="n">
        <v>6</v>
      </c>
      <c r="J844" s="17" t="n">
        <v>8237.76</v>
      </c>
      <c r="K844" s="17" t="n">
        <v>6161.5</v>
      </c>
      <c r="L844" s="17" t="n">
        <v>70.7</v>
      </c>
      <c r="M844" s="140" t="n">
        <v>302</v>
      </c>
      <c r="N844" s="16" t="n">
        <f aca="false" ca="false" dt2D="false" dtr="false" t="normal">P844+Q844+R844+S844+T844</f>
        <v>1973422</v>
      </c>
      <c r="O844" s="207" t="n"/>
      <c r="P844" s="216" t="n"/>
      <c r="Q844" s="252" t="n"/>
      <c r="R844" s="254" t="n">
        <v>1973422</v>
      </c>
      <c r="S844" s="216" t="n"/>
      <c r="T844" s="253" t="n"/>
      <c r="U844" s="216" t="n">
        <v>316.649337312666</v>
      </c>
      <c r="V844" s="18" t="n">
        <v>316.649337312666</v>
      </c>
      <c r="W844" s="21" t="n">
        <v>2024</v>
      </c>
      <c r="AB844" s="248" t="n">
        <f aca="false" ca="false" dt2D="false" dtr="false" t="normal">'Приложение №2'!E842</f>
        <v>1973422</v>
      </c>
      <c r="AC844" s="198" t="n"/>
      <c r="AD844" s="200" t="n"/>
      <c r="AE844" s="200" t="n"/>
      <c r="AF844" s="200" t="n"/>
      <c r="AG844" s="200" t="n"/>
      <c r="AH844" s="200" t="n"/>
      <c r="AI844" s="198" t="n"/>
      <c r="AJ844" s="200" t="n"/>
      <c r="AK844" s="200" t="n"/>
      <c r="AL844" s="200" t="n"/>
      <c r="AM844" s="254" t="n">
        <v>1973422</v>
      </c>
      <c r="AN844" s="200" t="n"/>
      <c r="AO844" s="200" t="n"/>
      <c r="AP844" s="200" t="n"/>
      <c r="AQ844" s="191" t="n"/>
      <c r="AR844" s="186" t="n"/>
    </row>
    <row customHeight="true" ht="26.6499996185303" outlineLevel="0" r="845">
      <c r="A845" s="231" t="n"/>
      <c r="B845" s="232" t="n"/>
      <c r="C845" s="255" t="s">
        <v>721</v>
      </c>
      <c r="D845" s="256" t="s"/>
      <c r="E845" s="257" t="n"/>
      <c r="F845" s="257" t="n"/>
      <c r="G845" s="257" t="n"/>
      <c r="H845" s="257" t="n"/>
      <c r="I845" s="257" t="n"/>
      <c r="J845" s="258" t="n">
        <v>63604.18</v>
      </c>
      <c r="K845" s="258" t="n">
        <v>49314.62</v>
      </c>
      <c r="L845" s="258" t="n">
        <v>10275.14</v>
      </c>
      <c r="M845" s="258" t="n">
        <v>2162</v>
      </c>
      <c r="N845" s="236" t="n">
        <f aca="false" ca="false" dt2D="false" dtr="false" t="normal">P845+Q845+R845+S845+T845</f>
        <v>104719369.99</v>
      </c>
      <c r="O845" s="236" t="n">
        <f aca="false" ca="false" dt2D="false" dtr="false" t="normal">SUM(O846:O871)</f>
        <v>0</v>
      </c>
      <c r="P845" s="236" t="n">
        <f aca="false" ca="false" dt2D="false" dtr="false" t="normal">SUM(P846:P871)</f>
        <v>0</v>
      </c>
      <c r="Q845" s="237" t="n">
        <f aca="false" ca="false" dt2D="false" dtr="false" t="normal">SUM(Q846:Q871)</f>
        <v>104719369.99</v>
      </c>
      <c r="R845" s="237" t="n">
        <v>0</v>
      </c>
      <c r="S845" s="237" t="n">
        <v>0</v>
      </c>
      <c r="T845" s="237" t="n">
        <v>0</v>
      </c>
      <c r="U845" s="236" t="n">
        <v>0</v>
      </c>
      <c r="V845" s="236" t="n">
        <v>0</v>
      </c>
      <c r="W845" s="181" t="n"/>
      <c r="X845" s="259" t="n"/>
      <c r="Y845" s="260" t="n"/>
      <c r="Z845" s="260" t="n"/>
      <c r="AA845" s="260" t="n"/>
      <c r="AB845" s="239" t="n">
        <f aca="false" ca="false" dt2D="false" dtr="false" t="normal">SUM(AB846:AB871)</f>
        <v>104719369.99</v>
      </c>
      <c r="AC845" s="239" t="n">
        <f aca="false" ca="false" dt2D="false" dtr="false" t="normal">SUM(AC861:AC871)</f>
        <v>0</v>
      </c>
      <c r="AD845" s="239" t="n">
        <f aca="false" ca="false" dt2D="false" dtr="false" t="normal">SUM(AD861:AD871)</f>
        <v>0</v>
      </c>
      <c r="AE845" s="239" t="n">
        <f aca="false" ca="false" dt2D="false" dtr="false" t="normal">SUM(AE861:AE871)</f>
        <v>0</v>
      </c>
      <c r="AF845" s="239" t="n">
        <f aca="false" ca="false" dt2D="false" dtr="false" t="normal">SUM(AF861:AF871)</f>
        <v>0</v>
      </c>
      <c r="AG845" s="239" t="n">
        <f aca="false" ca="false" dt2D="false" dtr="false" t="normal">SUM(AG861:AG871)</f>
        <v>0</v>
      </c>
      <c r="AH845" s="239" t="n">
        <f aca="false" ca="false" dt2D="false" dtr="false" t="normal">SUM(AH861:AH871)</f>
        <v>0</v>
      </c>
      <c r="AI845" s="239" t="n">
        <f aca="false" ca="false" dt2D="false" dtr="false" t="normal">SUM(AI861:AI871)</f>
        <v>0</v>
      </c>
      <c r="AJ845" s="239" t="n">
        <f aca="false" ca="false" dt2D="false" dtr="false" t="normal">SUM(AJ861:AJ871)</f>
        <v>0</v>
      </c>
      <c r="AK845" s="239" t="n">
        <f aca="false" ca="false" dt2D="false" dtr="false" t="normal">SUM(AK861:AK871)</f>
        <v>0</v>
      </c>
      <c r="AL845" s="239" t="n">
        <f aca="false" ca="false" dt2D="false" dtr="false" t="normal">SUM(AL861:AL871)</f>
        <v>0</v>
      </c>
      <c r="AM845" s="239" t="n">
        <f aca="false" ca="false" dt2D="false" dtr="false" t="normal">SUM(AM846:AM871)</f>
        <v>104719369.99</v>
      </c>
      <c r="AN845" s="239" t="n">
        <f aca="false" ca="false" dt2D="false" dtr="false" t="normal">SUM(AN861:AN871)</f>
        <v>0</v>
      </c>
      <c r="AO845" s="239" t="n">
        <f aca="false" ca="false" dt2D="false" dtr="false" t="normal">SUM(AO861:AO871)</f>
        <v>0</v>
      </c>
      <c r="AP845" s="239" t="n">
        <f aca="false" ca="false" dt2D="false" dtr="false" t="normal">SUM(AP861:AP871)</f>
        <v>0</v>
      </c>
      <c r="AQ845" s="261" t="n">
        <f aca="false" ca="false" dt2D="false" dtr="false" t="normal">SUM(AQ861:AQ871)</f>
        <v>0</v>
      </c>
      <c r="AR845" s="175" t="n"/>
    </row>
    <row outlineLevel="0" r="846">
      <c r="A846" s="5" t="n">
        <f aca="false" ca="false" dt2D="false" dtr="false" t="normal">A844+1</f>
        <v>819</v>
      </c>
      <c r="B846" s="6" t="n">
        <f aca="false" ca="false" dt2D="false" dtr="false" t="normal">B844+1</f>
        <v>311</v>
      </c>
      <c r="C846" s="6" t="s">
        <v>177</v>
      </c>
      <c r="D846" s="6" t="s">
        <v>206</v>
      </c>
      <c r="E846" s="220" t="n">
        <v>1962</v>
      </c>
      <c r="F846" s="220" t="n">
        <v>1962</v>
      </c>
      <c r="G846" s="220" t="s">
        <v>4</v>
      </c>
      <c r="H846" s="220" t="n">
        <v>3</v>
      </c>
      <c r="I846" s="220" t="n">
        <v>4</v>
      </c>
      <c r="J846" s="17" t="n">
        <v>2475.3</v>
      </c>
      <c r="K846" s="17" t="n">
        <v>1760.3</v>
      </c>
      <c r="L846" s="17" t="n">
        <v>633.7</v>
      </c>
      <c r="M846" s="140" t="n">
        <v>67</v>
      </c>
      <c r="N846" s="16" t="n">
        <f aca="false" ca="false" dt2D="false" dtr="false" t="normal">P846+Q846+R846+S846+T846</f>
        <v>1920799.11</v>
      </c>
      <c r="O846" s="18" t="n"/>
      <c r="P846" s="18" t="n"/>
      <c r="Q846" s="18" t="n">
        <v>1920799.11</v>
      </c>
      <c r="R846" s="27" t="n"/>
      <c r="S846" s="27" t="n"/>
      <c r="T846" s="27" t="n"/>
      <c r="U846" s="18" t="n"/>
      <c r="V846" s="18" t="n"/>
      <c r="W846" s="222" t="n">
        <v>2024</v>
      </c>
      <c r="X846" s="190" t="n"/>
      <c r="AB846" s="203" t="n">
        <f aca="false" ca="true" dt2D="false" dtr="false" t="normal">SUBTOTAL(9, AC846:AQ846)</f>
        <v>1920799.11</v>
      </c>
      <c r="AC846" s="17" t="n"/>
      <c r="AD846" s="17" t="n"/>
      <c r="AE846" s="17" t="n"/>
      <c r="AF846" s="17" t="n"/>
      <c r="AG846" s="17" t="n"/>
      <c r="AH846" s="17" t="n"/>
      <c r="AI846" s="17" t="n"/>
      <c r="AJ846" s="17" t="n"/>
      <c r="AK846" s="17" t="n"/>
      <c r="AL846" s="17" t="n"/>
      <c r="AM846" s="18" t="n">
        <v>1920799.11</v>
      </c>
      <c r="AN846" s="17" t="n"/>
      <c r="AO846" s="17" t="n"/>
      <c r="AP846" s="17" t="n"/>
      <c r="AQ846" s="188" t="n"/>
    </row>
    <row outlineLevel="0" r="847">
      <c r="A847" s="5" t="n">
        <f aca="false" ca="false" dt2D="false" dtr="false" t="normal">A846+1</f>
        <v>820</v>
      </c>
      <c r="B847" s="6" t="n">
        <f aca="false" ca="false" dt2D="false" dtr="false" t="normal">+B846+1</f>
        <v>312</v>
      </c>
      <c r="C847" s="6" t="s">
        <v>177</v>
      </c>
      <c r="D847" s="6" t="s">
        <v>723</v>
      </c>
      <c r="E847" s="220" t="n">
        <v>1957</v>
      </c>
      <c r="F847" s="220" t="n">
        <v>1957</v>
      </c>
      <c r="G847" s="220" t="s">
        <v>4</v>
      </c>
      <c r="H847" s="220" t="n">
        <v>4</v>
      </c>
      <c r="I847" s="220" t="n">
        <v>2</v>
      </c>
      <c r="J847" s="17" t="n">
        <v>1858.34</v>
      </c>
      <c r="K847" s="17" t="n">
        <v>1382.4</v>
      </c>
      <c r="L847" s="17" t="n">
        <v>475.94</v>
      </c>
      <c r="M847" s="140" t="n">
        <v>37</v>
      </c>
      <c r="N847" s="16" t="n">
        <f aca="false" ca="false" dt2D="false" dtr="false" t="normal">P847+Q847+R847+S847+T847</f>
        <v>2882347.55</v>
      </c>
      <c r="O847" s="18" t="n"/>
      <c r="P847" s="18" t="n"/>
      <c r="Q847" s="18" t="n">
        <v>2882347.55</v>
      </c>
      <c r="R847" s="27" t="n"/>
      <c r="S847" s="27" t="n"/>
      <c r="T847" s="27" t="n"/>
      <c r="U847" s="18" t="n"/>
      <c r="V847" s="18" t="n"/>
      <c r="W847" s="222" t="n">
        <v>2024</v>
      </c>
      <c r="X847" s="190" t="n"/>
      <c r="AB847" s="203" t="n">
        <f aca="false" ca="true" dt2D="false" dtr="false" t="normal">SUBTOTAL(9, AC847:AQ847)</f>
        <v>2882347.55</v>
      </c>
      <c r="AC847" s="17" t="n"/>
      <c r="AD847" s="17" t="n"/>
      <c r="AE847" s="17" t="n"/>
      <c r="AF847" s="17" t="n"/>
      <c r="AG847" s="17" t="n"/>
      <c r="AH847" s="17" t="n"/>
      <c r="AI847" s="17" t="n"/>
      <c r="AJ847" s="17" t="n"/>
      <c r="AK847" s="17" t="n"/>
      <c r="AL847" s="17" t="n"/>
      <c r="AM847" s="18" t="n">
        <v>2882347.55</v>
      </c>
      <c r="AN847" s="17" t="n"/>
      <c r="AO847" s="17" t="n"/>
      <c r="AP847" s="17" t="n"/>
      <c r="AQ847" s="188" t="n"/>
    </row>
    <row outlineLevel="0" r="848">
      <c r="A848" s="5" t="n">
        <f aca="false" ca="false" dt2D="false" dtr="false" t="normal">A847+1</f>
        <v>821</v>
      </c>
      <c r="B848" s="6" t="s">
        <v>76</v>
      </c>
      <c r="C848" s="6" t="s">
        <v>177</v>
      </c>
      <c r="D848" s="6" t="s">
        <v>326</v>
      </c>
      <c r="E848" s="220" t="n">
        <v>1964</v>
      </c>
      <c r="F848" s="220" t="n">
        <v>1964</v>
      </c>
      <c r="G848" s="220" t="s">
        <v>4</v>
      </c>
      <c r="H848" s="220" t="n">
        <v>5</v>
      </c>
      <c r="I848" s="220" t="n">
        <v>7</v>
      </c>
      <c r="J848" s="17" t="n">
        <v>6384.4</v>
      </c>
      <c r="K848" s="17" t="n">
        <v>5253.8</v>
      </c>
      <c r="L848" s="17" t="n">
        <v>1130.6</v>
      </c>
      <c r="M848" s="140" t="n">
        <v>210</v>
      </c>
      <c r="N848" s="16" t="n">
        <f aca="false" ca="false" dt2D="false" dtr="false" t="normal">P848+Q848+R848+S848+T848</f>
        <v>7419047.08</v>
      </c>
      <c r="O848" s="18" t="n"/>
      <c r="P848" s="18" t="n"/>
      <c r="Q848" s="18" t="n">
        <v>7419047.08</v>
      </c>
      <c r="R848" s="27" t="n"/>
      <c r="S848" s="27" t="n"/>
      <c r="T848" s="27" t="n"/>
      <c r="U848" s="18" t="n"/>
      <c r="V848" s="18" t="n"/>
      <c r="W848" s="222" t="n">
        <v>2024</v>
      </c>
      <c r="X848" s="190" t="n"/>
      <c r="AB848" s="203" t="n">
        <f aca="false" ca="true" dt2D="false" dtr="false" t="normal">SUBTOTAL(9, AC848:AQ848)</f>
        <v>7419047.08</v>
      </c>
      <c r="AC848" s="17" t="n"/>
      <c r="AD848" s="17" t="n"/>
      <c r="AE848" s="17" t="n"/>
      <c r="AF848" s="17" t="n"/>
      <c r="AG848" s="17" t="n"/>
      <c r="AH848" s="17" t="n"/>
      <c r="AI848" s="17" t="n"/>
      <c r="AJ848" s="17" t="n"/>
      <c r="AK848" s="17" t="n"/>
      <c r="AL848" s="17" t="n"/>
      <c r="AM848" s="18" t="n">
        <v>7419047.08</v>
      </c>
      <c r="AN848" s="17" t="n"/>
      <c r="AO848" s="17" t="n"/>
      <c r="AP848" s="17" t="n"/>
      <c r="AQ848" s="188" t="n"/>
    </row>
    <row outlineLevel="0" r="849">
      <c r="A849" s="5" t="n">
        <f aca="false" ca="false" dt2D="false" dtr="false" t="normal">A848+1</f>
        <v>822</v>
      </c>
      <c r="B849" s="6" t="n">
        <f aca="false" ca="false" dt2D="false" dtr="false" t="normal">+B847+1</f>
        <v>313</v>
      </c>
      <c r="C849" s="6" t="s">
        <v>177</v>
      </c>
      <c r="D849" s="6" t="s">
        <v>724</v>
      </c>
      <c r="E849" s="220" t="s">
        <v>545</v>
      </c>
      <c r="F849" s="220" t="n"/>
      <c r="G849" s="220" t="s">
        <v>4</v>
      </c>
      <c r="H849" s="220" t="n">
        <v>5</v>
      </c>
      <c r="I849" s="220" t="n">
        <v>3</v>
      </c>
      <c r="J849" s="17" t="n">
        <v>1900.32</v>
      </c>
      <c r="K849" s="17" t="n">
        <v>1432.42</v>
      </c>
      <c r="L849" s="17" t="n">
        <v>288.3</v>
      </c>
      <c r="M849" s="140" t="n">
        <v>63</v>
      </c>
      <c r="N849" s="16" t="n">
        <f aca="false" ca="false" dt2D="false" dtr="false" t="normal">P849+Q849+R849+S849+T849</f>
        <v>3073747.52</v>
      </c>
      <c r="O849" s="18" t="n"/>
      <c r="P849" s="18" t="n"/>
      <c r="Q849" s="18" t="n">
        <v>3073747.52</v>
      </c>
      <c r="R849" s="27" t="n"/>
      <c r="S849" s="27" t="n"/>
      <c r="T849" s="27" t="n"/>
      <c r="U849" s="18" t="n"/>
      <c r="V849" s="18" t="n"/>
      <c r="W849" s="222" t="n">
        <v>2024</v>
      </c>
      <c r="X849" s="190" t="n"/>
      <c r="AB849" s="203" t="n">
        <f aca="false" ca="true" dt2D="false" dtr="false" t="normal">SUBTOTAL(9, AC849:AQ849)</f>
        <v>3073747.52</v>
      </c>
      <c r="AC849" s="17" t="n"/>
      <c r="AD849" s="17" t="n"/>
      <c r="AE849" s="17" t="n"/>
      <c r="AF849" s="17" t="n"/>
      <c r="AG849" s="17" t="n"/>
      <c r="AH849" s="17" t="n"/>
      <c r="AI849" s="17" t="n"/>
      <c r="AJ849" s="17" t="n"/>
      <c r="AK849" s="17" t="n"/>
      <c r="AL849" s="17" t="n"/>
      <c r="AM849" s="18" t="n">
        <v>3073747.52</v>
      </c>
      <c r="AN849" s="17" t="n"/>
      <c r="AO849" s="17" t="n"/>
      <c r="AP849" s="17" t="n"/>
      <c r="AQ849" s="188" t="n"/>
    </row>
    <row outlineLevel="0" r="850">
      <c r="A850" s="5" t="n">
        <f aca="false" ca="false" dt2D="false" dtr="false" t="normal">A849+1</f>
        <v>823</v>
      </c>
      <c r="B850" s="6" t="n">
        <f aca="false" ca="false" dt2D="false" dtr="false" t="normal">+B849+1</f>
        <v>314</v>
      </c>
      <c r="C850" s="6" t="s">
        <v>177</v>
      </c>
      <c r="D850" s="6" t="s">
        <v>725</v>
      </c>
      <c r="E850" s="220" t="n">
        <v>1954</v>
      </c>
      <c r="F850" s="220" t="n">
        <v>1954</v>
      </c>
      <c r="G850" s="220" t="s">
        <v>4</v>
      </c>
      <c r="H850" s="220" t="n">
        <v>3</v>
      </c>
      <c r="I850" s="220" t="n">
        <v>3</v>
      </c>
      <c r="J850" s="17" t="n">
        <v>1802.3</v>
      </c>
      <c r="K850" s="17" t="n">
        <v>1033</v>
      </c>
      <c r="L850" s="17" t="n">
        <v>769.3</v>
      </c>
      <c r="M850" s="140" t="n">
        <v>35</v>
      </c>
      <c r="N850" s="16" t="n">
        <f aca="false" ca="false" dt2D="false" dtr="false" t="normal">P850+Q850+R850+S850+T850</f>
        <v>2978133.91</v>
      </c>
      <c r="O850" s="18" t="n"/>
      <c r="P850" s="18" t="n"/>
      <c r="Q850" s="18" t="n">
        <v>2978133.91</v>
      </c>
      <c r="R850" s="27" t="n"/>
      <c r="S850" s="27" t="n"/>
      <c r="T850" s="27" t="n"/>
      <c r="U850" s="18" t="n"/>
      <c r="V850" s="18" t="n"/>
      <c r="W850" s="222" t="n">
        <v>2024</v>
      </c>
      <c r="X850" s="190" t="n"/>
      <c r="AB850" s="203" t="n">
        <f aca="false" ca="true" dt2D="false" dtr="false" t="normal">SUBTOTAL(9, AC850:AQ850)</f>
        <v>2978133.91</v>
      </c>
      <c r="AC850" s="17" t="n"/>
      <c r="AD850" s="17" t="n"/>
      <c r="AE850" s="17" t="n"/>
      <c r="AF850" s="17" t="n"/>
      <c r="AG850" s="17" t="n"/>
      <c r="AH850" s="17" t="n"/>
      <c r="AI850" s="17" t="n"/>
      <c r="AJ850" s="17" t="n"/>
      <c r="AK850" s="17" t="n"/>
      <c r="AL850" s="17" t="n"/>
      <c r="AM850" s="18" t="n">
        <v>2978133.91</v>
      </c>
      <c r="AN850" s="17" t="n"/>
      <c r="AO850" s="17" t="n"/>
      <c r="AP850" s="17" t="n"/>
      <c r="AQ850" s="188" t="n"/>
    </row>
    <row outlineLevel="0" r="851">
      <c r="A851" s="5" t="n">
        <f aca="false" ca="false" dt2D="false" dtr="false" t="normal">A850+1</f>
        <v>824</v>
      </c>
      <c r="B851" s="6" t="n">
        <f aca="false" ca="false" dt2D="false" dtr="false" t="normal">+B850+1</f>
        <v>315</v>
      </c>
      <c r="C851" s="6" t="s">
        <v>177</v>
      </c>
      <c r="D851" s="6" t="s">
        <v>726</v>
      </c>
      <c r="E851" s="220" t="n">
        <v>1962</v>
      </c>
      <c r="F851" s="220" t="n">
        <v>1962</v>
      </c>
      <c r="G851" s="220" t="s">
        <v>4</v>
      </c>
      <c r="H851" s="220" t="n">
        <v>4</v>
      </c>
      <c r="I851" s="220" t="n">
        <v>4</v>
      </c>
      <c r="J851" s="17" t="n">
        <v>4073.5</v>
      </c>
      <c r="K851" s="17" t="n">
        <v>3188.1</v>
      </c>
      <c r="L851" s="17" t="n">
        <v>883.3</v>
      </c>
      <c r="M851" s="140" t="n">
        <v>80</v>
      </c>
      <c r="N851" s="16" t="n">
        <f aca="false" ca="false" dt2D="false" dtr="false" t="normal">P851+Q851+R851+S851+T851</f>
        <v>5027302.96</v>
      </c>
      <c r="O851" s="18" t="n"/>
      <c r="P851" s="18" t="n"/>
      <c r="Q851" s="18" t="n">
        <v>5027302.96</v>
      </c>
      <c r="R851" s="27" t="n"/>
      <c r="S851" s="27" t="n"/>
      <c r="T851" s="27" t="n"/>
      <c r="U851" s="18" t="n"/>
      <c r="V851" s="18" t="n"/>
      <c r="W851" s="222" t="n">
        <v>2024</v>
      </c>
      <c r="X851" s="190" t="n"/>
      <c r="AB851" s="203" t="n">
        <f aca="false" ca="true" dt2D="false" dtr="false" t="normal">SUBTOTAL(9, AC851:AQ851)</f>
        <v>5027302.96</v>
      </c>
      <c r="AC851" s="17" t="n"/>
      <c r="AD851" s="17" t="n"/>
      <c r="AE851" s="17" t="n"/>
      <c r="AF851" s="17" t="n"/>
      <c r="AG851" s="17" t="n"/>
      <c r="AH851" s="17" t="n"/>
      <c r="AI851" s="17" t="n"/>
      <c r="AJ851" s="17" t="n"/>
      <c r="AK851" s="17" t="n"/>
      <c r="AL851" s="17" t="n"/>
      <c r="AM851" s="18" t="n">
        <v>5027302.96</v>
      </c>
      <c r="AN851" s="17" t="n"/>
      <c r="AO851" s="17" t="n"/>
      <c r="AP851" s="17" t="n"/>
      <c r="AQ851" s="188" t="n"/>
    </row>
    <row outlineLevel="0" r="852">
      <c r="A852" s="5" t="n">
        <f aca="false" ca="false" dt2D="false" dtr="false" t="normal">A851+1</f>
        <v>825</v>
      </c>
      <c r="B852" s="6" t="n">
        <f aca="false" ca="false" dt2D="false" dtr="false" t="normal">+B851+1</f>
        <v>316</v>
      </c>
      <c r="C852" s="6" t="s">
        <v>177</v>
      </c>
      <c r="D852" s="6" t="s">
        <v>727</v>
      </c>
      <c r="E852" s="220" t="n">
        <v>1990</v>
      </c>
      <c r="F852" s="220" t="n">
        <v>1990</v>
      </c>
      <c r="G852" s="220" t="s">
        <v>4</v>
      </c>
      <c r="H852" s="220" t="n">
        <v>4</v>
      </c>
      <c r="I852" s="220" t="n">
        <v>2</v>
      </c>
      <c r="J852" s="17" t="n">
        <v>2012.4</v>
      </c>
      <c r="K852" s="17" t="n">
        <v>1752.2</v>
      </c>
      <c r="L852" s="17" t="n">
        <v>0</v>
      </c>
      <c r="M852" s="140" t="n">
        <v>54</v>
      </c>
      <c r="N852" s="16" t="n">
        <f aca="false" ca="false" dt2D="false" dtr="false" t="normal">P852+Q852+R852+S852+T852</f>
        <v>2875467.93</v>
      </c>
      <c r="O852" s="18" t="n"/>
      <c r="P852" s="18" t="n"/>
      <c r="Q852" s="18" t="n">
        <v>2875467.93</v>
      </c>
      <c r="R852" s="27" t="n"/>
      <c r="S852" s="27" t="n"/>
      <c r="T852" s="27" t="n"/>
      <c r="U852" s="18" t="n"/>
      <c r="V852" s="18" t="n"/>
      <c r="W852" s="222" t="n">
        <v>2024</v>
      </c>
      <c r="X852" s="190" t="n"/>
      <c r="AB852" s="203" t="n">
        <f aca="false" ca="true" dt2D="false" dtr="false" t="normal">SUBTOTAL(9, AC852:AQ852)</f>
        <v>2875467.93</v>
      </c>
      <c r="AC852" s="17" t="n"/>
      <c r="AD852" s="17" t="n"/>
      <c r="AE852" s="17" t="n"/>
      <c r="AF852" s="17" t="n"/>
      <c r="AG852" s="17" t="n"/>
      <c r="AH852" s="17" t="n"/>
      <c r="AI852" s="17" t="n"/>
      <c r="AJ852" s="17" t="n"/>
      <c r="AK852" s="17" t="n"/>
      <c r="AL852" s="17" t="n"/>
      <c r="AM852" s="18" t="n">
        <v>2875467.93</v>
      </c>
      <c r="AN852" s="17" t="n"/>
      <c r="AO852" s="17" t="n"/>
      <c r="AP852" s="17" t="n"/>
      <c r="AQ852" s="188" t="n"/>
    </row>
    <row outlineLevel="0" r="853">
      <c r="A853" s="5" t="n">
        <f aca="false" ca="false" dt2D="false" dtr="false" t="normal">A852+1</f>
        <v>826</v>
      </c>
      <c r="B853" s="6" t="n">
        <f aca="false" ca="false" dt2D="false" dtr="false" t="normal">+B852+1</f>
        <v>317</v>
      </c>
      <c r="C853" s="6" t="s">
        <v>177</v>
      </c>
      <c r="D853" s="6" t="s">
        <v>728</v>
      </c>
      <c r="E853" s="220" t="n">
        <v>1996</v>
      </c>
      <c r="F853" s="220" t="n">
        <v>1996</v>
      </c>
      <c r="G853" s="220" t="s">
        <v>4</v>
      </c>
      <c r="H853" s="220" t="n">
        <v>8</v>
      </c>
      <c r="I853" s="220" t="n">
        <v>2</v>
      </c>
      <c r="J853" s="17" t="n">
        <v>5186.36</v>
      </c>
      <c r="K853" s="17" t="n">
        <v>4076.7</v>
      </c>
      <c r="L853" s="17" t="n">
        <v>540.4</v>
      </c>
      <c r="M853" s="140" t="n">
        <v>130</v>
      </c>
      <c r="N853" s="16" t="n">
        <f aca="false" ca="false" dt2D="false" dtr="false" t="normal">P853+Q853+R853+S853+T853</f>
        <v>6456490.96</v>
      </c>
      <c r="O853" s="18" t="n"/>
      <c r="P853" s="18" t="n"/>
      <c r="Q853" s="18" t="n">
        <v>6456490.96</v>
      </c>
      <c r="R853" s="27" t="n"/>
      <c r="S853" s="27" t="n"/>
      <c r="T853" s="27" t="n"/>
      <c r="U853" s="18" t="n"/>
      <c r="V853" s="18" t="n"/>
      <c r="W853" s="222" t="n">
        <v>2024</v>
      </c>
      <c r="X853" s="190" t="n"/>
      <c r="AB853" s="203" t="n">
        <f aca="false" ca="true" dt2D="false" dtr="false" t="normal">SUBTOTAL(9, AC853:AQ853)</f>
        <v>6456490.96</v>
      </c>
      <c r="AC853" s="17" t="n"/>
      <c r="AD853" s="17" t="n"/>
      <c r="AE853" s="17" t="n"/>
      <c r="AF853" s="17" t="n"/>
      <c r="AG853" s="17" t="n"/>
      <c r="AH853" s="17" t="n"/>
      <c r="AI853" s="17" t="n"/>
      <c r="AJ853" s="17" t="n"/>
      <c r="AK853" s="17" t="n"/>
      <c r="AL853" s="17" t="n"/>
      <c r="AM853" s="18" t="n">
        <v>6456490.96</v>
      </c>
      <c r="AN853" s="17" t="n"/>
      <c r="AO853" s="17" t="n"/>
      <c r="AP853" s="17" t="n"/>
      <c r="AQ853" s="188" t="n"/>
    </row>
    <row outlineLevel="0" r="854">
      <c r="A854" s="5" t="n">
        <f aca="false" ca="false" dt2D="false" dtr="false" t="normal">A853+1</f>
        <v>827</v>
      </c>
      <c r="B854" s="6" t="s">
        <v>76</v>
      </c>
      <c r="C854" s="6" t="s">
        <v>177</v>
      </c>
      <c r="D854" s="6" t="s">
        <v>729</v>
      </c>
      <c r="E854" s="220" t="n">
        <v>1959</v>
      </c>
      <c r="F854" s="220" t="n">
        <v>1959</v>
      </c>
      <c r="G854" s="220" t="s">
        <v>4</v>
      </c>
      <c r="H854" s="220" t="n">
        <v>3</v>
      </c>
      <c r="I854" s="220" t="n">
        <v>2</v>
      </c>
      <c r="J854" s="17" t="n">
        <v>1349.3</v>
      </c>
      <c r="K854" s="17" t="n">
        <v>898.8</v>
      </c>
      <c r="L854" s="17" t="n">
        <v>450.5</v>
      </c>
      <c r="M854" s="140" t="n">
        <v>25</v>
      </c>
      <c r="N854" s="16" t="n">
        <f aca="false" ca="false" dt2D="false" dtr="false" t="normal">P854+Q854+R854+S854+T854</f>
        <v>3099553.05</v>
      </c>
      <c r="O854" s="18" t="n"/>
      <c r="P854" s="18" t="n"/>
      <c r="Q854" s="18" t="n">
        <v>3099553.05</v>
      </c>
      <c r="R854" s="27" t="n"/>
      <c r="S854" s="27" t="n"/>
      <c r="T854" s="27" t="n"/>
      <c r="U854" s="18" t="n"/>
      <c r="V854" s="18" t="n"/>
      <c r="W854" s="222" t="n">
        <v>2024</v>
      </c>
      <c r="X854" s="190" t="n"/>
      <c r="AB854" s="203" t="n">
        <f aca="false" ca="true" dt2D="false" dtr="false" t="normal">SUBTOTAL(9, AC854:AQ854)</f>
        <v>3099553.05</v>
      </c>
      <c r="AC854" s="17" t="n"/>
      <c r="AD854" s="17" t="n"/>
      <c r="AE854" s="17" t="n"/>
      <c r="AF854" s="17" t="n"/>
      <c r="AG854" s="17" t="n"/>
      <c r="AH854" s="17" t="n"/>
      <c r="AI854" s="17" t="n"/>
      <c r="AJ854" s="17" t="n"/>
      <c r="AK854" s="17" t="n"/>
      <c r="AL854" s="17" t="n"/>
      <c r="AM854" s="18" t="n">
        <v>3099553.05</v>
      </c>
      <c r="AN854" s="17" t="n"/>
      <c r="AO854" s="17" t="n"/>
      <c r="AP854" s="17" t="n"/>
      <c r="AQ854" s="188" t="n"/>
    </row>
    <row outlineLevel="0" r="855">
      <c r="A855" s="5" t="n">
        <f aca="false" ca="false" dt2D="false" dtr="false" t="normal">A854+1</f>
        <v>828</v>
      </c>
      <c r="B855" s="6" t="n">
        <f aca="false" ca="false" dt2D="false" dtr="false" t="normal">+B853+1</f>
        <v>318</v>
      </c>
      <c r="C855" s="6" t="s">
        <v>177</v>
      </c>
      <c r="D855" s="6" t="s">
        <v>730</v>
      </c>
      <c r="E855" s="220" t="n">
        <v>1968</v>
      </c>
      <c r="F855" s="220" t="n">
        <v>1968</v>
      </c>
      <c r="G855" s="220" t="s">
        <v>4</v>
      </c>
      <c r="H855" s="220" t="n">
        <v>4</v>
      </c>
      <c r="I855" s="220" t="n">
        <v>3</v>
      </c>
      <c r="J855" s="17" t="n">
        <v>1951.7</v>
      </c>
      <c r="K855" s="17" t="n">
        <v>1451.8</v>
      </c>
      <c r="L855" s="17" t="n">
        <v>499.9</v>
      </c>
      <c r="M855" s="140" t="n">
        <v>64</v>
      </c>
      <c r="N855" s="16" t="n">
        <f aca="false" ca="false" dt2D="false" dtr="false" t="normal">P855+Q855+R855+S855+T855</f>
        <v>2807046.34</v>
      </c>
      <c r="O855" s="18" t="n"/>
      <c r="P855" s="18" t="n"/>
      <c r="Q855" s="18" t="n">
        <v>2807046.34</v>
      </c>
      <c r="R855" s="27" t="n"/>
      <c r="S855" s="27" t="n"/>
      <c r="T855" s="27" t="n"/>
      <c r="U855" s="18" t="n"/>
      <c r="V855" s="18" t="n"/>
      <c r="W855" s="222" t="n">
        <v>2024</v>
      </c>
      <c r="X855" s="190" t="n"/>
      <c r="AB855" s="203" t="n">
        <f aca="false" ca="true" dt2D="false" dtr="false" t="normal">SUBTOTAL(9, AC855:AQ855)</f>
        <v>2807046.34</v>
      </c>
      <c r="AC855" s="17" t="n"/>
      <c r="AD855" s="17" t="n"/>
      <c r="AE855" s="17" t="n"/>
      <c r="AF855" s="17" t="n"/>
      <c r="AG855" s="17" t="n"/>
      <c r="AH855" s="17" t="n"/>
      <c r="AI855" s="17" t="n"/>
      <c r="AJ855" s="17" t="n"/>
      <c r="AK855" s="17" t="n"/>
      <c r="AL855" s="17" t="n"/>
      <c r="AM855" s="18" t="n">
        <v>2807046.34</v>
      </c>
      <c r="AN855" s="17" t="n"/>
      <c r="AO855" s="17" t="n"/>
      <c r="AP855" s="17" t="n"/>
      <c r="AQ855" s="188" t="n"/>
    </row>
    <row outlineLevel="0" r="856">
      <c r="A856" s="5" t="n">
        <f aca="false" ca="false" dt2D="false" dtr="false" t="normal">A855+1</f>
        <v>829</v>
      </c>
      <c r="B856" s="6" t="n">
        <f aca="false" ca="false" dt2D="false" dtr="false" t="normal">+B855+1</f>
        <v>319</v>
      </c>
      <c r="C856" s="6" t="s">
        <v>177</v>
      </c>
      <c r="D856" s="6" t="s">
        <v>512</v>
      </c>
      <c r="E856" s="220" t="n">
        <v>1959</v>
      </c>
      <c r="F856" s="220" t="n">
        <v>1959</v>
      </c>
      <c r="G856" s="220" t="s">
        <v>4</v>
      </c>
      <c r="H856" s="220" t="n">
        <v>4</v>
      </c>
      <c r="I856" s="220" t="n">
        <v>3</v>
      </c>
      <c r="J856" s="17" t="n">
        <v>2378.2</v>
      </c>
      <c r="K856" s="17" t="n">
        <v>1790.7</v>
      </c>
      <c r="L856" s="17" t="n">
        <v>587.5</v>
      </c>
      <c r="M856" s="140" t="n">
        <v>74</v>
      </c>
      <c r="N856" s="16" t="n">
        <f aca="false" ca="false" dt2D="false" dtr="false" t="normal">P856+Q856+R856+S856+T856</f>
        <v>2245110.29</v>
      </c>
      <c r="O856" s="18" t="n"/>
      <c r="P856" s="18" t="n"/>
      <c r="Q856" s="18" t="n">
        <v>2245110.29</v>
      </c>
      <c r="R856" s="27" t="n"/>
      <c r="S856" s="27" t="n"/>
      <c r="T856" s="27" t="n"/>
      <c r="U856" s="18" t="n"/>
      <c r="V856" s="18" t="n"/>
      <c r="W856" s="222" t="n">
        <v>2024</v>
      </c>
      <c r="X856" s="190" t="n"/>
      <c r="AB856" s="203" t="n">
        <f aca="false" ca="true" dt2D="false" dtr="false" t="normal">SUBTOTAL(9, AC856:AQ856)</f>
        <v>2245110.29</v>
      </c>
      <c r="AC856" s="17" t="n"/>
      <c r="AD856" s="17" t="n"/>
      <c r="AE856" s="17" t="n"/>
      <c r="AF856" s="17" t="n"/>
      <c r="AG856" s="17" t="n"/>
      <c r="AH856" s="17" t="n"/>
      <c r="AI856" s="17" t="n"/>
      <c r="AJ856" s="17" t="n"/>
      <c r="AK856" s="17" t="n"/>
      <c r="AL856" s="17" t="n"/>
      <c r="AM856" s="18" t="n">
        <v>2245110.29</v>
      </c>
      <c r="AN856" s="17" t="n"/>
      <c r="AO856" s="17" t="n"/>
      <c r="AP856" s="17" t="n"/>
      <c r="AQ856" s="188" t="n"/>
    </row>
    <row outlineLevel="0" r="857">
      <c r="A857" s="5" t="n">
        <f aca="false" ca="false" dt2D="false" dtr="false" t="normal">A856+1</f>
        <v>830</v>
      </c>
      <c r="B857" s="6" t="s">
        <v>76</v>
      </c>
      <c r="C857" s="6" t="s">
        <v>177</v>
      </c>
      <c r="D857" s="6" t="s">
        <v>213</v>
      </c>
      <c r="E857" s="220" t="n">
        <v>1968</v>
      </c>
      <c r="F857" s="220" t="n">
        <v>1968</v>
      </c>
      <c r="G857" s="220" t="s">
        <v>4</v>
      </c>
      <c r="H857" s="220" t="n">
        <v>5</v>
      </c>
      <c r="I857" s="220" t="n">
        <v>4</v>
      </c>
      <c r="J857" s="17" t="n">
        <v>3228.9</v>
      </c>
      <c r="K857" s="17" t="n">
        <v>2518.9</v>
      </c>
      <c r="L857" s="17" t="n">
        <v>710</v>
      </c>
      <c r="M857" s="140" t="n">
        <v>136</v>
      </c>
      <c r="N857" s="16" t="n">
        <f aca="false" ca="false" dt2D="false" dtr="false" t="normal">P857+Q857+R857+S857+T857</f>
        <v>3542453.57</v>
      </c>
      <c r="O857" s="18" t="n"/>
      <c r="P857" s="18" t="n"/>
      <c r="Q857" s="18" t="n">
        <v>3542453.57</v>
      </c>
      <c r="R857" s="27" t="n"/>
      <c r="S857" s="27" t="n"/>
      <c r="T857" s="27" t="n"/>
      <c r="U857" s="18" t="n"/>
      <c r="V857" s="18" t="n"/>
      <c r="W857" s="222" t="n">
        <v>2024</v>
      </c>
      <c r="X857" s="190" t="n"/>
      <c r="AB857" s="203" t="n">
        <f aca="false" ca="true" dt2D="false" dtr="false" t="normal">SUBTOTAL(9, AC857:AQ857)</f>
        <v>3542453.57</v>
      </c>
      <c r="AC857" s="17" t="n"/>
      <c r="AD857" s="17" t="n"/>
      <c r="AE857" s="17" t="n"/>
      <c r="AF857" s="17" t="n"/>
      <c r="AG857" s="17" t="n"/>
      <c r="AH857" s="17" t="n"/>
      <c r="AI857" s="17" t="n"/>
      <c r="AJ857" s="17" t="n"/>
      <c r="AK857" s="17" t="n"/>
      <c r="AL857" s="17" t="n"/>
      <c r="AM857" s="18" t="n">
        <v>3542453.57</v>
      </c>
      <c r="AN857" s="17" t="n"/>
      <c r="AO857" s="17" t="n"/>
      <c r="AP857" s="17" t="n"/>
      <c r="AQ857" s="188" t="n"/>
    </row>
    <row outlineLevel="0" r="858">
      <c r="A858" s="5" t="n">
        <f aca="false" ca="false" dt2D="false" dtr="false" t="normal">A857+1</f>
        <v>831</v>
      </c>
      <c r="B858" s="6" t="n">
        <f aca="false" ca="false" dt2D="false" dtr="false" t="normal">+B856+1</f>
        <v>320</v>
      </c>
      <c r="C858" s="6" t="s">
        <v>177</v>
      </c>
      <c r="D858" s="6" t="s">
        <v>215</v>
      </c>
      <c r="E858" s="220" t="n">
        <v>1965</v>
      </c>
      <c r="F858" s="220" t="n">
        <v>1965</v>
      </c>
      <c r="G858" s="220" t="s">
        <v>4</v>
      </c>
      <c r="H858" s="220" t="n">
        <v>4</v>
      </c>
      <c r="I858" s="220" t="n">
        <v>2</v>
      </c>
      <c r="J858" s="17" t="n">
        <v>1948.5</v>
      </c>
      <c r="K858" s="17" t="n">
        <v>1410</v>
      </c>
      <c r="L858" s="17" t="n">
        <v>537.7</v>
      </c>
      <c r="M858" s="140" t="n">
        <v>38</v>
      </c>
      <c r="N858" s="16" t="n">
        <f aca="false" ca="false" dt2D="false" dtr="false" t="normal">P858+Q858+R858+S858+T858</f>
        <v>3257822.95</v>
      </c>
      <c r="O858" s="18" t="n"/>
      <c r="P858" s="18" t="n"/>
      <c r="Q858" s="18" t="n">
        <v>3257822.95</v>
      </c>
      <c r="R858" s="27" t="n"/>
      <c r="S858" s="27" t="n"/>
      <c r="T858" s="27" t="n"/>
      <c r="U858" s="18" t="n"/>
      <c r="V858" s="18" t="n"/>
      <c r="W858" s="222" t="n">
        <v>2024</v>
      </c>
      <c r="X858" s="190" t="n"/>
      <c r="AB858" s="203" t="n">
        <f aca="false" ca="true" dt2D="false" dtr="false" t="normal">SUBTOTAL(9, AC858:AQ858)</f>
        <v>3257822.95</v>
      </c>
      <c r="AC858" s="17" t="n"/>
      <c r="AD858" s="17" t="n"/>
      <c r="AE858" s="17" t="n"/>
      <c r="AF858" s="17" t="n"/>
      <c r="AG858" s="17" t="n"/>
      <c r="AH858" s="17" t="n"/>
      <c r="AI858" s="17" t="n"/>
      <c r="AJ858" s="17" t="n"/>
      <c r="AK858" s="17" t="n"/>
      <c r="AL858" s="17" t="n"/>
      <c r="AM858" s="18" t="n">
        <v>3257822.95</v>
      </c>
      <c r="AN858" s="17" t="n"/>
      <c r="AO858" s="17" t="n"/>
      <c r="AP858" s="17" t="n"/>
      <c r="AQ858" s="188" t="n"/>
    </row>
    <row outlineLevel="0" r="859">
      <c r="A859" s="5" t="n">
        <f aca="false" ca="false" dt2D="false" dtr="false" t="normal">A858+1</f>
        <v>832</v>
      </c>
      <c r="B859" s="6" t="n">
        <f aca="false" ca="false" dt2D="false" dtr="false" t="normal">+B858+1</f>
        <v>321</v>
      </c>
      <c r="C859" s="6" t="s">
        <v>177</v>
      </c>
      <c r="D859" s="6" t="s">
        <v>217</v>
      </c>
      <c r="E859" s="220" t="n">
        <v>1963</v>
      </c>
      <c r="F859" s="220" t="n">
        <v>1963</v>
      </c>
      <c r="G859" s="220" t="s">
        <v>4</v>
      </c>
      <c r="H859" s="220" t="n">
        <v>4</v>
      </c>
      <c r="I859" s="220" t="n">
        <v>3</v>
      </c>
      <c r="J859" s="17" t="n">
        <v>2328.4</v>
      </c>
      <c r="K859" s="17" t="n">
        <v>1950.9</v>
      </c>
      <c r="L859" s="17" t="n">
        <v>377.5</v>
      </c>
      <c r="M859" s="140" t="n">
        <v>49</v>
      </c>
      <c r="N859" s="16" t="n">
        <f aca="false" ca="false" dt2D="false" dtr="false" t="normal">P859+Q859+R859+S859+T859</f>
        <v>5969418.05</v>
      </c>
      <c r="O859" s="18" t="n"/>
      <c r="P859" s="18" t="n"/>
      <c r="Q859" s="18" t="n">
        <v>5969418.05</v>
      </c>
      <c r="R859" s="27" t="n"/>
      <c r="S859" s="27" t="n"/>
      <c r="T859" s="27" t="n"/>
      <c r="U859" s="18" t="n"/>
      <c r="V859" s="18" t="n"/>
      <c r="W859" s="222" t="n">
        <v>2024</v>
      </c>
      <c r="X859" s="190" t="n"/>
      <c r="AB859" s="203" t="n">
        <f aca="false" ca="true" dt2D="false" dtr="false" t="normal">SUBTOTAL(9, AC859:AQ859)</f>
        <v>5969418.05</v>
      </c>
      <c r="AC859" s="17" t="n"/>
      <c r="AD859" s="17" t="n"/>
      <c r="AE859" s="17" t="n"/>
      <c r="AF859" s="17" t="n"/>
      <c r="AG859" s="17" t="n"/>
      <c r="AH859" s="17" t="n"/>
      <c r="AI859" s="17" t="n"/>
      <c r="AJ859" s="17" t="n"/>
      <c r="AK859" s="17" t="n"/>
      <c r="AL859" s="17" t="n"/>
      <c r="AM859" s="18" t="n">
        <v>5969418.05</v>
      </c>
      <c r="AN859" s="17" t="n"/>
      <c r="AO859" s="17" t="n"/>
      <c r="AP859" s="17" t="n"/>
      <c r="AQ859" s="188" t="n"/>
    </row>
    <row outlineLevel="0" r="860">
      <c r="A860" s="5" t="n">
        <f aca="false" ca="false" dt2D="false" dtr="false" t="normal">A859+1</f>
        <v>833</v>
      </c>
      <c r="B860" s="6" t="n">
        <f aca="false" ca="false" dt2D="false" dtr="false" t="normal">+B859+1</f>
        <v>322</v>
      </c>
      <c r="C860" s="6" t="s">
        <v>177</v>
      </c>
      <c r="D860" s="6" t="s">
        <v>733</v>
      </c>
      <c r="E860" s="220" t="n">
        <v>1962</v>
      </c>
      <c r="F860" s="220" t="n">
        <v>1962</v>
      </c>
      <c r="G860" s="220" t="s">
        <v>4</v>
      </c>
      <c r="H860" s="220" t="n">
        <v>4</v>
      </c>
      <c r="I860" s="220" t="n">
        <v>4</v>
      </c>
      <c r="J860" s="17" t="n">
        <v>3217.2</v>
      </c>
      <c r="K860" s="17" t="n">
        <v>1859.9</v>
      </c>
      <c r="L860" s="17" t="n">
        <v>1357.3</v>
      </c>
      <c r="M860" s="140" t="n">
        <v>96</v>
      </c>
      <c r="N860" s="16" t="n">
        <f aca="false" ca="false" dt2D="false" dtr="false" t="normal">P860+Q860+R860+S860+T860</f>
        <v>5132744.7</v>
      </c>
      <c r="O860" s="18" t="n"/>
      <c r="P860" s="18" t="n"/>
      <c r="Q860" s="18" t="n">
        <v>5132744.7</v>
      </c>
      <c r="R860" s="27" t="n"/>
      <c r="S860" s="27" t="n"/>
      <c r="T860" s="27" t="n"/>
      <c r="U860" s="18" t="n"/>
      <c r="V860" s="18" t="n"/>
      <c r="W860" s="222" t="n">
        <v>2024</v>
      </c>
      <c r="X860" s="190" t="n"/>
      <c r="AB860" s="203" t="n">
        <f aca="false" ca="true" dt2D="false" dtr="false" t="normal">SUBTOTAL(9, AC860:AQ860)</f>
        <v>5132744.7</v>
      </c>
      <c r="AC860" s="17" t="n"/>
      <c r="AD860" s="17" t="n"/>
      <c r="AE860" s="17" t="n"/>
      <c r="AF860" s="17" t="n"/>
      <c r="AG860" s="17" t="n"/>
      <c r="AH860" s="17" t="n"/>
      <c r="AI860" s="17" t="n"/>
      <c r="AJ860" s="17" t="n"/>
      <c r="AK860" s="17" t="n"/>
      <c r="AL860" s="17" t="n"/>
      <c r="AM860" s="18" t="n">
        <v>5132744.7</v>
      </c>
      <c r="AN860" s="17" t="n"/>
      <c r="AO860" s="17" t="n"/>
      <c r="AP860" s="17" t="n"/>
      <c r="AQ860" s="188" t="n"/>
    </row>
    <row outlineLevel="0" r="861">
      <c r="A861" s="5" t="n">
        <f aca="false" ca="false" dt2D="false" dtr="false" t="normal">A860+1</f>
        <v>834</v>
      </c>
      <c r="B861" s="6" t="n">
        <f aca="false" ca="false" dt2D="false" dtr="false" t="normal">+B860+1</f>
        <v>323</v>
      </c>
      <c r="C861" s="6" t="s">
        <v>177</v>
      </c>
      <c r="D861" s="6" t="s">
        <v>735</v>
      </c>
      <c r="E861" s="220" t="n">
        <v>1981</v>
      </c>
      <c r="F861" s="220" t="n">
        <v>1981</v>
      </c>
      <c r="G861" s="220" t="s">
        <v>4</v>
      </c>
      <c r="H861" s="220" t="n">
        <v>5</v>
      </c>
      <c r="I861" s="220" t="n">
        <v>1</v>
      </c>
      <c r="J861" s="17" t="n">
        <v>2376.66</v>
      </c>
      <c r="K861" s="17" t="n">
        <v>2008.3</v>
      </c>
      <c r="L861" s="17" t="n">
        <v>0</v>
      </c>
      <c r="M861" s="140" t="n">
        <v>127</v>
      </c>
      <c r="N861" s="16" t="n">
        <f aca="false" ca="false" dt2D="false" dtr="false" t="normal">P861+Q861+R861+S861+T861</f>
        <v>3397972.77</v>
      </c>
      <c r="O861" s="18" t="n"/>
      <c r="P861" s="18" t="n"/>
      <c r="Q861" s="18" t="n">
        <v>3397972.77</v>
      </c>
      <c r="R861" s="27" t="n"/>
      <c r="S861" s="27" t="n"/>
      <c r="T861" s="27" t="n"/>
      <c r="U861" s="18" t="n"/>
      <c r="V861" s="18" t="n"/>
      <c r="W861" s="222" t="n">
        <v>2024</v>
      </c>
      <c r="X861" s="190" t="n"/>
      <c r="AB861" s="203" t="n">
        <f aca="false" ca="true" dt2D="false" dtr="false" t="normal">SUBTOTAL(9, AC861:AQ861)</f>
        <v>3397972.77</v>
      </c>
      <c r="AC861" s="17" t="n"/>
      <c r="AD861" s="17" t="n"/>
      <c r="AE861" s="17" t="n"/>
      <c r="AF861" s="17" t="n"/>
      <c r="AG861" s="17" t="n"/>
      <c r="AH861" s="17" t="n"/>
      <c r="AI861" s="17" t="n"/>
      <c r="AJ861" s="17" t="n"/>
      <c r="AK861" s="17" t="n"/>
      <c r="AL861" s="17" t="n"/>
      <c r="AM861" s="18" t="n">
        <v>3397972.77</v>
      </c>
      <c r="AN861" s="17" t="n"/>
      <c r="AO861" s="17" t="n"/>
      <c r="AP861" s="17" t="n"/>
      <c r="AQ861" s="188" t="n"/>
    </row>
    <row outlineLevel="0" r="862">
      <c r="A862" s="5" t="n">
        <f aca="false" ca="false" dt2D="false" dtr="false" t="normal">A861+1</f>
        <v>835</v>
      </c>
      <c r="B862" s="6" t="n">
        <f aca="false" ca="false" dt2D="false" dtr="false" t="normal">+B861+1</f>
        <v>324</v>
      </c>
      <c r="C862" s="6" t="s">
        <v>177</v>
      </c>
      <c r="D862" s="6" t="s">
        <v>737</v>
      </c>
      <c r="E862" s="220" t="n">
        <v>1991</v>
      </c>
      <c r="F862" s="220" t="n">
        <v>1991</v>
      </c>
      <c r="G862" s="220" t="s">
        <v>4</v>
      </c>
      <c r="H862" s="220" t="n">
        <v>5</v>
      </c>
      <c r="I862" s="220" t="n">
        <v>4</v>
      </c>
      <c r="J862" s="17" t="n">
        <v>4793.7</v>
      </c>
      <c r="K862" s="17" t="n">
        <v>4325.8</v>
      </c>
      <c r="L862" s="17" t="n">
        <v>0</v>
      </c>
      <c r="M862" s="140" t="n">
        <v>190</v>
      </c>
      <c r="N862" s="16" t="n">
        <f aca="false" ca="false" dt2D="false" dtr="false" t="normal">P862+Q862+R862+S862+T862</f>
        <v>4504828.59</v>
      </c>
      <c r="O862" s="18" t="n"/>
      <c r="P862" s="18" t="n"/>
      <c r="Q862" s="18" t="n">
        <v>4504828.59</v>
      </c>
      <c r="R862" s="27" t="n"/>
      <c r="S862" s="27" t="n"/>
      <c r="T862" s="27" t="n"/>
      <c r="U862" s="18" t="n"/>
      <c r="V862" s="18" t="n"/>
      <c r="W862" s="222" t="n">
        <v>2024</v>
      </c>
      <c r="X862" s="190" t="n"/>
      <c r="AB862" s="203" t="n">
        <f aca="false" ca="true" dt2D="false" dtr="false" t="normal">SUBTOTAL(9, AC862:AQ862)</f>
        <v>4504828.59</v>
      </c>
      <c r="AC862" s="17" t="n"/>
      <c r="AD862" s="17" t="n"/>
      <c r="AE862" s="17" t="n"/>
      <c r="AF862" s="17" t="n"/>
      <c r="AG862" s="17" t="n"/>
      <c r="AH862" s="17" t="n"/>
      <c r="AI862" s="17" t="n"/>
      <c r="AJ862" s="17" t="n"/>
      <c r="AK862" s="17" t="n"/>
      <c r="AL862" s="17" t="n"/>
      <c r="AM862" s="18" t="n">
        <v>4504828.59</v>
      </c>
      <c r="AN862" s="17" t="n"/>
      <c r="AO862" s="17" t="n"/>
      <c r="AP862" s="17" t="n"/>
      <c r="AQ862" s="188" t="n"/>
    </row>
    <row outlineLevel="0" r="863">
      <c r="A863" s="5" t="n">
        <f aca="false" ca="false" dt2D="false" dtr="false" t="normal">A862+1</f>
        <v>836</v>
      </c>
      <c r="B863" s="6" t="n">
        <f aca="false" ca="false" dt2D="false" dtr="false" t="normal">+B862+1</f>
        <v>325</v>
      </c>
      <c r="C863" s="6" t="s">
        <v>177</v>
      </c>
      <c r="D863" s="6" t="s">
        <v>738</v>
      </c>
      <c r="E863" s="220" t="n">
        <v>1996</v>
      </c>
      <c r="F863" s="220" t="n">
        <v>1996</v>
      </c>
      <c r="G863" s="220" t="s">
        <v>4</v>
      </c>
      <c r="H863" s="220" t="n">
        <v>5</v>
      </c>
      <c r="I863" s="220" t="n">
        <v>3</v>
      </c>
      <c r="J863" s="17" t="n">
        <v>2575.7</v>
      </c>
      <c r="K863" s="17" t="n">
        <v>2285.6</v>
      </c>
      <c r="L863" s="17" t="n">
        <v>0</v>
      </c>
      <c r="M863" s="140" t="n">
        <v>96</v>
      </c>
      <c r="N863" s="16" t="n">
        <f aca="false" ca="false" dt2D="false" dtr="false" t="normal">P863+Q863+R863+S863+T863</f>
        <v>4022692.46</v>
      </c>
      <c r="O863" s="18" t="n"/>
      <c r="P863" s="18" t="n"/>
      <c r="Q863" s="18" t="n">
        <v>4022692.46</v>
      </c>
      <c r="R863" s="27" t="n"/>
      <c r="S863" s="27" t="n"/>
      <c r="T863" s="27" t="n"/>
      <c r="U863" s="18" t="n"/>
      <c r="V863" s="18" t="n"/>
      <c r="W863" s="222" t="n">
        <v>2024</v>
      </c>
      <c r="X863" s="190" t="n"/>
      <c r="AB863" s="203" t="n">
        <f aca="false" ca="true" dt2D="false" dtr="false" t="normal">SUBTOTAL(9, AC863:AQ863)</f>
        <v>4022692.46</v>
      </c>
      <c r="AC863" s="17" t="n"/>
      <c r="AD863" s="17" t="n"/>
      <c r="AE863" s="17" t="n"/>
      <c r="AF863" s="17" t="n"/>
      <c r="AG863" s="17" t="n"/>
      <c r="AH863" s="17" t="n"/>
      <c r="AI863" s="17" t="n"/>
      <c r="AJ863" s="17" t="n"/>
      <c r="AK863" s="17" t="n"/>
      <c r="AL863" s="17" t="n"/>
      <c r="AM863" s="18" t="n">
        <v>4022692.46</v>
      </c>
      <c r="AN863" s="17" t="n"/>
      <c r="AO863" s="17" t="n"/>
      <c r="AP863" s="17" t="n"/>
      <c r="AQ863" s="188" t="n"/>
    </row>
    <row outlineLevel="0" r="864">
      <c r="A864" s="5" t="n">
        <f aca="false" ca="false" dt2D="false" dtr="false" t="normal">A863+1</f>
        <v>837</v>
      </c>
      <c r="B864" s="6" t="n">
        <f aca="false" ca="false" dt2D="false" dtr="false" t="normal">+B863+1</f>
        <v>326</v>
      </c>
      <c r="C864" s="6" t="s">
        <v>177</v>
      </c>
      <c r="D864" s="6" t="s">
        <v>740</v>
      </c>
      <c r="E864" s="220" t="n">
        <v>1972</v>
      </c>
      <c r="F864" s="220" t="n">
        <v>1972</v>
      </c>
      <c r="G864" s="220" t="s">
        <v>4</v>
      </c>
      <c r="H864" s="220" t="n">
        <v>5</v>
      </c>
      <c r="I864" s="220" t="n">
        <v>4</v>
      </c>
      <c r="J864" s="17" t="n">
        <v>3135.5</v>
      </c>
      <c r="K864" s="17" t="n">
        <v>2483.8</v>
      </c>
      <c r="L864" s="17" t="n">
        <v>651.7</v>
      </c>
      <c r="M864" s="140" t="n">
        <v>95</v>
      </c>
      <c r="N864" s="16" t="n">
        <f aca="false" ca="false" dt2D="false" dtr="false" t="normal">P864+Q864+R864+S864+T864</f>
        <v>4484607.81</v>
      </c>
      <c r="O864" s="18" t="n"/>
      <c r="P864" s="18" t="n"/>
      <c r="Q864" s="18" t="n">
        <v>4484607.81</v>
      </c>
      <c r="R864" s="27" t="n"/>
      <c r="S864" s="27" t="n"/>
      <c r="T864" s="27" t="n"/>
      <c r="U864" s="18" t="n"/>
      <c r="V864" s="18" t="n"/>
      <c r="W864" s="222" t="n">
        <v>2024</v>
      </c>
      <c r="X864" s="190" t="n"/>
      <c r="AB864" s="203" t="n">
        <f aca="false" ca="true" dt2D="false" dtr="false" t="normal">SUBTOTAL(9, AC864:AQ864)</f>
        <v>4484607.81</v>
      </c>
      <c r="AC864" s="17" t="n"/>
      <c r="AD864" s="17" t="n"/>
      <c r="AE864" s="17" t="n"/>
      <c r="AF864" s="17" t="n"/>
      <c r="AG864" s="17" t="n"/>
      <c r="AH864" s="17" t="n"/>
      <c r="AI864" s="17" t="n"/>
      <c r="AJ864" s="17" t="n"/>
      <c r="AK864" s="17" t="n"/>
      <c r="AL864" s="17" t="n"/>
      <c r="AM864" s="18" t="n">
        <v>4484607.81</v>
      </c>
      <c r="AN864" s="17" t="n"/>
      <c r="AO864" s="17" t="n"/>
      <c r="AP864" s="17" t="n"/>
      <c r="AQ864" s="188" t="n"/>
    </row>
    <row outlineLevel="0" r="865">
      <c r="A865" s="5" t="n">
        <f aca="false" ca="false" dt2D="false" dtr="false" t="normal">A864+1</f>
        <v>838</v>
      </c>
      <c r="B865" s="6" t="n">
        <f aca="false" ca="false" dt2D="false" dtr="false" t="normal">+B864+1</f>
        <v>327</v>
      </c>
      <c r="C865" s="6" t="s">
        <v>177</v>
      </c>
      <c r="D865" s="6" t="s">
        <v>742</v>
      </c>
      <c r="E865" s="220" t="n">
        <v>1999</v>
      </c>
      <c r="F865" s="220" t="n">
        <v>1999</v>
      </c>
      <c r="G865" s="220" t="s">
        <v>4</v>
      </c>
      <c r="H865" s="220" t="n">
        <v>5</v>
      </c>
      <c r="I865" s="220" t="n">
        <v>1</v>
      </c>
      <c r="J865" s="17" t="n">
        <v>1935.9</v>
      </c>
      <c r="K865" s="17" t="n">
        <v>1434.9</v>
      </c>
      <c r="L865" s="17" t="n">
        <v>373.6</v>
      </c>
      <c r="M865" s="140" t="n">
        <v>50</v>
      </c>
      <c r="N865" s="16" t="n">
        <f aca="false" ca="false" dt2D="false" dtr="false" t="normal">P865+Q865+R865+S865+T865</f>
        <v>3409403.7</v>
      </c>
      <c r="O865" s="18" t="n"/>
      <c r="P865" s="18" t="n"/>
      <c r="Q865" s="18" t="n">
        <v>3409403.7</v>
      </c>
      <c r="R865" s="27" t="n"/>
      <c r="S865" s="27" t="n"/>
      <c r="T865" s="27" t="n"/>
      <c r="U865" s="18" t="n"/>
      <c r="V865" s="18" t="n"/>
      <c r="W865" s="222" t="n">
        <v>2024</v>
      </c>
      <c r="X865" s="190" t="n"/>
      <c r="AB865" s="203" t="n">
        <f aca="false" ca="true" dt2D="false" dtr="false" t="normal">SUBTOTAL(9, AC865:AQ865)</f>
        <v>3409403.7</v>
      </c>
      <c r="AC865" s="17" t="n"/>
      <c r="AD865" s="17" t="n"/>
      <c r="AE865" s="17" t="n"/>
      <c r="AF865" s="17" t="n"/>
      <c r="AG865" s="17" t="n"/>
      <c r="AH865" s="17" t="n"/>
      <c r="AI865" s="17" t="n"/>
      <c r="AJ865" s="17" t="n"/>
      <c r="AK865" s="17" t="n"/>
      <c r="AL865" s="17" t="n"/>
      <c r="AM865" s="18" t="n">
        <v>3409403.7</v>
      </c>
      <c r="AN865" s="17" t="n"/>
      <c r="AO865" s="17" t="n"/>
      <c r="AP865" s="17" t="n"/>
      <c r="AQ865" s="188" t="n"/>
    </row>
    <row outlineLevel="0" r="866">
      <c r="A866" s="5" t="n">
        <f aca="false" ca="false" dt2D="false" dtr="false" t="normal">A865+1</f>
        <v>839</v>
      </c>
      <c r="B866" s="6" t="s">
        <v>76</v>
      </c>
      <c r="C866" s="6" t="s">
        <v>177</v>
      </c>
      <c r="D866" s="6" t="s">
        <v>277</v>
      </c>
      <c r="E866" s="220" t="n">
        <v>1963</v>
      </c>
      <c r="F866" s="220" t="n">
        <v>1963</v>
      </c>
      <c r="G866" s="220" t="s">
        <v>4</v>
      </c>
      <c r="H866" s="220" t="n">
        <v>4</v>
      </c>
      <c r="I866" s="220" t="n">
        <v>2</v>
      </c>
      <c r="J866" s="17" t="n">
        <v>1240.4</v>
      </c>
      <c r="K866" s="17" t="n">
        <v>1075.8</v>
      </c>
      <c r="L866" s="17" t="n">
        <v>111.9</v>
      </c>
      <c r="M866" s="140" t="n">
        <v>70</v>
      </c>
      <c r="N866" s="16" t="n">
        <f aca="false" ca="false" dt2D="false" dtr="false" t="normal">P866+Q866+R866+S866+T866</f>
        <v>2705460.56</v>
      </c>
      <c r="O866" s="18" t="n"/>
      <c r="P866" s="18" t="n"/>
      <c r="Q866" s="18" t="n">
        <v>2705460.56</v>
      </c>
      <c r="R866" s="27" t="n"/>
      <c r="S866" s="27" t="n"/>
      <c r="T866" s="27" t="n"/>
      <c r="U866" s="18" t="n"/>
      <c r="V866" s="18" t="n"/>
      <c r="W866" s="222" t="n">
        <v>2024</v>
      </c>
      <c r="X866" s="190" t="n"/>
      <c r="AB866" s="203" t="n">
        <f aca="false" ca="true" dt2D="false" dtr="false" t="normal">SUBTOTAL(9, AC866:AQ866)</f>
        <v>2705460.56</v>
      </c>
      <c r="AC866" s="17" t="n"/>
      <c r="AD866" s="17" t="n"/>
      <c r="AE866" s="17" t="n"/>
      <c r="AF866" s="17" t="n"/>
      <c r="AG866" s="17" t="n"/>
      <c r="AH866" s="17" t="n"/>
      <c r="AI866" s="17" t="n"/>
      <c r="AJ866" s="17" t="n"/>
      <c r="AK866" s="17" t="n"/>
      <c r="AL866" s="17" t="n"/>
      <c r="AM866" s="18" t="n">
        <v>2705460.56</v>
      </c>
      <c r="AN866" s="17" t="n"/>
      <c r="AO866" s="17" t="n"/>
      <c r="AP866" s="17" t="n"/>
      <c r="AQ866" s="188" t="n"/>
    </row>
    <row outlineLevel="0" r="867">
      <c r="A867" s="5" t="n">
        <f aca="false" ca="false" dt2D="false" dtr="false" t="normal">A866+1</f>
        <v>840</v>
      </c>
      <c r="B867" s="6" t="n">
        <f aca="false" ca="false" dt2D="false" dtr="false" t="normal">+B865+1</f>
        <v>328</v>
      </c>
      <c r="C867" s="6" t="s">
        <v>177</v>
      </c>
      <c r="D867" s="6" t="s">
        <v>285</v>
      </c>
      <c r="E867" s="220" t="s">
        <v>181</v>
      </c>
      <c r="F867" s="220" t="n">
        <v>2023</v>
      </c>
      <c r="G867" s="220" t="s">
        <v>4</v>
      </c>
      <c r="H867" s="220" t="n">
        <v>5</v>
      </c>
      <c r="I867" s="220" t="n">
        <v>3</v>
      </c>
      <c r="J867" s="17" t="n">
        <v>5170.7</v>
      </c>
      <c r="K867" s="17" t="n">
        <v>2871.7</v>
      </c>
      <c r="L867" s="17" t="n">
        <v>2299</v>
      </c>
      <c r="M867" s="140" t="n">
        <v>334</v>
      </c>
      <c r="N867" s="16" t="n">
        <f aca="false" ca="false" dt2D="false" dtr="false" t="normal">P867+Q867+R867+S867+T867</f>
        <v>8012938.62</v>
      </c>
      <c r="O867" s="18" t="n"/>
      <c r="P867" s="18" t="n"/>
      <c r="Q867" s="18" t="n">
        <v>8012938.62</v>
      </c>
      <c r="R867" s="27" t="n"/>
      <c r="S867" s="27" t="n"/>
      <c r="T867" s="27" t="n"/>
      <c r="U867" s="18" t="n"/>
      <c r="V867" s="18" t="n"/>
      <c r="W867" s="222" t="n">
        <v>2024</v>
      </c>
      <c r="X867" s="190" t="n"/>
      <c r="AB867" s="203" t="n">
        <f aca="false" ca="true" dt2D="false" dtr="false" t="normal">SUBTOTAL(9, AC867:AQ867)</f>
        <v>8012938.62</v>
      </c>
      <c r="AC867" s="17" t="n"/>
      <c r="AD867" s="17" t="n"/>
      <c r="AE867" s="17" t="n"/>
      <c r="AF867" s="17" t="n"/>
      <c r="AG867" s="17" t="n"/>
      <c r="AH867" s="17" t="n"/>
      <c r="AI867" s="17" t="n"/>
      <c r="AJ867" s="17" t="n"/>
      <c r="AK867" s="17" t="n"/>
      <c r="AL867" s="17" t="n"/>
      <c r="AM867" s="18" t="n">
        <v>8012938.62</v>
      </c>
      <c r="AN867" s="17" t="n"/>
      <c r="AO867" s="17" t="n"/>
      <c r="AP867" s="17" t="n"/>
      <c r="AQ867" s="188" t="n"/>
    </row>
    <row outlineLevel="0" r="868">
      <c r="A868" s="5" t="n">
        <f aca="false" ca="false" dt2D="false" dtr="false" t="normal">A867+1</f>
        <v>841</v>
      </c>
      <c r="B868" s="6" t="n">
        <f aca="false" ca="false" dt2D="false" dtr="false" t="normal">+B867+1</f>
        <v>329</v>
      </c>
      <c r="C868" s="6" t="s">
        <v>177</v>
      </c>
      <c r="D868" s="6" t="s">
        <v>739</v>
      </c>
      <c r="E868" s="220" t="n">
        <v>1980</v>
      </c>
      <c r="F868" s="220" t="n">
        <v>1980</v>
      </c>
      <c r="G868" s="220" t="s">
        <v>4</v>
      </c>
      <c r="H868" s="220" t="n">
        <v>4</v>
      </c>
      <c r="I868" s="220" t="n">
        <v>6</v>
      </c>
      <c r="J868" s="17" t="n">
        <v>5816.9</v>
      </c>
      <c r="K868" s="17" t="n">
        <v>5011.5</v>
      </c>
      <c r="L868" s="17" t="n">
        <v>0</v>
      </c>
      <c r="M868" s="140" t="n">
        <v>221</v>
      </c>
      <c r="N868" s="16" t="n">
        <f aca="false" ca="false" dt2D="false" dtr="false" t="normal">P868+Q868+R868+S868+T868</f>
        <v>4123351.24</v>
      </c>
      <c r="O868" s="18" t="n"/>
      <c r="P868" s="18" t="n"/>
      <c r="Q868" s="18" t="n">
        <v>4123351.24</v>
      </c>
      <c r="R868" s="27" t="n"/>
      <c r="S868" s="27" t="n"/>
      <c r="T868" s="27" t="n"/>
      <c r="U868" s="18" t="n"/>
      <c r="V868" s="18" t="n"/>
      <c r="W868" s="222" t="n">
        <v>2024</v>
      </c>
      <c r="X868" s="190" t="n"/>
      <c r="AB868" s="203" t="n">
        <f aca="false" ca="true" dt2D="false" dtr="false" t="normal">SUBTOTAL(9, AC868:AQ868)</f>
        <v>4123351.24</v>
      </c>
      <c r="AC868" s="17" t="n"/>
      <c r="AD868" s="17" t="n"/>
      <c r="AE868" s="17" t="n"/>
      <c r="AF868" s="17" t="n"/>
      <c r="AG868" s="17" t="n"/>
      <c r="AH868" s="17" t="n"/>
      <c r="AI868" s="17" t="n"/>
      <c r="AJ868" s="17" t="n"/>
      <c r="AK868" s="17" t="n"/>
      <c r="AL868" s="17" t="n"/>
      <c r="AM868" s="18" t="n">
        <v>4123351.24</v>
      </c>
      <c r="AN868" s="17" t="n"/>
      <c r="AO868" s="17" t="n"/>
      <c r="AP868" s="17" t="n"/>
      <c r="AQ868" s="188" t="n"/>
    </row>
    <row outlineLevel="0" r="869">
      <c r="A869" s="5" t="n">
        <f aca="false" ca="false" dt2D="false" dtr="false" t="normal">A868+1</f>
        <v>842</v>
      </c>
      <c r="B869" s="6" t="n">
        <f aca="false" ca="false" dt2D="false" dtr="false" t="normal">+B868+1</f>
        <v>330</v>
      </c>
      <c r="C869" s="6" t="s">
        <v>177</v>
      </c>
      <c r="D869" s="6" t="s">
        <v>741</v>
      </c>
      <c r="E869" s="220" t="n">
        <v>1993</v>
      </c>
      <c r="F869" s="220" t="n">
        <v>1993</v>
      </c>
      <c r="G869" s="220" t="s">
        <v>4</v>
      </c>
      <c r="H869" s="220" t="n">
        <v>3</v>
      </c>
      <c r="I869" s="220" t="n">
        <v>3</v>
      </c>
      <c r="J869" s="17" t="n">
        <v>2561.5</v>
      </c>
      <c r="K869" s="17" t="n">
        <v>2407.1</v>
      </c>
      <c r="L869" s="17" t="n">
        <v>0</v>
      </c>
      <c r="M869" s="140" t="n">
        <v>130</v>
      </c>
      <c r="N869" s="16" t="n">
        <f aca="false" ca="false" dt2D="false" dtr="false" t="normal">P869+Q869+R869+S869+T869</f>
        <v>6306560.56</v>
      </c>
      <c r="O869" s="18" t="n"/>
      <c r="P869" s="18" t="n"/>
      <c r="Q869" s="18" t="n">
        <v>6306560.56</v>
      </c>
      <c r="R869" s="27" t="n"/>
      <c r="S869" s="27" t="n"/>
      <c r="T869" s="27" t="n"/>
      <c r="U869" s="18" t="n"/>
      <c r="V869" s="18" t="n"/>
      <c r="W869" s="222" t="n">
        <v>2024</v>
      </c>
      <c r="X869" s="190" t="n"/>
      <c r="AB869" s="203" t="n">
        <f aca="false" ca="true" dt2D="false" dtr="false" t="normal">SUBTOTAL(9, AC869:AQ869)</f>
        <v>6306560.56</v>
      </c>
      <c r="AC869" s="17" t="n"/>
      <c r="AD869" s="17" t="n"/>
      <c r="AE869" s="17" t="n"/>
      <c r="AF869" s="17" t="n"/>
      <c r="AG869" s="17" t="n"/>
      <c r="AH869" s="17" t="n"/>
      <c r="AI869" s="17" t="n"/>
      <c r="AJ869" s="17" t="n"/>
      <c r="AK869" s="17" t="n"/>
      <c r="AL869" s="17" t="n"/>
      <c r="AM869" s="18" t="n">
        <v>6306560.56</v>
      </c>
      <c r="AN869" s="17" t="n"/>
      <c r="AO869" s="17" t="n"/>
      <c r="AP869" s="17" t="n"/>
      <c r="AQ869" s="188" t="n"/>
    </row>
    <row outlineLevel="0" r="870">
      <c r="A870" s="5" t="n">
        <f aca="false" ca="false" dt2D="false" dtr="false" t="normal">A869+1</f>
        <v>843</v>
      </c>
      <c r="B870" s="6" t="n">
        <f aca="false" ca="false" dt2D="false" dtr="false" t="normal">+B869+1</f>
        <v>331</v>
      </c>
      <c r="C870" s="6" t="s">
        <v>177</v>
      </c>
      <c r="D870" s="6" t="s">
        <v>743</v>
      </c>
      <c r="E870" s="220" t="n">
        <v>1996</v>
      </c>
      <c r="F870" s="220" t="n">
        <v>1996</v>
      </c>
      <c r="G870" s="220" t="s">
        <v>4</v>
      </c>
      <c r="H870" s="220" t="n">
        <v>2</v>
      </c>
      <c r="I870" s="220" t="n">
        <v>3</v>
      </c>
      <c r="J870" s="17" t="n">
        <v>1766.8</v>
      </c>
      <c r="K870" s="17" t="n">
        <v>1461.5</v>
      </c>
      <c r="L870" s="17" t="n">
        <v>0</v>
      </c>
      <c r="M870" s="140" t="n">
        <v>66</v>
      </c>
      <c r="N870" s="16" t="n">
        <f aca="false" ca="false" dt2D="false" dtr="false" t="normal">P870+Q870+R870+S870+T870</f>
        <v>2496013.47</v>
      </c>
      <c r="O870" s="18" t="n"/>
      <c r="P870" s="18" t="n"/>
      <c r="Q870" s="18" t="n">
        <v>2496013.47</v>
      </c>
      <c r="R870" s="27" t="n"/>
      <c r="S870" s="27" t="n"/>
      <c r="T870" s="27" t="n"/>
      <c r="U870" s="18" t="n"/>
      <c r="V870" s="18" t="n"/>
      <c r="W870" s="222" t="n">
        <v>2024</v>
      </c>
      <c r="X870" s="190" t="n"/>
      <c r="AB870" s="203" t="n">
        <f aca="false" ca="true" dt2D="false" dtr="false" t="normal">SUBTOTAL(9, AC870:AQ870)</f>
        <v>2496013.47</v>
      </c>
      <c r="AC870" s="17" t="n"/>
      <c r="AD870" s="17" t="n"/>
      <c r="AE870" s="17" t="n"/>
      <c r="AF870" s="17" t="n"/>
      <c r="AG870" s="17" t="n"/>
      <c r="AH870" s="17" t="n"/>
      <c r="AI870" s="17" t="n"/>
      <c r="AJ870" s="17" t="n"/>
      <c r="AK870" s="17" t="n"/>
      <c r="AL870" s="17" t="n"/>
      <c r="AM870" s="18" t="n">
        <v>2496013.47</v>
      </c>
      <c r="AN870" s="17" t="n"/>
      <c r="AO870" s="17" t="n"/>
      <c r="AP870" s="17" t="n"/>
      <c r="AQ870" s="188" t="n"/>
    </row>
    <row outlineLevel="0" r="871">
      <c r="A871" s="262" t="n">
        <f aca="false" ca="false" dt2D="false" dtr="false" t="normal">A870+1</f>
        <v>844</v>
      </c>
      <c r="B871" s="263" t="n">
        <f aca="false" ca="false" dt2D="false" dtr="false" t="normal">+B870+1</f>
        <v>332</v>
      </c>
      <c r="C871" s="263" t="s">
        <v>177</v>
      </c>
      <c r="D871" s="263" t="s">
        <v>744</v>
      </c>
      <c r="E871" s="264" t="n">
        <v>1994</v>
      </c>
      <c r="F871" s="264" t="n">
        <v>1994</v>
      </c>
      <c r="G871" s="264" t="s">
        <v>4</v>
      </c>
      <c r="H871" s="264" t="n">
        <v>2</v>
      </c>
      <c r="I871" s="264" t="n">
        <v>4</v>
      </c>
      <c r="J871" s="265" t="n">
        <v>2338.3</v>
      </c>
      <c r="K871" s="265" t="n">
        <v>1936</v>
      </c>
      <c r="L871" s="265" t="n">
        <v>0</v>
      </c>
      <c r="M871" s="266" t="n">
        <v>66</v>
      </c>
      <c r="N871" s="16" t="n">
        <f aca="false" ca="false" dt2D="false" dtr="false" t="normal">P871+Q871+R871+S871+T871</f>
        <v>2568054.24</v>
      </c>
      <c r="O871" s="267" t="n"/>
      <c r="P871" s="267" t="n"/>
      <c r="Q871" s="267" t="n">
        <v>2568054.24</v>
      </c>
      <c r="R871" s="268" t="n"/>
      <c r="S871" s="268" t="n"/>
      <c r="T871" s="268" t="n"/>
      <c r="U871" s="267" t="n"/>
      <c r="V871" s="269" t="n"/>
      <c r="W871" s="270" t="n">
        <v>2024</v>
      </c>
      <c r="X871" s="190" t="n"/>
      <c r="AB871" s="268" t="n">
        <f aca="false" ca="true" dt2D="false" dtr="false" t="normal">SUBTOTAL(9, AC871:AQ871)</f>
        <v>2568054.24</v>
      </c>
      <c r="AC871" s="265" t="n"/>
      <c r="AD871" s="265" t="n"/>
      <c r="AE871" s="265" t="n"/>
      <c r="AF871" s="265" t="n"/>
      <c r="AG871" s="265" t="n"/>
      <c r="AH871" s="265" t="n"/>
      <c r="AI871" s="265" t="n"/>
      <c r="AJ871" s="265" t="n"/>
      <c r="AK871" s="265" t="n"/>
      <c r="AL871" s="265" t="n"/>
      <c r="AM871" s="267" t="n">
        <v>2568054.24</v>
      </c>
      <c r="AN871" s="265" t="n"/>
      <c r="AO871" s="265" t="n"/>
      <c r="AP871" s="265" t="n"/>
      <c r="AQ871" s="271" t="n"/>
    </row>
    <row outlineLevel="0" r="872">
      <c r="AM872" s="1" t="n">
        <v>2517148.31</v>
      </c>
    </row>
    <row outlineLevel="0" r="873">
      <c r="B873" s="272" t="n"/>
      <c r="E873" s="272" t="n"/>
      <c r="R873" s="3" t="n"/>
      <c r="S873" s="3" t="n"/>
      <c r="T873" s="3" t="n"/>
    </row>
    <row outlineLevel="0" r="874">
      <c r="E874" s="1" t="n"/>
    </row>
    <row outlineLevel="0" r="875">
      <c r="E875" s="1" t="n"/>
      <c r="W875" s="273" t="n"/>
    </row>
    <row outlineLevel="0" r="876">
      <c r="B876" s="274" t="n"/>
      <c r="R876" s="3" t="n"/>
      <c r="W876" s="273" t="n"/>
    </row>
    <row outlineLevel="0" r="877">
      <c r="C877" s="272" t="s">
        <v>745</v>
      </c>
      <c r="R877" s="3" t="n"/>
      <c r="S877" s="3" t="n"/>
      <c r="T877" s="3" t="n"/>
    </row>
    <row outlineLevel="0" r="878">
      <c r="C878" s="272" t="s">
        <v>746</v>
      </c>
      <c r="D878" s="272" t="n"/>
      <c r="P878" s="275" t="n"/>
      <c r="R878" s="3" t="n"/>
      <c r="S878" s="3" t="n"/>
      <c r="T878" s="3" t="n"/>
    </row>
    <row outlineLevel="0" r="879">
      <c r="C879" s="274" t="s">
        <v>713</v>
      </c>
      <c r="D879" s="276" t="s">
        <v>571</v>
      </c>
      <c r="S879" s="3" t="n"/>
      <c r="T879" s="3" t="n"/>
    </row>
    <row outlineLevel="0" r="880">
      <c r="C880" s="274" t="s">
        <v>713</v>
      </c>
      <c r="D880" s="276" t="s">
        <v>458</v>
      </c>
      <c r="P880" s="12" t="n"/>
      <c r="R880" s="3" t="n"/>
      <c r="S880" s="12" t="n"/>
      <c r="T880" s="12" t="n"/>
    </row>
    <row outlineLevel="0" r="881">
      <c r="S881" s="3" t="n"/>
      <c r="T881" s="3" t="n"/>
    </row>
  </sheetData>
  <autoFilter ref="A12:Z875"/>
  <mergeCells count="33">
    <mergeCell ref="AQ10:AQ11"/>
    <mergeCell ref="AP10:AP11"/>
    <mergeCell ref="AO10:AO11"/>
    <mergeCell ref="AN10:AN11"/>
    <mergeCell ref="AM10:AM11"/>
    <mergeCell ref="AL10:AL11"/>
    <mergeCell ref="AK10:AK11"/>
    <mergeCell ref="AJ10:AJ11"/>
    <mergeCell ref="AC10:AI10"/>
    <mergeCell ref="A6:W6"/>
    <mergeCell ref="K9:L9"/>
    <mergeCell ref="N9:T9"/>
    <mergeCell ref="O10:T10"/>
    <mergeCell ref="E9:F9"/>
    <mergeCell ref="C845:D845"/>
    <mergeCell ref="A9:A12"/>
    <mergeCell ref="B9:B12"/>
    <mergeCell ref="E10:E12"/>
    <mergeCell ref="C9:C12"/>
    <mergeCell ref="D9:D12"/>
    <mergeCell ref="W9:W12"/>
    <mergeCell ref="V9:V11"/>
    <mergeCell ref="U9:U11"/>
    <mergeCell ref="M9:M11"/>
    <mergeCell ref="N10:N11"/>
    <mergeCell ref="L10:L11"/>
    <mergeCell ref="K10:K11"/>
    <mergeCell ref="AB9:AB11"/>
    <mergeCell ref="J9:J11"/>
    <mergeCell ref="I9:I12"/>
    <mergeCell ref="H9:H12"/>
    <mergeCell ref="G9:G12"/>
    <mergeCell ref="F10:F12"/>
  </mergeCells>
  <conditionalFormatting pivot="false" sqref="D459 D669 D748:D749 D769:D772">
    <cfRule aboveAverage="true" bottom="false" dxfId="0" equalAverage="false" percent="false" priority="131" stopIfTrue="false" type="duplicateValues"/>
  </conditionalFormatting>
  <conditionalFormatting pivot="false" sqref="D27 D69 D112 D177 D216 D273 D289:D290 D325 D335 D338 D355:D356 D367:D368 D389 D403 D445 D460 D467 D489:D490 D518 D531 D549 D553 D556 D658:D659 D666:D668 D681 D747 D753 D775 D777 D784 D786 D788 D791 D795 D827 D839">
    <cfRule aboveAverage="true" bottom="false" dxfId="0" equalAverage="false" percent="false" priority="130" stopIfTrue="false" type="duplicateValues"/>
  </conditionalFormatting>
  <conditionalFormatting pivot="false" sqref="D671 D773:D774 D776">
    <cfRule aboveAverage="true" bottom="false" dxfId="0" equalAverage="false" percent="false" priority="129" stopIfTrue="false" type="duplicateValues"/>
  </conditionalFormatting>
  <conditionalFormatting pivot="false" sqref="D372">
    <cfRule aboveAverage="true" bottom="false" dxfId="0" equalAverage="false" percent="false" priority="128" stopIfTrue="false" type="duplicateValues"/>
  </conditionalFormatting>
  <conditionalFormatting pivot="false" sqref="D344 D347">
    <cfRule aboveAverage="true" bottom="false" dxfId="0" equalAverage="false" percent="false" priority="127" stopIfTrue="false" type="duplicateValues"/>
  </conditionalFormatting>
  <conditionalFormatting pivot="false" sqref="D374 D478">
    <cfRule aboveAverage="true" bottom="false" dxfId="0" equalAverage="false" percent="false" priority="126" stopIfTrue="false" type="duplicateValues"/>
  </conditionalFormatting>
  <conditionalFormatting pivot="false" sqref="D469:D470">
    <cfRule aboveAverage="true" bottom="false" dxfId="0" equalAverage="false" percent="false" priority="125" stopIfTrue="false" type="duplicateValues"/>
  </conditionalFormatting>
  <conditionalFormatting pivot="false" sqref="D346">
    <cfRule aboveAverage="true" bottom="false" dxfId="0" equalAverage="false" percent="false" priority="124" stopIfTrue="false" type="duplicateValues"/>
  </conditionalFormatting>
  <conditionalFormatting pivot="false" sqref="D343">
    <cfRule aboveAverage="true" bottom="false" dxfId="0" equalAverage="false" percent="false" priority="123" stopIfTrue="false" type="duplicateValues"/>
  </conditionalFormatting>
  <conditionalFormatting pivot="false" sqref="D512">
    <cfRule aboveAverage="true" bottom="false" dxfId="0" equalAverage="false" percent="false" priority="122" stopIfTrue="false" type="duplicateValues"/>
  </conditionalFormatting>
  <conditionalFormatting pivot="false" sqref="D18:D25 D28:D48 D50:D51 D53:D54 D56:D57 D59 D61:D65 D67:D68 D70:D74 D77 D80:D94 D96 D98:D105 D107:D108 D110 D113:D114 D117:D121 D123:D126 D128:D129 D132:D135 D137 D139 D145:D153 D155:D162 D164:D167 D170 D172 D176 D180:D191 D193:D202 D218 D454">
    <cfRule aboveAverage="true" bottom="false" dxfId="0" equalAverage="false" percent="false" priority="121" stopIfTrue="false" type="duplicateValues"/>
  </conditionalFormatting>
  <conditionalFormatting pivot="false" sqref="D404">
    <cfRule aboveAverage="true" bottom="false" dxfId="0" equalAverage="false" percent="false" priority="120" stopIfTrue="false" type="duplicateValues"/>
  </conditionalFormatting>
  <conditionalFormatting pivot="false" sqref="D517">
    <cfRule aboveAverage="true" bottom="false" dxfId="0" equalAverage="false" percent="false" priority="119" stopIfTrue="false" type="duplicateValues"/>
  </conditionalFormatting>
  <conditionalFormatting pivot="false" sqref="D243">
    <cfRule aboveAverage="true" bottom="false" dxfId="0" equalAverage="false" percent="false" priority="118" stopIfTrue="false" type="duplicateValues"/>
  </conditionalFormatting>
  <conditionalFormatting pivot="false" sqref="D602">
    <cfRule aboveAverage="true" bottom="false" dxfId="0" equalAverage="false" percent="false" priority="117" stopIfTrue="false" type="duplicateValues"/>
  </conditionalFormatting>
  <conditionalFormatting pivot="false" sqref="D779">
    <cfRule aboveAverage="true" bottom="false" dxfId="0" equalAverage="false" percent="false" priority="116" stopIfTrue="false" type="duplicateValues"/>
  </conditionalFormatting>
  <conditionalFormatting pivot="false" sqref="D676">
    <cfRule aboveAverage="true" bottom="false" dxfId="0" equalAverage="false" percent="false" priority="115" stopIfTrue="false" type="duplicateValues"/>
  </conditionalFormatting>
  <conditionalFormatting pivot="false" sqref="D417">
    <cfRule aboveAverage="true" bottom="false" dxfId="0" equalAverage="false" percent="false" priority="114" stopIfTrue="false" type="duplicateValues"/>
  </conditionalFormatting>
  <conditionalFormatting pivot="false" sqref="D283">
    <cfRule aboveAverage="true" bottom="false" dxfId="0" equalAverage="false" percent="false" priority="113" stopIfTrue="false" type="duplicateValues"/>
  </conditionalFormatting>
  <conditionalFormatting pivot="false" sqref="D693">
    <cfRule aboveAverage="true" bottom="false" dxfId="0" equalAverage="false" percent="false" priority="112" stopIfTrue="false" type="duplicateValues"/>
  </conditionalFormatting>
  <conditionalFormatting pivot="false" sqref="D694">
    <cfRule aboveAverage="true" bottom="false" dxfId="0" equalAverage="false" percent="false" priority="111" stopIfTrue="false" type="duplicateValues"/>
  </conditionalFormatting>
  <conditionalFormatting pivot="false" sqref="D690">
    <cfRule aboveAverage="true" bottom="false" dxfId="0" equalAverage="false" percent="false" priority="110" stopIfTrue="false" type="duplicateValues"/>
  </conditionalFormatting>
  <conditionalFormatting pivot="false" sqref="D837">
    <cfRule aboveAverage="true" bottom="false" dxfId="0" equalAverage="false" percent="false" priority="109" stopIfTrue="false" type="duplicateValues"/>
  </conditionalFormatting>
  <conditionalFormatting pivot="false" sqref="D838">
    <cfRule aboveAverage="true" bottom="false" dxfId="0" equalAverage="false" percent="false" priority="108" stopIfTrue="false" type="duplicateValues"/>
  </conditionalFormatting>
  <conditionalFormatting pivot="false" sqref="D375">
    <cfRule aboveAverage="true" bottom="false" dxfId="0" equalAverage="false" percent="false" priority="107" stopIfTrue="false" type="duplicateValues"/>
  </conditionalFormatting>
  <conditionalFormatting pivot="false" sqref="D213">
    <cfRule aboveAverage="true" bottom="false" dxfId="0" equalAverage="false" percent="false" priority="106" stopIfTrue="false" type="duplicateValues"/>
  </conditionalFormatting>
  <conditionalFormatting pivot="false" sqref="D231">
    <cfRule aboveAverage="true" bottom="false" dxfId="0" equalAverage="false" percent="false" priority="105" stopIfTrue="false" type="duplicateValues"/>
  </conditionalFormatting>
  <conditionalFormatting pivot="false" sqref="D241">
    <cfRule aboveAverage="true" bottom="false" dxfId="0" equalAverage="false" percent="false" priority="104" stopIfTrue="false" type="duplicateValues"/>
  </conditionalFormatting>
  <conditionalFormatting pivot="false" sqref="D66">
    <cfRule aboveAverage="true" bottom="false" dxfId="0" equalAverage="false" percent="false" priority="103" stopIfTrue="false" type="duplicateValues"/>
  </conditionalFormatting>
  <conditionalFormatting pivot="false" sqref="D106">
    <cfRule aboveAverage="true" bottom="false" dxfId="0" equalAverage="false" percent="false" priority="102" stopIfTrue="false" type="duplicateValues"/>
  </conditionalFormatting>
  <conditionalFormatting pivot="false" sqref="D302">
    <cfRule aboveAverage="true" bottom="false" dxfId="0" equalAverage="false" percent="false" priority="101" stopIfTrue="false" type="duplicateValues"/>
  </conditionalFormatting>
  <conditionalFormatting pivot="false" sqref="D136">
    <cfRule aboveAverage="true" bottom="false" dxfId="0" equalAverage="false" percent="false" priority="100" stopIfTrue="false" type="duplicateValues"/>
  </conditionalFormatting>
  <conditionalFormatting pivot="false" sqref="D138">
    <cfRule aboveAverage="true" bottom="false" dxfId="0" equalAverage="false" percent="false" priority="99" stopIfTrue="false" type="duplicateValues"/>
  </conditionalFormatting>
  <conditionalFormatting pivot="false" sqref="D680">
    <cfRule aboveAverage="true" bottom="false" dxfId="0" equalAverage="false" percent="false" priority="98" stopIfTrue="false" type="duplicateValues"/>
  </conditionalFormatting>
  <conditionalFormatting pivot="false" sqref="D477">
    <cfRule aboveAverage="true" bottom="false" dxfId="0" equalAverage="false" percent="false" priority="97" stopIfTrue="false" type="duplicateValues"/>
  </conditionalFormatting>
  <conditionalFormatting pivot="false" sqref="D369:D371">
    <cfRule aboveAverage="true" bottom="false" dxfId="0" equalAverage="false" percent="false" priority="96" stopIfTrue="false" type="duplicateValues"/>
  </conditionalFormatting>
  <conditionalFormatting pivot="false" sqref="D209">
    <cfRule aboveAverage="true" bottom="false" dxfId="0" equalAverage="false" percent="false" priority="95" stopIfTrue="false" type="duplicateValues"/>
  </conditionalFormatting>
  <conditionalFormatting pivot="false" sqref="D217">
    <cfRule aboveAverage="true" bottom="false" dxfId="0" equalAverage="false" percent="false" priority="94" stopIfTrue="false" type="duplicateValues"/>
  </conditionalFormatting>
  <conditionalFormatting pivot="false" sqref="D710">
    <cfRule aboveAverage="true" bottom="false" dxfId="0" equalAverage="false" percent="false" priority="93" stopIfTrue="false" type="duplicateValues"/>
  </conditionalFormatting>
  <conditionalFormatting pivot="false" sqref="D523">
    <cfRule aboveAverage="true" bottom="false" dxfId="0" equalAverage="false" percent="false" priority="92" stopIfTrue="false" type="duplicateValues"/>
  </conditionalFormatting>
  <conditionalFormatting pivot="false" sqref="D247">
    <cfRule aboveAverage="true" bottom="false" dxfId="0" equalAverage="false" percent="false" priority="91" stopIfTrue="false" type="duplicateValues"/>
  </conditionalFormatting>
  <conditionalFormatting pivot="false" sqref="D563">
    <cfRule aboveAverage="true" bottom="false" dxfId="0" equalAverage="false" percent="false" priority="90" stopIfTrue="false" type="duplicateValues"/>
  </conditionalFormatting>
  <conditionalFormatting pivot="false" sqref="D266">
    <cfRule aboveAverage="true" bottom="false" dxfId="0" equalAverage="false" percent="false" priority="89" stopIfTrue="false" type="duplicateValues"/>
  </conditionalFormatting>
  <conditionalFormatting pivot="false" sqref="D598">
    <cfRule aboveAverage="true" bottom="false" dxfId="0" equalAverage="false" percent="false" priority="88" stopIfTrue="false" type="duplicateValues"/>
  </conditionalFormatting>
  <conditionalFormatting pivot="false" sqref="D308">
    <cfRule aboveAverage="true" bottom="false" dxfId="0" equalAverage="false" percent="false" priority="87" stopIfTrue="false" type="duplicateValues"/>
  </conditionalFormatting>
  <conditionalFormatting pivot="false" sqref="D434">
    <cfRule aboveAverage="true" bottom="false" dxfId="0" equalAverage="false" percent="false" priority="86" stopIfTrue="false" type="duplicateValues"/>
  </conditionalFormatting>
  <conditionalFormatting pivot="false" sqref="D332:D333">
    <cfRule aboveAverage="true" bottom="false" dxfId="0" equalAverage="false" percent="false" priority="85" stopIfTrue="false" type="duplicateValues"/>
  </conditionalFormatting>
  <conditionalFormatting pivot="false" sqref="D354">
    <cfRule aboveAverage="true" bottom="false" dxfId="0" equalAverage="false" percent="false" priority="84" stopIfTrue="false" type="duplicateValues"/>
  </conditionalFormatting>
  <conditionalFormatting pivot="false" sqref="D169">
    <cfRule aboveAverage="true" bottom="false" dxfId="0" equalAverage="false" percent="false" priority="83" stopIfTrue="false" type="duplicateValues"/>
  </conditionalFormatting>
  <conditionalFormatting pivot="false" sqref="D173">
    <cfRule aboveAverage="true" bottom="false" dxfId="0" equalAverage="false" percent="false" priority="82" stopIfTrue="false" type="duplicateValues"/>
  </conditionalFormatting>
  <conditionalFormatting pivot="false" sqref="D245">
    <cfRule aboveAverage="true" bottom="false" dxfId="0" equalAverage="false" percent="false" priority="81" stopIfTrue="false" type="duplicateValues"/>
  </conditionalFormatting>
  <conditionalFormatting pivot="false" sqref="D269">
    <cfRule aboveAverage="true" bottom="false" dxfId="0" equalAverage="false" percent="false" priority="80" stopIfTrue="false" type="duplicateValues"/>
  </conditionalFormatting>
  <conditionalFormatting pivot="false" sqref="D586">
    <cfRule aboveAverage="true" bottom="false" dxfId="0" equalAverage="false" percent="false" priority="79" stopIfTrue="false" type="duplicateValues"/>
  </conditionalFormatting>
  <conditionalFormatting pivot="false" sqref="D282">
    <cfRule aboveAverage="true" bottom="false" dxfId="0" equalAverage="false" percent="false" priority="78" stopIfTrue="false" type="duplicateValues"/>
  </conditionalFormatting>
  <conditionalFormatting pivot="false" sqref="D294">
    <cfRule aboveAverage="true" bottom="false" dxfId="0" equalAverage="false" percent="false" priority="77" stopIfTrue="false" type="duplicateValues"/>
  </conditionalFormatting>
  <conditionalFormatting pivot="false" sqref="D314">
    <cfRule aboveAverage="true" bottom="false" dxfId="0" equalAverage="false" percent="false" priority="76" stopIfTrue="false" type="duplicateValues"/>
  </conditionalFormatting>
  <conditionalFormatting pivot="false" sqref="D453">
    <cfRule aboveAverage="true" bottom="false" dxfId="0" equalAverage="false" percent="false" priority="75" stopIfTrue="false" type="duplicateValues"/>
  </conditionalFormatting>
  <conditionalFormatting pivot="false" sqref="D175">
    <cfRule aboveAverage="true" bottom="false" dxfId="0" equalAverage="false" percent="false" priority="74" stopIfTrue="false" type="duplicateValues"/>
  </conditionalFormatting>
  <conditionalFormatting pivot="false" sqref="D49">
    <cfRule aboveAverage="true" bottom="false" dxfId="0" equalAverage="false" percent="false" priority="73" stopIfTrue="false" type="duplicateValues"/>
  </conditionalFormatting>
  <conditionalFormatting pivot="false" sqref="D242">
    <cfRule aboveAverage="true" bottom="false" dxfId="0" equalAverage="false" percent="false" priority="72" stopIfTrue="false" type="duplicateValues"/>
  </conditionalFormatting>
  <conditionalFormatting pivot="false" sqref="D608">
    <cfRule aboveAverage="true" bottom="false" dxfId="0" equalAverage="false" percent="false" priority="71" stopIfTrue="false" type="duplicateValues"/>
  </conditionalFormatting>
  <conditionalFormatting pivot="false" sqref="D497">
    <cfRule aboveAverage="true" bottom="false" dxfId="0" equalAverage="false" percent="false" priority="70" stopIfTrue="false" type="duplicateValues"/>
  </conditionalFormatting>
  <conditionalFormatting pivot="false" sqref="D840">
    <cfRule aboveAverage="true" bottom="false" dxfId="0" equalAverage="false" percent="false" priority="69" stopIfTrue="false" type="duplicateValues"/>
  </conditionalFormatting>
  <conditionalFormatting pivot="false" sqref="D386">
    <cfRule aboveAverage="true" bottom="false" dxfId="0" equalAverage="false" percent="false" priority="68" stopIfTrue="false" type="duplicateValues"/>
  </conditionalFormatting>
  <conditionalFormatting pivot="false" sqref="D220">
    <cfRule aboveAverage="true" bottom="false" dxfId="0" equalAverage="false" percent="false" priority="67" stopIfTrue="false" type="duplicateValues"/>
  </conditionalFormatting>
  <conditionalFormatting pivot="false" sqref="D221">
    <cfRule aboveAverage="true" bottom="false" dxfId="0" equalAverage="false" percent="false" priority="66" stopIfTrue="false" type="duplicateValues"/>
  </conditionalFormatting>
  <conditionalFormatting pivot="false" sqref="D244">
    <cfRule aboveAverage="true" bottom="false" dxfId="0" equalAverage="false" percent="false" priority="65" stopIfTrue="false" type="duplicateValues"/>
  </conditionalFormatting>
  <conditionalFormatting pivot="false" sqref="D248">
    <cfRule aboveAverage="true" bottom="false" dxfId="0" equalAverage="false" percent="false" priority="64" stopIfTrue="false" type="duplicateValues"/>
  </conditionalFormatting>
  <conditionalFormatting pivot="false" sqref="D279">
    <cfRule aboveAverage="true" bottom="false" dxfId="0" equalAverage="false" percent="false" priority="63" stopIfTrue="false" type="duplicateValues"/>
  </conditionalFormatting>
  <conditionalFormatting pivot="false" sqref="D318:D319">
    <cfRule aboveAverage="true" bottom="false" dxfId="0" equalAverage="false" percent="false" priority="62" stopIfTrue="false" type="duplicateValues"/>
  </conditionalFormatting>
  <conditionalFormatting pivot="false" sqref="D373">
    <cfRule aboveAverage="true" bottom="false" dxfId="0" equalAverage="false" percent="false" priority="61" stopIfTrue="false" type="duplicateValues"/>
  </conditionalFormatting>
  <conditionalFormatting pivot="false" sqref="D171">
    <cfRule aboveAverage="true" bottom="false" dxfId="0" equalAverage="false" percent="false" priority="60" stopIfTrue="false" type="duplicateValues"/>
  </conditionalFormatting>
  <conditionalFormatting pivot="false" sqref="D576">
    <cfRule aboveAverage="true" bottom="false" dxfId="0" equalAverage="false" percent="false" priority="59" stopIfTrue="false" type="duplicateValues"/>
  </conditionalFormatting>
  <conditionalFormatting pivot="false" sqref="D219">
    <cfRule aboveAverage="true" bottom="false" dxfId="0" equalAverage="false" percent="false" priority="58" stopIfTrue="false" type="duplicateValues"/>
  </conditionalFormatting>
  <conditionalFormatting pivot="false" sqref="D613">
    <cfRule aboveAverage="true" bottom="false" dxfId="0" equalAverage="false" percent="false" priority="57" stopIfTrue="false" type="duplicateValues"/>
  </conditionalFormatting>
  <conditionalFormatting pivot="false" sqref="D382">
    <cfRule aboveAverage="true" bottom="false" dxfId="0" equalAverage="false" percent="false" priority="56" stopIfTrue="false" type="duplicateValues"/>
  </conditionalFormatting>
  <conditionalFormatting pivot="false" sqref="D240">
    <cfRule aboveAverage="true" bottom="false" dxfId="0" equalAverage="false" percent="false" priority="55" stopIfTrue="false" type="duplicateValues"/>
  </conditionalFormatting>
  <conditionalFormatting pivot="false" sqref="D419">
    <cfRule aboveAverage="true" bottom="false" dxfId="0" equalAverage="false" percent="false" priority="54" stopIfTrue="false" type="duplicateValues"/>
  </conditionalFormatting>
  <conditionalFormatting pivot="false" sqref="D306">
    <cfRule aboveAverage="true" bottom="false" dxfId="0" equalAverage="false" percent="false" priority="53" stopIfTrue="false" type="duplicateValues"/>
  </conditionalFormatting>
  <conditionalFormatting pivot="false" sqref="D483">
    <cfRule aboveAverage="true" bottom="false" dxfId="0" equalAverage="false" percent="false" priority="52" stopIfTrue="false" type="duplicateValues"/>
  </conditionalFormatting>
  <conditionalFormatting pivot="false" sqref="D535">
    <cfRule aboveAverage="true" bottom="false" dxfId="0" equalAverage="false" percent="false" priority="51" stopIfTrue="false" type="duplicateValues"/>
  </conditionalFormatting>
  <conditionalFormatting pivot="false" sqref="D595">
    <cfRule aboveAverage="true" bottom="false" dxfId="0" equalAverage="false" percent="false" priority="50" stopIfTrue="false" type="duplicateValues"/>
  </conditionalFormatting>
  <conditionalFormatting pivot="false" sqref="D599">
    <cfRule aboveAverage="true" bottom="false" dxfId="0" equalAverage="false" percent="false" priority="49" stopIfTrue="false" type="duplicateValues"/>
  </conditionalFormatting>
  <conditionalFormatting pivot="false" sqref="D636">
    <cfRule aboveAverage="true" bottom="false" dxfId="0" equalAverage="false" percent="false" priority="48" stopIfTrue="false" type="duplicateValues"/>
  </conditionalFormatting>
  <conditionalFormatting pivot="false" sqref="D672">
    <cfRule aboveAverage="true" bottom="false" dxfId="0" equalAverage="false" percent="false" priority="47" stopIfTrue="false" type="duplicateValues"/>
  </conditionalFormatting>
  <conditionalFormatting pivot="false" sqref="D750">
    <cfRule aboveAverage="true" bottom="false" dxfId="0" equalAverage="false" percent="false" priority="46" stopIfTrue="false" type="duplicateValues"/>
  </conditionalFormatting>
  <conditionalFormatting pivot="false" sqref="D660">
    <cfRule aboveAverage="true" bottom="false" dxfId="0" equalAverage="false" percent="false" priority="45" stopIfTrue="false" type="duplicateValues"/>
  </conditionalFormatting>
  <conditionalFormatting pivot="false" sqref="D300">
    <cfRule aboveAverage="true" bottom="false" dxfId="0" equalAverage="false" percent="false" priority="44" stopIfTrue="false" type="duplicateValues"/>
  </conditionalFormatting>
  <conditionalFormatting pivot="false" sqref="D366">
    <cfRule aboveAverage="true" bottom="false" dxfId="0" equalAverage="false" percent="false" priority="43" stopIfTrue="false" type="duplicateValues"/>
  </conditionalFormatting>
  <conditionalFormatting pivot="false" sqref="D487">
    <cfRule aboveAverage="true" bottom="false" dxfId="0" equalAverage="false" percent="false" priority="42" stopIfTrue="false" type="duplicateValues"/>
  </conditionalFormatting>
  <conditionalFormatting pivot="false" sqref="D560">
    <cfRule aboveAverage="true" bottom="false" dxfId="0" equalAverage="false" percent="false" priority="41" stopIfTrue="false" type="duplicateValues"/>
  </conditionalFormatting>
  <conditionalFormatting pivot="false" sqref="D558">
    <cfRule aboveAverage="true" bottom="false" dxfId="0" equalAverage="false" percent="false" priority="40" stopIfTrue="false" type="duplicateValues"/>
  </conditionalFormatting>
  <conditionalFormatting pivot="false" sqref="D561">
    <cfRule aboveAverage="true" bottom="false" dxfId="0" equalAverage="false" percent="false" priority="39" stopIfTrue="false" type="duplicateValues"/>
  </conditionalFormatting>
  <conditionalFormatting pivot="false" sqref="D723">
    <cfRule aboveAverage="true" bottom="false" dxfId="0" equalAverage="false" percent="false" priority="38" stopIfTrue="false" type="duplicateValues"/>
  </conditionalFormatting>
  <conditionalFormatting pivot="false" sqref="D421">
    <cfRule aboveAverage="true" bottom="false" dxfId="0" equalAverage="false" percent="false" priority="37" stopIfTrue="false" type="duplicateValues"/>
  </conditionalFormatting>
  <conditionalFormatting pivot="false" sqref="D631">
    <cfRule aboveAverage="true" bottom="false" dxfId="0" equalAverage="false" percent="false" priority="36" stopIfTrue="false" type="duplicateValues"/>
  </conditionalFormatting>
  <conditionalFormatting pivot="false" sqref="D449">
    <cfRule aboveAverage="true" bottom="false" dxfId="0" equalAverage="false" percent="false" priority="35" stopIfTrue="false" type="duplicateValues"/>
  </conditionalFormatting>
  <conditionalFormatting pivot="false" sqref="D653">
    <cfRule aboveAverage="true" bottom="false" dxfId="0" equalAverage="false" percent="false" priority="34" stopIfTrue="false" type="duplicateValues"/>
  </conditionalFormatting>
  <conditionalFormatting pivot="false" sqref="D466">
    <cfRule aboveAverage="true" bottom="false" dxfId="0" equalAverage="false" percent="false" priority="33" stopIfTrue="false" type="duplicateValues"/>
  </conditionalFormatting>
  <conditionalFormatting pivot="false" sqref="D468">
    <cfRule aboveAverage="true" bottom="false" dxfId="0" equalAverage="false" percent="false" priority="32" stopIfTrue="false" type="duplicateValues"/>
  </conditionalFormatting>
  <conditionalFormatting pivot="false" sqref="D475">
    <cfRule aboveAverage="true" bottom="false" dxfId="0" equalAverage="false" percent="false" priority="31" stopIfTrue="false" type="duplicateValues"/>
  </conditionalFormatting>
  <conditionalFormatting pivot="false" sqref="D682">
    <cfRule aboveAverage="true" bottom="false" dxfId="0" equalAverage="false" percent="false" priority="30" stopIfTrue="false" type="duplicateValues"/>
  </conditionalFormatting>
  <conditionalFormatting pivot="false" sqref="D380">
    <cfRule aboveAverage="true" bottom="false" dxfId="0" equalAverage="false" percent="false" priority="29" stopIfTrue="false" type="duplicateValues"/>
  </conditionalFormatting>
  <conditionalFormatting pivot="false" sqref="D559">
    <cfRule aboveAverage="true" bottom="false" dxfId="0" equalAverage="false" percent="false" priority="28" stopIfTrue="false" type="duplicateValues"/>
  </conditionalFormatting>
  <conditionalFormatting pivot="false" sqref="D725">
    <cfRule aboveAverage="true" bottom="false" dxfId="0" equalAverage="false" percent="false" priority="27" stopIfTrue="false" type="duplicateValues"/>
  </conditionalFormatting>
  <conditionalFormatting pivot="false" sqref="D249">
    <cfRule aboveAverage="true" bottom="false" dxfId="0" equalAverage="false" percent="false" priority="26" stopIfTrue="false" type="duplicateValues"/>
  </conditionalFormatting>
  <conditionalFormatting pivot="false" sqref="D412">
    <cfRule aboveAverage="true" bottom="false" dxfId="0" equalAverage="false" percent="false" priority="25" stopIfTrue="false" type="duplicateValues"/>
  </conditionalFormatting>
  <conditionalFormatting pivot="false" sqref="D423">
    <cfRule aboveAverage="true" bottom="false" dxfId="0" equalAverage="false" percent="false" priority="24" stopIfTrue="false" type="duplicateValues"/>
  </conditionalFormatting>
  <conditionalFormatting pivot="false" sqref="D424">
    <cfRule aboveAverage="true" bottom="false" dxfId="0" equalAverage="false" percent="false" priority="23" stopIfTrue="false" type="duplicateValues"/>
  </conditionalFormatting>
  <conditionalFormatting pivot="false" sqref="D456">
    <cfRule aboveAverage="true" bottom="false" dxfId="0" equalAverage="false" percent="false" priority="22" stopIfTrue="false" type="duplicateValues"/>
  </conditionalFormatting>
  <conditionalFormatting pivot="false" sqref="D465">
    <cfRule aboveAverage="true" bottom="false" dxfId="0" equalAverage="false" percent="false" priority="21" stopIfTrue="false" type="duplicateValues"/>
  </conditionalFormatting>
  <conditionalFormatting pivot="false" sqref="D377">
    <cfRule aboveAverage="true" bottom="false" dxfId="0" equalAverage="false" percent="false" priority="20" stopIfTrue="false" type="duplicateValues"/>
  </conditionalFormatting>
  <conditionalFormatting pivot="false" sqref="D376">
    <cfRule aboveAverage="true" bottom="false" dxfId="0" equalAverage="false" percent="false" priority="19" stopIfTrue="false" type="duplicateValues"/>
  </conditionalFormatting>
  <conditionalFormatting pivot="false" sqref="D562">
    <cfRule aboveAverage="true" bottom="false" dxfId="0" equalAverage="false" percent="false" priority="18" stopIfTrue="false" type="duplicateValues"/>
  </conditionalFormatting>
  <conditionalFormatting pivot="false" sqref="D431">
    <cfRule aboveAverage="true" bottom="false" dxfId="0" equalAverage="false" percent="false" priority="17" stopIfTrue="false" type="duplicateValues"/>
  </conditionalFormatting>
  <conditionalFormatting pivot="false" sqref="D699">
    <cfRule aboveAverage="true" bottom="false" dxfId="0" equalAverage="false" percent="false" priority="16" stopIfTrue="false" type="duplicateValues"/>
  </conditionalFormatting>
  <conditionalFormatting pivot="false" sqref="D705 D825">
    <cfRule aboveAverage="true" bottom="false" dxfId="0" equalAverage="false" percent="false" priority="15" stopIfTrue="false" type="duplicateValues"/>
  </conditionalFormatting>
  <conditionalFormatting pivot="false" sqref="D711">
    <cfRule aboveAverage="true" bottom="false" dxfId="0" equalAverage="false" percent="false" priority="14" stopIfTrue="false" type="duplicateValues"/>
  </conditionalFormatting>
  <conditionalFormatting pivot="false" sqref="D807">
    <cfRule aboveAverage="true" bottom="false" dxfId="0" equalAverage="false" percent="false" priority="13" stopIfTrue="false" type="duplicateValues"/>
  </conditionalFormatting>
  <conditionalFormatting pivot="false" sqref="D815">
    <cfRule aboveAverage="true" bottom="false" dxfId="0" equalAverage="false" percent="false" priority="12" stopIfTrue="false" type="duplicateValues"/>
  </conditionalFormatting>
  <conditionalFormatting pivot="false" sqref="D816">
    <cfRule aboveAverage="true" bottom="false" dxfId="0" equalAverage="false" percent="false" priority="11" stopIfTrue="false" type="duplicateValues"/>
  </conditionalFormatting>
  <conditionalFormatting pivot="false" sqref="D761">
    <cfRule aboveAverage="true" bottom="false" dxfId="0" equalAverage="false" percent="false" priority="10" stopIfTrue="false" type="duplicateValues"/>
  </conditionalFormatting>
  <conditionalFormatting pivot="false" sqref="D824">
    <cfRule aboveAverage="true" bottom="false" dxfId="0" equalAverage="false" percent="false" priority="9" stopIfTrue="false" type="duplicateValues"/>
  </conditionalFormatting>
  <conditionalFormatting pivot="false" sqref="D706">
    <cfRule aboveAverage="true" bottom="false" dxfId="0" equalAverage="false" percent="false" priority="8" stopIfTrue="false" type="duplicateValues"/>
  </conditionalFormatting>
  <conditionalFormatting pivot="false" sqref="D715">
    <cfRule aboveAverage="true" bottom="false" dxfId="0" equalAverage="false" percent="false" priority="7" stopIfTrue="false" type="duplicateValues"/>
  </conditionalFormatting>
  <conditionalFormatting pivot="false" sqref="D716">
    <cfRule aboveAverage="true" bottom="false" dxfId="0" equalAverage="false" percent="false" priority="6" stopIfTrue="false" type="duplicateValues"/>
  </conditionalFormatting>
  <conditionalFormatting pivot="false" sqref="D826">
    <cfRule aboveAverage="true" bottom="false" dxfId="0" equalAverage="false" percent="false" priority="5" stopIfTrue="false" type="duplicateValues"/>
  </conditionalFormatting>
  <conditionalFormatting pivot="false" sqref="D731">
    <cfRule aboveAverage="true" bottom="false" dxfId="0" equalAverage="false" percent="false" priority="4" stopIfTrue="false" type="duplicateValues"/>
  </conditionalFormatting>
  <conditionalFormatting pivot="false" sqref="D751">
    <cfRule aboveAverage="true" bottom="false" dxfId="0" equalAverage="false" percent="false" priority="3" stopIfTrue="false" type="duplicateValues"/>
  </conditionalFormatting>
  <conditionalFormatting pivot="false" sqref="D670">
    <cfRule aboveAverage="true" bottom="false" dxfId="0" equalAverage="false" percent="false" priority="2" stopIfTrue="false" type="duplicateValues"/>
  </conditionalFormatting>
  <conditionalFormatting pivot="false" sqref="D726">
    <cfRule aboveAverage="true" bottom="false" dxfId="0" equalAverage="false" percent="false" priority="1" stopIfTrue="false" type="duplicateValues"/>
  </conditionalFormatting>
  <pageMargins bottom="0.393700778484344" footer="0.31496062874794" header="0.31496062874794" left="0.393700778484344" right="0.393700778484344" top="0.393700778484344"/>
  <pageSetup fitToHeight="0" fitToWidth="1" orientation="landscape" paperHeight="420mm" paperSize="8" paperWidth="297mm" scale="100"/>
  <legacyDrawing r:id="rId1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P888"/>
  <sheetViews>
    <sheetView showZeros="false" workbookViewId="0">
      <pane activePane="bottomLeft" state="frozen" topLeftCell="A11" xSplit="0" ySplit="10"/>
    </sheetView>
  </sheetViews>
  <sheetFormatPr baseColWidth="8" customHeight="false" defaultColWidth="9.14062530925693" defaultRowHeight="15.75" zeroHeight="false"/>
  <cols>
    <col customWidth="true" max="1" min="1" outlineLevel="0" style="1" width="8.14062514009074"/>
    <col customWidth="true" max="2" min="2" outlineLevel="0" style="1" width="9.00000016916618"/>
    <col customWidth="true" max="3" min="3" outlineLevel="0" style="1" width="32.4257818057373"/>
    <col customWidth="true" max="4" min="4" outlineLevel="0" style="1" width="65.5703114704652"/>
    <col customWidth="true" max="5" min="5" outlineLevel="0" style="1" width="18.5703123162961"/>
    <col customWidth="true" max="6" min="6" outlineLevel="0" style="1" width="21.1406246325922"/>
    <col customWidth="true" max="7" min="7" outlineLevel="0" style="1" width="16.8554693202751"/>
    <col customWidth="true" max="8" min="8" outlineLevel="0" style="1" width="18.4257807907402"/>
    <col customWidth="true" max="9" min="9" outlineLevel="0" style="1" width="16.8554693202751"/>
    <col customWidth="true" max="10" min="10" outlineLevel="0" style="1" width="18.1406248017584"/>
    <col customWidth="true" max="11" min="11" outlineLevel="0" style="1" width="16.8554693202751"/>
    <col customWidth="true" max="12" min="12" outlineLevel="0" style="1" width="18.2851563273142"/>
    <col customWidth="true" max="13" min="13" outlineLevel="0" style="1" width="16.8554693202751"/>
    <col customWidth="true" max="14" min="14" outlineLevel="0" style="1" width="20.4257811290726"/>
    <col customWidth="true" max="15" min="15" outlineLevel="0" style="1" width="16.8554693202751"/>
    <col customWidth="true" max="16" min="16" outlineLevel="0" style="1" width="19.710937625553"/>
    <col customWidth="true" max="18" min="17" outlineLevel="0" style="1" width="16.8554693202751"/>
    <col customWidth="true" max="19" min="19" outlineLevel="0" style="1" width="15.1406249709246"/>
    <col customWidth="true" max="20" min="20" outlineLevel="0" style="1" width="17.4257812982388"/>
    <col customWidth="true" max="21" min="21" outlineLevel="0" style="1" width="16.4257818057373"/>
    <col customWidth="true" hidden="true" max="22" min="22" outlineLevel="0" style="277" width="17.5703128237946"/>
    <col bestFit="true" customWidth="true" max="16384" min="23" outlineLevel="0" style="1" width="9.14062530925693"/>
  </cols>
  <sheetData>
    <row outlineLevel="0" r="1">
      <c r="A1" s="29" t="n"/>
      <c r="B1" s="29" t="n"/>
      <c r="C1" s="29" t="n"/>
      <c r="Q1" s="278" t="n"/>
      <c r="R1" s="278" t="s">
        <v>747</v>
      </c>
    </row>
    <row outlineLevel="0" r="2">
      <c r="A2" s="29" t="n"/>
      <c r="B2" s="29" t="n"/>
      <c r="C2" s="29" t="n"/>
      <c r="R2" s="278" t="s">
        <v>6</v>
      </c>
    </row>
    <row outlineLevel="0" r="3">
      <c r="A3" s="29" t="n"/>
      <c r="B3" s="29" t="n"/>
      <c r="C3" s="29" t="n"/>
      <c r="T3" s="12" t="n"/>
    </row>
    <row ht="20.25" outlineLevel="0" r="4">
      <c r="A4" s="20" t="s">
        <v>748</v>
      </c>
      <c r="B4" s="20" t="s"/>
      <c r="C4" s="20" t="s"/>
      <c r="D4" s="20" t="s"/>
      <c r="E4" s="20" t="s"/>
      <c r="F4" s="20" t="s"/>
      <c r="G4" s="20" t="s"/>
      <c r="H4" s="20" t="s"/>
      <c r="I4" s="20" t="s"/>
      <c r="J4" s="20" t="s"/>
      <c r="K4" s="20" t="s"/>
      <c r="L4" s="20" t="s"/>
      <c r="M4" s="20" t="s"/>
      <c r="N4" s="20" t="s"/>
      <c r="O4" s="20" t="s"/>
      <c r="P4" s="20" t="s"/>
      <c r="Q4" s="20" t="s"/>
      <c r="R4" s="20" t="s"/>
      <c r="U4" s="12" t="n"/>
    </row>
    <row outlineLevel="0" r="5">
      <c r="A5" s="29" t="n"/>
      <c r="B5" s="29" t="n"/>
      <c r="C5" s="29" t="n"/>
    </row>
    <row outlineLevel="0" r="6">
      <c r="A6" s="29" t="n"/>
      <c r="B6" s="29" t="n"/>
      <c r="C6" s="29" t="n"/>
    </row>
    <row customFormat="true" customHeight="true" ht="14.25" outlineLevel="0" r="7" s="35">
      <c r="A7" s="279" t="s">
        <v>11</v>
      </c>
      <c r="B7" s="279" t="s">
        <v>11</v>
      </c>
      <c r="C7" s="38" t="s">
        <v>12</v>
      </c>
      <c r="D7" s="38" t="s">
        <v>13</v>
      </c>
      <c r="E7" s="51" t="s">
        <v>25</v>
      </c>
      <c r="F7" s="44" t="s">
        <v>26</v>
      </c>
      <c r="G7" s="280" t="s"/>
      <c r="H7" s="281" t="s"/>
      <c r="I7" s="282" t="s"/>
      <c r="J7" s="283" t="s"/>
      <c r="K7" s="284" t="s"/>
      <c r="L7" s="285" t="s"/>
      <c r="M7" s="286" t="s"/>
      <c r="N7" s="287" t="s"/>
      <c r="O7" s="288" t="s"/>
      <c r="P7" s="289" t="s"/>
      <c r="Q7" s="290" t="s"/>
      <c r="R7" s="291" t="s"/>
      <c r="S7" s="292" t="s"/>
      <c r="T7" s="293" t="s"/>
      <c r="V7" s="294" t="n"/>
    </row>
    <row customFormat="true" ht="15.75" outlineLevel="0" r="8" s="35">
      <c r="A8" s="295" t="s"/>
      <c r="B8" s="296" t="s"/>
      <c r="C8" s="297" t="s"/>
      <c r="D8" s="298" t="s"/>
      <c r="E8" s="299" t="s"/>
      <c r="F8" s="300" t="s">
        <v>35</v>
      </c>
      <c r="G8" s="301" t="s"/>
      <c r="H8" s="302" t="s"/>
      <c r="I8" s="303" t="s"/>
      <c r="J8" s="304" t="s"/>
      <c r="K8" s="305" t="s"/>
      <c r="L8" s="306" t="s"/>
      <c r="M8" s="51" t="s">
        <v>36</v>
      </c>
      <c r="N8" s="51" t="s">
        <v>37</v>
      </c>
      <c r="O8" s="51" t="s">
        <v>38</v>
      </c>
      <c r="P8" s="51" t="s">
        <v>39</v>
      </c>
      <c r="Q8" s="51" t="s">
        <v>40</v>
      </c>
      <c r="R8" s="51" t="s">
        <v>41</v>
      </c>
      <c r="S8" s="51" t="s">
        <v>43</v>
      </c>
      <c r="T8" s="51" t="s">
        <v>45</v>
      </c>
      <c r="V8" s="294" t="n"/>
    </row>
    <row customFormat="true" customHeight="true" ht="177.75" outlineLevel="0" r="9" s="35">
      <c r="A9" s="307" t="s"/>
      <c r="B9" s="308" t="s"/>
      <c r="C9" s="309" t="s"/>
      <c r="D9" s="310" t="s"/>
      <c r="E9" s="311" t="s"/>
      <c r="F9" s="51" t="s">
        <v>55</v>
      </c>
      <c r="G9" s="51" t="s">
        <v>56</v>
      </c>
      <c r="H9" s="51" t="s">
        <v>57</v>
      </c>
      <c r="I9" s="51" t="s">
        <v>58</v>
      </c>
      <c r="J9" s="51" t="s">
        <v>59</v>
      </c>
      <c r="K9" s="51" t="s">
        <v>60</v>
      </c>
      <c r="L9" s="51" t="s">
        <v>61</v>
      </c>
      <c r="M9" s="312" t="s"/>
      <c r="N9" s="313" t="s"/>
      <c r="O9" s="314" t="s"/>
      <c r="P9" s="315" t="s"/>
      <c r="Q9" s="316" t="s"/>
      <c r="R9" s="317" t="s"/>
      <c r="S9" s="318" t="s"/>
      <c r="T9" s="319" t="s"/>
      <c r="V9" s="294" t="n"/>
    </row>
    <row customFormat="true" ht="15.75" outlineLevel="0" r="10" s="35">
      <c r="A10" s="320" t="s"/>
      <c r="B10" s="321" t="s"/>
      <c r="C10" s="322" t="s"/>
      <c r="D10" s="323" t="s"/>
      <c r="E10" s="51" t="s">
        <v>64</v>
      </c>
      <c r="F10" s="51" t="s">
        <v>64</v>
      </c>
      <c r="G10" s="51" t="s">
        <v>64</v>
      </c>
      <c r="H10" s="51" t="s">
        <v>64</v>
      </c>
      <c r="I10" s="51" t="s">
        <v>64</v>
      </c>
      <c r="J10" s="51" t="s">
        <v>64</v>
      </c>
      <c r="K10" s="51" t="s">
        <v>64</v>
      </c>
      <c r="L10" s="51" t="s">
        <v>64</v>
      </c>
      <c r="M10" s="51" t="s">
        <v>64</v>
      </c>
      <c r="N10" s="51" t="s">
        <v>64</v>
      </c>
      <c r="O10" s="51" t="s">
        <v>64</v>
      </c>
      <c r="P10" s="51" t="s">
        <v>64</v>
      </c>
      <c r="Q10" s="51" t="s">
        <v>64</v>
      </c>
      <c r="R10" s="51" t="s">
        <v>64</v>
      </c>
      <c r="S10" s="51" t="s">
        <v>64</v>
      </c>
      <c r="T10" s="51" t="s">
        <v>64</v>
      </c>
      <c r="U10" s="324" t="n"/>
      <c r="V10" s="325" t="n"/>
      <c r="W10" s="324" t="n"/>
      <c r="X10" s="324" t="n"/>
      <c r="Y10" s="324" t="n"/>
      <c r="Z10" s="324" t="n"/>
      <c r="AA10" s="324" t="n"/>
      <c r="AB10" s="324" t="n"/>
      <c r="AC10" s="324" t="n"/>
      <c r="AD10" s="324" t="n"/>
      <c r="AE10" s="324" t="n"/>
      <c r="AF10" s="324" t="n"/>
      <c r="AG10" s="324" t="n"/>
      <c r="AH10" s="324" t="n"/>
      <c r="AI10" s="324" t="n"/>
      <c r="AJ10" s="324" t="n"/>
      <c r="AK10" s="324" t="n"/>
      <c r="AL10" s="324" t="n"/>
      <c r="AM10" s="324" t="n"/>
      <c r="AN10" s="324" t="n"/>
      <c r="AO10" s="324" t="n"/>
      <c r="AP10" s="324" t="n"/>
      <c r="AQ10" s="324" t="n"/>
      <c r="AR10" s="324" t="n"/>
      <c r="AS10" s="324" t="n"/>
      <c r="AT10" s="324" t="n"/>
      <c r="AU10" s="324" t="n"/>
      <c r="AV10" s="324" t="n"/>
      <c r="AW10" s="324" t="n"/>
      <c r="AX10" s="324" t="n"/>
      <c r="AY10" s="324" t="n"/>
      <c r="AZ10" s="324" t="n"/>
      <c r="BA10" s="324" t="n"/>
      <c r="BB10" s="324" t="n"/>
      <c r="BC10" s="324" t="n"/>
      <c r="BD10" s="324" t="n"/>
      <c r="BE10" s="324" t="n"/>
      <c r="BF10" s="324" t="n"/>
      <c r="BG10" s="324" t="n"/>
      <c r="BH10" s="324" t="n"/>
      <c r="BI10" s="324" t="n"/>
      <c r="BJ10" s="324" t="n"/>
      <c r="BK10" s="324" t="n"/>
      <c r="BL10" s="324" t="n"/>
      <c r="BM10" s="324" t="n"/>
      <c r="BN10" s="324" t="n"/>
      <c r="BO10" s="324" t="n"/>
      <c r="BP10" s="324" t="n"/>
    </row>
    <row customFormat="true" ht="15.75" outlineLevel="0" r="11" s="126">
      <c r="A11" s="128" t="n"/>
      <c r="B11" s="128" t="n"/>
      <c r="C11" s="129" t="n"/>
      <c r="D11" s="129" t="s">
        <v>67</v>
      </c>
      <c r="E11" s="326" t="n">
        <f aca="false" ca="false" dt2D="false" dtr="false" t="normal">+(+E12+E204)+E477</f>
        <v>7050090018.398396</v>
      </c>
      <c r="F11" s="326" t="n">
        <f aca="false" ca="false" dt2D="false" dtr="false" t="normal">+(+F12+F204)+F477</f>
        <v>951735018.4819999</v>
      </c>
      <c r="G11" s="326" t="n">
        <f aca="false" ca="false" dt2D="false" dtr="false" t="normal">+(+G12+G204)+G477</f>
        <v>287490550.87</v>
      </c>
      <c r="H11" s="326" t="n">
        <f aca="false" ca="false" dt2D="false" dtr="false" t="normal">+(+H12+H204)+H477</f>
        <v>408789842.46000016</v>
      </c>
      <c r="I11" s="326" t="n">
        <f aca="false" ca="false" dt2D="false" dtr="false" t="normal">+(+I12+I204)+I477</f>
        <v>286376410.6</v>
      </c>
      <c r="J11" s="326" t="n">
        <f aca="false" ca="false" dt2D="false" dtr="false" t="normal">+(+J12+J204)+J477</f>
        <v>72642310.972262</v>
      </c>
      <c r="K11" s="326" t="n">
        <f aca="false" ca="false" dt2D="false" dtr="false" t="normal">+(+K12+K204)+K477</f>
        <v>0</v>
      </c>
      <c r="L11" s="326" t="n">
        <f aca="false" ca="false" dt2D="false" dtr="false" t="normal">+(+L12+L204)+L477</f>
        <v>1515829.2</v>
      </c>
      <c r="M11" s="326" t="n">
        <f aca="false" ca="false" dt2D="false" dtr="false" t="normal">+(+M12+M204)+M477</f>
        <v>254150201.86999997</v>
      </c>
      <c r="N11" s="326" t="n">
        <f aca="false" ca="false" dt2D="false" dtr="false" t="normal">+(+N12+N204)+N477</f>
        <v>1165187336.2930913</v>
      </c>
      <c r="O11" s="326" t="n">
        <f aca="false" ca="false" dt2D="false" dtr="false" t="normal">+(+O12+O204)+O477</f>
        <v>185919224.49999997</v>
      </c>
      <c r="P11" s="326" t="n">
        <f aca="false" ca="false" dt2D="false" dtr="false" t="normal">+(+P12+P204)+P477</f>
        <v>1854447279.44</v>
      </c>
      <c r="Q11" s="326" t="n">
        <f aca="false" ca="false" dt2D="false" dtr="false" t="normal">+(+Q12+Q204)+Q477</f>
        <v>565894349.6999999</v>
      </c>
      <c r="R11" s="326" t="n">
        <f aca="false" ca="false" dt2D="false" dtr="false" t="normal">+(+R12+R204)+R477</f>
        <v>76342937.86627597</v>
      </c>
      <c r="S11" s="326" t="n">
        <f aca="false" ca="false" dt2D="false" dtr="false" t="normal">+(+S12+S204)+S477</f>
        <v>6923858.348160488</v>
      </c>
      <c r="T11" s="326" t="n">
        <f aca="false" ca="false" dt2D="false" dtr="false" t="normal">+(+T12+T204)+T477</f>
        <v>12240692.293296885</v>
      </c>
      <c r="U11" s="324" t="n"/>
      <c r="V11" s="325" t="n"/>
      <c r="W11" s="324" t="n"/>
      <c r="X11" s="324" t="n"/>
      <c r="Y11" s="324" t="n"/>
      <c r="Z11" s="324" t="n"/>
      <c r="AA11" s="324" t="n"/>
      <c r="AB11" s="324" t="n"/>
      <c r="AC11" s="324" t="n"/>
      <c r="AD11" s="324" t="n"/>
      <c r="AE11" s="324" t="n"/>
      <c r="AF11" s="324" t="n"/>
      <c r="AG11" s="324" t="n"/>
      <c r="AH11" s="324" t="n"/>
      <c r="AI11" s="324" t="n"/>
      <c r="AJ11" s="324" t="n"/>
      <c r="AK11" s="324" t="n"/>
      <c r="AL11" s="324" t="n"/>
      <c r="AM11" s="324" t="n"/>
      <c r="AN11" s="324" t="n"/>
      <c r="AO11" s="324" t="n"/>
      <c r="AP11" s="324" t="n"/>
      <c r="AQ11" s="324" t="n"/>
      <c r="AR11" s="324" t="n"/>
      <c r="AS11" s="324" t="n"/>
      <c r="AT11" s="324" t="n"/>
      <c r="AU11" s="324" t="n"/>
      <c r="AV11" s="324" t="n"/>
      <c r="AW11" s="324" t="n"/>
      <c r="AX11" s="324" t="n"/>
      <c r="AY11" s="324" t="n"/>
      <c r="AZ11" s="324" t="n"/>
      <c r="BA11" s="324" t="n"/>
      <c r="BB11" s="324" t="n"/>
      <c r="BC11" s="324" t="n"/>
      <c r="BD11" s="324" t="n"/>
      <c r="BE11" s="324" t="n"/>
      <c r="BF11" s="324" t="n"/>
      <c r="BG11" s="324" t="n"/>
      <c r="BH11" s="324" t="n"/>
      <c r="BI11" s="324" t="n"/>
      <c r="BJ11" s="324" t="n"/>
      <c r="BK11" s="324" t="n"/>
      <c r="BL11" s="324" t="n"/>
      <c r="BM11" s="324" t="n"/>
      <c r="BN11" s="324" t="n"/>
      <c r="BO11" s="324" t="n"/>
      <c r="BP11" s="324" t="n"/>
    </row>
    <row customFormat="true" ht="15.75" outlineLevel="0" r="12" s="145">
      <c r="A12" s="147" t="n"/>
      <c r="B12" s="147" t="n"/>
      <c r="C12" s="147" t="n"/>
      <c r="D12" s="147" t="s">
        <v>71</v>
      </c>
      <c r="E12" s="137" t="n">
        <f aca="false" ca="false" dt2D="false" dtr="false" t="normal">SUM(F12:T12)+E13+E14</f>
        <v>1841173018.249457</v>
      </c>
      <c r="F12" s="137" t="n">
        <f aca="false" ca="false" dt2D="false" dtr="false" t="normal">+F13+F15</f>
        <v>261418719.91</v>
      </c>
      <c r="G12" s="137" t="n">
        <f aca="false" ca="false" dt2D="false" dtr="false" t="normal">+G13+G15</f>
        <v>92211687.10999997</v>
      </c>
      <c r="H12" s="137" t="n">
        <f aca="false" ca="false" dt2D="false" dtr="false" t="normal">+H13+H15</f>
        <v>91010822.59000003</v>
      </c>
      <c r="I12" s="137" t="n">
        <f aca="false" ca="false" dt2D="false" dtr="false" t="normal">+I13+I15</f>
        <v>100780746.21000001</v>
      </c>
      <c r="J12" s="137" t="n">
        <f aca="false" ca="false" dt2D="false" dtr="false" t="normal">+J13+J15</f>
        <v>20726332.382262</v>
      </c>
      <c r="K12" s="137" t="n">
        <f aca="false" ca="false" dt2D="false" dtr="false" t="normal">+K13+K15</f>
        <v>0</v>
      </c>
      <c r="L12" s="137" t="n">
        <f aca="false" ca="false" dt2D="false" dtr="false" t="normal">+L13+L15</f>
        <v>0</v>
      </c>
      <c r="M12" s="137" t="n">
        <f aca="false" ca="false" dt2D="false" dtr="false" t="normal">+M13+M15</f>
        <v>28694966.41</v>
      </c>
      <c r="N12" s="137" t="n">
        <f aca="false" ca="false" dt2D="false" dtr="false" t="normal">+N13+N15</f>
        <v>417243389.468066</v>
      </c>
      <c r="O12" s="137" t="n">
        <f aca="false" ca="false" dt2D="false" dtr="false" t="normal">+O13+O15</f>
        <v>79372152.85999998</v>
      </c>
      <c r="P12" s="137" t="n">
        <f aca="false" ca="false" dt2D="false" dtr="false" t="normal">+P13+P15</f>
        <v>386032575.02000004</v>
      </c>
      <c r="Q12" s="137" t="n">
        <f aca="false" ca="false" dt2D="false" dtr="false" t="normal">+Q13+Q15</f>
        <v>162824150.39</v>
      </c>
      <c r="R12" s="137" t="n">
        <f aca="false" ca="false" dt2D="false" dtr="false" t="normal">+R13+R15</f>
        <v>44622520.01096848</v>
      </c>
      <c r="S12" s="137" t="n">
        <f aca="false" ca="false" dt2D="false" dtr="false" t="normal">+S13+S15</f>
        <v>3686982.528160488</v>
      </c>
      <c r="T12" s="137" t="n">
        <f aca="false" ca="false" dt2D="false" dtr="false" t="normal">+T13+T15</f>
        <v>5239288.32</v>
      </c>
      <c r="U12" s="327" t="n"/>
      <c r="V12" s="328" t="n"/>
      <c r="W12" s="327" t="n"/>
      <c r="X12" s="327" t="n"/>
      <c r="Y12" s="327" t="n"/>
      <c r="Z12" s="327" t="n"/>
      <c r="AA12" s="327" t="n"/>
      <c r="AB12" s="327" t="n"/>
      <c r="AC12" s="327" t="n"/>
      <c r="AD12" s="327" t="n"/>
      <c r="AE12" s="327" t="n"/>
      <c r="AF12" s="327" t="n"/>
      <c r="AG12" s="327" t="n"/>
      <c r="AH12" s="327" t="n"/>
      <c r="AI12" s="327" t="n"/>
      <c r="AJ12" s="327" t="n"/>
      <c r="AK12" s="327" t="n"/>
      <c r="AL12" s="327" t="n"/>
      <c r="AM12" s="327" t="n"/>
      <c r="AN12" s="327" t="n"/>
      <c r="AO12" s="327" t="n"/>
      <c r="AP12" s="327" t="n"/>
      <c r="AQ12" s="327" t="n"/>
      <c r="AR12" s="327" t="n"/>
      <c r="AS12" s="327" t="n"/>
      <c r="AT12" s="327" t="n"/>
      <c r="AU12" s="327" t="n"/>
      <c r="AV12" s="327" t="n"/>
      <c r="AW12" s="327" t="n"/>
      <c r="AX12" s="327" t="n"/>
      <c r="AY12" s="327" t="n"/>
      <c r="AZ12" s="327" t="n"/>
      <c r="BA12" s="327" t="n"/>
      <c r="BB12" s="327" t="n"/>
      <c r="BC12" s="327" t="n"/>
      <c r="BD12" s="327" t="n"/>
      <c r="BE12" s="327" t="n"/>
      <c r="BF12" s="327" t="n"/>
      <c r="BG12" s="327" t="n"/>
      <c r="BH12" s="327" t="n"/>
      <c r="BI12" s="327" t="n"/>
      <c r="BJ12" s="327" t="n"/>
      <c r="BK12" s="327" t="n"/>
      <c r="BL12" s="327" t="n"/>
      <c r="BM12" s="327" t="n"/>
      <c r="BN12" s="327" t="n"/>
      <c r="BO12" s="327" t="n"/>
      <c r="BP12" s="327" t="n"/>
    </row>
    <row customFormat="true" customHeight="true" ht="18" outlineLevel="0" r="13" s="145">
      <c r="A13" s="329" t="n"/>
      <c r="B13" s="147" t="n"/>
      <c r="C13" s="147" t="n"/>
      <c r="D13" s="147" t="s">
        <v>74</v>
      </c>
      <c r="E13" s="137" t="n">
        <v>147308685.04</v>
      </c>
      <c r="F13" s="137" t="n">
        <v>0</v>
      </c>
      <c r="G13" s="137" t="n">
        <v>0</v>
      </c>
      <c r="H13" s="137" t="n">
        <v>0</v>
      </c>
      <c r="I13" s="137" t="n">
        <v>0</v>
      </c>
      <c r="J13" s="137" t="n">
        <v>0</v>
      </c>
      <c r="K13" s="137" t="n">
        <v>0</v>
      </c>
      <c r="L13" s="137" t="n">
        <v>0</v>
      </c>
      <c r="M13" s="137" t="n">
        <v>0</v>
      </c>
      <c r="N13" s="137" t="n">
        <v>0</v>
      </c>
      <c r="O13" s="137" t="n">
        <v>0</v>
      </c>
      <c r="P13" s="137" t="n">
        <v>0</v>
      </c>
      <c r="Q13" s="137" t="n">
        <v>0</v>
      </c>
      <c r="R13" s="137" t="n">
        <v>0</v>
      </c>
      <c r="S13" s="137" t="n">
        <v>0</v>
      </c>
      <c r="T13" s="137" t="n">
        <v>0</v>
      </c>
      <c r="U13" s="327" t="n"/>
      <c r="V13" s="328" t="n"/>
      <c r="W13" s="327" t="n"/>
      <c r="X13" s="327" t="n"/>
      <c r="Y13" s="327" t="n"/>
      <c r="Z13" s="327" t="n"/>
      <c r="AA13" s="327" t="n"/>
      <c r="AB13" s="327" t="n"/>
      <c r="AC13" s="327" t="n"/>
      <c r="AD13" s="327" t="n"/>
      <c r="AE13" s="327" t="n"/>
      <c r="AF13" s="327" t="n"/>
      <c r="AG13" s="327" t="n"/>
      <c r="AH13" s="327" t="n"/>
      <c r="AI13" s="327" t="n"/>
      <c r="AJ13" s="327" t="n"/>
      <c r="AK13" s="327" t="n"/>
      <c r="AL13" s="327" t="n"/>
      <c r="AM13" s="327" t="n"/>
      <c r="AN13" s="327" t="n"/>
      <c r="AO13" s="327" t="n"/>
      <c r="AP13" s="327" t="n"/>
      <c r="AQ13" s="327" t="n"/>
      <c r="AR13" s="327" t="n"/>
      <c r="AS13" s="327" t="n"/>
      <c r="AT13" s="327" t="n"/>
      <c r="AU13" s="327" t="n"/>
      <c r="AV13" s="327" t="n"/>
      <c r="AW13" s="327" t="n"/>
      <c r="AX13" s="327" t="n"/>
      <c r="AY13" s="327" t="n"/>
      <c r="AZ13" s="327" t="n"/>
      <c r="BA13" s="327" t="n"/>
      <c r="BB13" s="327" t="n"/>
      <c r="BC13" s="327" t="n"/>
      <c r="BD13" s="327" t="n"/>
      <c r="BE13" s="327" t="n"/>
      <c r="BF13" s="327" t="n"/>
      <c r="BG13" s="327" t="n"/>
      <c r="BH13" s="327" t="n"/>
      <c r="BI13" s="327" t="n"/>
      <c r="BJ13" s="327" t="n"/>
      <c r="BK13" s="327" t="n"/>
      <c r="BL13" s="327" t="n"/>
      <c r="BM13" s="327" t="n"/>
      <c r="BN13" s="327" t="n"/>
      <c r="BO13" s="327" t="n"/>
      <c r="BP13" s="327" t="n"/>
    </row>
    <row customFormat="true" customHeight="true" ht="15.75" outlineLevel="0" r="14" s="145">
      <c r="A14" s="329" t="n"/>
      <c r="B14" s="147" t="n"/>
      <c r="C14" s="147" t="n"/>
      <c r="D14" s="147" t="s">
        <v>75</v>
      </c>
      <c r="E14" s="137" t="n">
        <f aca="false" ca="false" dt2D="false" dtr="false" t="normal">4547441.6-4547441.6</f>
        <v>0</v>
      </c>
      <c r="F14" s="137" t="n"/>
      <c r="G14" s="137" t="n"/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330" t="n"/>
      <c r="U14" s="327" t="n"/>
      <c r="V14" s="328" t="n"/>
      <c r="W14" s="327" t="n"/>
      <c r="X14" s="327" t="n"/>
      <c r="Y14" s="327" t="n"/>
      <c r="Z14" s="327" t="n"/>
      <c r="AA14" s="327" t="n"/>
      <c r="AB14" s="327" t="n"/>
      <c r="AC14" s="327" t="n"/>
      <c r="AD14" s="327" t="n"/>
      <c r="AE14" s="327" t="n"/>
      <c r="AF14" s="327" t="n"/>
      <c r="AG14" s="327" t="n"/>
      <c r="AH14" s="327" t="n"/>
      <c r="AI14" s="327" t="n"/>
      <c r="AJ14" s="327" t="n"/>
      <c r="AK14" s="327" t="n"/>
      <c r="AL14" s="327" t="n"/>
      <c r="AM14" s="327" t="n"/>
      <c r="AN14" s="327" t="n"/>
      <c r="AO14" s="327" t="n"/>
      <c r="AP14" s="327" t="n"/>
      <c r="AQ14" s="327" t="n"/>
      <c r="AR14" s="327" t="n"/>
      <c r="AS14" s="327" t="n"/>
      <c r="AT14" s="327" t="n"/>
      <c r="AU14" s="327" t="n"/>
      <c r="AV14" s="327" t="n"/>
      <c r="AW14" s="327" t="n"/>
      <c r="AX14" s="327" t="n"/>
      <c r="AY14" s="327" t="n"/>
      <c r="AZ14" s="327" t="n"/>
      <c r="BA14" s="327" t="n"/>
      <c r="BB14" s="327" t="n"/>
      <c r="BC14" s="327" t="n"/>
      <c r="BD14" s="327" t="n"/>
      <c r="BE14" s="327" t="n"/>
      <c r="BF14" s="327" t="n"/>
      <c r="BG14" s="327" t="n"/>
      <c r="BH14" s="327" t="n"/>
      <c r="BI14" s="327" t="n"/>
      <c r="BJ14" s="327" t="n"/>
      <c r="BK14" s="327" t="n"/>
      <c r="BL14" s="327" t="n"/>
      <c r="BM14" s="327" t="n"/>
      <c r="BN14" s="327" t="n"/>
      <c r="BO14" s="327" t="n"/>
      <c r="BP14" s="327" t="n"/>
    </row>
    <row customFormat="true" ht="15.75" outlineLevel="0" r="15" s="145">
      <c r="A15" s="329" t="n"/>
      <c r="B15" s="147" t="n"/>
      <c r="C15" s="147" t="n"/>
      <c r="D15" s="147" t="n"/>
      <c r="E15" s="137" t="n">
        <f aca="false" ca="false" dt2D="false" dtr="false" t="normal">SUM(E16:E203)</f>
        <v>1693864333.209457</v>
      </c>
      <c r="F15" s="137" t="n">
        <f aca="false" ca="false" dt2D="false" dtr="false" t="normal">SUM(F16:F203)</f>
        <v>261418719.91</v>
      </c>
      <c r="G15" s="137" t="n">
        <f aca="false" ca="false" dt2D="false" dtr="false" t="normal">SUM(G16:G203)</f>
        <v>92211687.10999997</v>
      </c>
      <c r="H15" s="137" t="n">
        <f aca="false" ca="false" dt2D="false" dtr="false" t="normal">SUM(H16:H203)</f>
        <v>91010822.59000003</v>
      </c>
      <c r="I15" s="137" t="n">
        <f aca="false" ca="false" dt2D="false" dtr="false" t="normal">SUM(I16:I203)</f>
        <v>100780746.21000001</v>
      </c>
      <c r="J15" s="137" t="n">
        <f aca="false" ca="false" dt2D="false" dtr="false" t="normal">SUM(J16:J203)</f>
        <v>20726332.382262</v>
      </c>
      <c r="K15" s="137" t="n">
        <f aca="false" ca="false" dt2D="false" dtr="false" t="normal">SUM(K16:K203)</f>
        <v>0</v>
      </c>
      <c r="L15" s="137" t="n">
        <f aca="false" ca="false" dt2D="false" dtr="false" t="normal">SUM(L16:L203)</f>
        <v>0</v>
      </c>
      <c r="M15" s="137" t="n">
        <f aca="false" ca="false" dt2D="false" dtr="false" t="normal">SUM(M16:M203)</f>
        <v>28694966.41</v>
      </c>
      <c r="N15" s="137" t="n">
        <f aca="false" ca="false" dt2D="false" dtr="false" t="normal">SUM(N16:N203)</f>
        <v>417243389.468066</v>
      </c>
      <c r="O15" s="137" t="n">
        <f aca="false" ca="false" dt2D="false" dtr="false" t="normal">SUM(O16:O203)</f>
        <v>79372152.85999998</v>
      </c>
      <c r="P15" s="137" t="n">
        <f aca="false" ca="false" dt2D="false" dtr="false" t="normal">SUM(P16:P203)</f>
        <v>386032575.02000004</v>
      </c>
      <c r="Q15" s="137" t="n">
        <f aca="false" ca="false" dt2D="false" dtr="false" t="normal">SUM(Q16:Q203)</f>
        <v>162824150.39</v>
      </c>
      <c r="R15" s="137" t="n">
        <f aca="false" ca="false" dt2D="false" dtr="false" t="normal">SUM(R16:R203)</f>
        <v>44622520.01096848</v>
      </c>
      <c r="S15" s="137" t="n">
        <f aca="false" ca="false" dt2D="false" dtr="false" t="normal">SUM(S16:S203)</f>
        <v>3686982.528160488</v>
      </c>
      <c r="T15" s="137" t="n">
        <f aca="false" ca="false" dt2D="false" dtr="false" t="normal">SUM(T16:T203)</f>
        <v>5239288.32</v>
      </c>
      <c r="U15" s="327" t="n"/>
      <c r="V15" s="328" t="n"/>
      <c r="W15" s="327" t="n"/>
      <c r="X15" s="327" t="n"/>
      <c r="Y15" s="327" t="n"/>
      <c r="Z15" s="327" t="n"/>
      <c r="AA15" s="327" t="n"/>
      <c r="AB15" s="327" t="n"/>
      <c r="AC15" s="327" t="n"/>
      <c r="AD15" s="327" t="n"/>
      <c r="AE15" s="327" t="n"/>
      <c r="AF15" s="327" t="n"/>
      <c r="AG15" s="327" t="n"/>
      <c r="AH15" s="327" t="n"/>
      <c r="AI15" s="327" t="n"/>
      <c r="AJ15" s="327" t="n"/>
      <c r="AK15" s="327" t="n"/>
      <c r="AL15" s="327" t="n"/>
      <c r="AM15" s="327" t="n"/>
      <c r="AN15" s="327" t="n"/>
      <c r="AO15" s="327" t="n"/>
      <c r="AP15" s="327" t="n"/>
      <c r="AQ15" s="327" t="n"/>
      <c r="AR15" s="327" t="n"/>
      <c r="AS15" s="327" t="n"/>
      <c r="AT15" s="327" t="n"/>
      <c r="AU15" s="327" t="n"/>
      <c r="AV15" s="327" t="n"/>
      <c r="AW15" s="327" t="n"/>
      <c r="AX15" s="327" t="n"/>
      <c r="AY15" s="327" t="n"/>
      <c r="AZ15" s="327" t="n"/>
      <c r="BA15" s="327" t="n"/>
      <c r="BB15" s="327" t="n"/>
      <c r="BC15" s="327" t="n"/>
      <c r="BD15" s="327" t="n"/>
      <c r="BE15" s="327" t="n"/>
      <c r="BF15" s="327" t="n"/>
      <c r="BG15" s="327" t="n"/>
      <c r="BH15" s="327" t="n"/>
      <c r="BI15" s="327" t="n"/>
      <c r="BJ15" s="327" t="n"/>
      <c r="BK15" s="327" t="n"/>
      <c r="BL15" s="327" t="n"/>
      <c r="BM15" s="327" t="n"/>
      <c r="BN15" s="327" t="n"/>
      <c r="BO15" s="327" t="n"/>
      <c r="BP15" s="327" t="n"/>
    </row>
    <row outlineLevel="0" r="16">
      <c r="A16" s="331" t="n">
        <v>1</v>
      </c>
      <c r="B16" s="6" t="n">
        <v>1</v>
      </c>
      <c r="C16" s="138" t="s">
        <v>80</v>
      </c>
      <c r="D16" s="138" t="s">
        <v>81</v>
      </c>
      <c r="E16" s="27" t="n">
        <f aca="false" ca="true" dt2D="false" dtr="false" t="normal">SUBTOTAL(9, F16:T16)</f>
        <v>35047609.43</v>
      </c>
      <c r="F16" s="17" t="n">
        <v>11937105.2</v>
      </c>
      <c r="G16" s="17" t="n">
        <v>7031659.74</v>
      </c>
      <c r="H16" s="17" t="n"/>
      <c r="I16" s="17" t="n">
        <v>2917316.85</v>
      </c>
      <c r="J16" s="17" t="n">
        <v>0</v>
      </c>
      <c r="K16" s="17" t="n"/>
      <c r="L16" s="17" t="n"/>
      <c r="M16" s="17" t="n">
        <v>0</v>
      </c>
      <c r="N16" s="17" t="n">
        <v>4693934.4</v>
      </c>
      <c r="O16" s="17" t="n">
        <v>8467593.24</v>
      </c>
      <c r="P16" s="17" t="n">
        <v>0</v>
      </c>
      <c r="Q16" s="17" t="n">
        <v>0</v>
      </c>
      <c r="R16" s="17" t="n"/>
      <c r="S16" s="18" t="n"/>
      <c r="T16" s="191" t="n">
        <v>0</v>
      </c>
      <c r="U16" s="201" t="n"/>
      <c r="V16" s="332" t="n"/>
      <c r="W16" s="201" t="n"/>
      <c r="X16" s="201" t="n"/>
      <c r="Y16" s="201" t="n"/>
      <c r="Z16" s="201" t="n"/>
      <c r="AA16" s="201" t="n"/>
      <c r="AB16" s="201" t="n"/>
      <c r="AC16" s="201" t="n"/>
      <c r="AD16" s="201" t="n"/>
      <c r="AE16" s="201" t="n"/>
      <c r="AF16" s="201" t="n"/>
      <c r="AG16" s="201" t="n"/>
      <c r="AH16" s="201" t="n"/>
      <c r="AI16" s="201" t="n"/>
      <c r="AJ16" s="201" t="n"/>
      <c r="AK16" s="201" t="n"/>
      <c r="AL16" s="201" t="n"/>
      <c r="AM16" s="201" t="n"/>
      <c r="AN16" s="201" t="n"/>
      <c r="AO16" s="201" t="n"/>
      <c r="AP16" s="201" t="n"/>
      <c r="AQ16" s="201" t="n"/>
      <c r="AR16" s="201" t="n"/>
      <c r="AS16" s="201" t="n"/>
      <c r="AT16" s="201" t="n"/>
      <c r="AU16" s="201" t="n"/>
      <c r="AV16" s="201" t="n"/>
      <c r="AW16" s="201" t="n"/>
      <c r="AX16" s="201" t="n"/>
      <c r="AY16" s="201" t="n"/>
      <c r="AZ16" s="201" t="n"/>
      <c r="BA16" s="201" t="n"/>
      <c r="BB16" s="201" t="n"/>
      <c r="BC16" s="201" t="n"/>
      <c r="BD16" s="201" t="n"/>
      <c r="BE16" s="201" t="n"/>
      <c r="BF16" s="201" t="n"/>
      <c r="BG16" s="201" t="n"/>
      <c r="BH16" s="201" t="n"/>
      <c r="BI16" s="201" t="n"/>
      <c r="BJ16" s="201" t="n"/>
      <c r="BK16" s="201" t="n"/>
      <c r="BL16" s="201" t="n"/>
      <c r="BM16" s="201" t="n"/>
      <c r="BN16" s="201" t="n"/>
      <c r="BO16" s="201" t="n"/>
      <c r="BP16" s="201" t="n"/>
    </row>
    <row outlineLevel="0" r="17">
      <c r="A17" s="331" t="n">
        <f aca="false" ca="false" dt2D="false" dtr="false" t="normal">+A16+1</f>
        <v>2</v>
      </c>
      <c r="B17" s="6" t="n">
        <f aca="false" ca="false" dt2D="false" dtr="false" t="normal">+B16+1</f>
        <v>2</v>
      </c>
      <c r="C17" s="138" t="s">
        <v>80</v>
      </c>
      <c r="D17" s="138" t="s">
        <v>84</v>
      </c>
      <c r="E17" s="27" t="n">
        <f aca="false" ca="true" dt2D="false" dtr="false" t="normal">SUBTOTAL(9, F17:T17)</f>
        <v>33206648.360000003</v>
      </c>
      <c r="F17" s="17" t="n">
        <v>10136488.12</v>
      </c>
      <c r="G17" s="17" t="n">
        <v>6838744.34</v>
      </c>
      <c r="H17" s="17" t="n"/>
      <c r="I17" s="17" t="n">
        <v>2920060.1</v>
      </c>
      <c r="J17" s="17" t="n">
        <v>0</v>
      </c>
      <c r="K17" s="17" t="n"/>
      <c r="L17" s="17" t="n"/>
      <c r="M17" s="17" t="n">
        <v>0</v>
      </c>
      <c r="N17" s="17" t="n">
        <v>4839492</v>
      </c>
      <c r="O17" s="17" t="n">
        <v>8471863.8</v>
      </c>
      <c r="P17" s="17" t="n">
        <v>0</v>
      </c>
      <c r="Q17" s="17" t="n">
        <v>0</v>
      </c>
      <c r="R17" s="17" t="n"/>
      <c r="S17" s="18" t="n"/>
      <c r="T17" s="191" t="n">
        <v>0</v>
      </c>
      <c r="U17" s="201" t="n"/>
      <c r="V17" s="332" t="n"/>
      <c r="W17" s="201" t="n"/>
      <c r="X17" s="201" t="n"/>
      <c r="Y17" s="201" t="n"/>
      <c r="Z17" s="201" t="n"/>
      <c r="AA17" s="201" t="n"/>
      <c r="AB17" s="201" t="n"/>
      <c r="AC17" s="201" t="n"/>
      <c r="AD17" s="201" t="n"/>
      <c r="AE17" s="201" t="n"/>
      <c r="AF17" s="201" t="n"/>
      <c r="AG17" s="201" t="n"/>
      <c r="AH17" s="201" t="n"/>
      <c r="AI17" s="201" t="n"/>
      <c r="AJ17" s="201" t="n"/>
      <c r="AK17" s="201" t="n"/>
      <c r="AL17" s="201" t="n"/>
      <c r="AM17" s="201" t="n"/>
      <c r="AN17" s="201" t="n"/>
      <c r="AO17" s="201" t="n"/>
      <c r="AP17" s="201" t="n"/>
    </row>
    <row outlineLevel="0" r="18">
      <c r="A18" s="331" t="n">
        <f aca="false" ca="false" dt2D="false" dtr="false" t="normal">+A17+1</f>
        <v>3</v>
      </c>
      <c r="B18" s="6" t="n">
        <f aca="false" ca="false" dt2D="false" dtr="false" t="normal">+B17+1</f>
        <v>3</v>
      </c>
      <c r="C18" s="138" t="s">
        <v>80</v>
      </c>
      <c r="D18" s="138" t="s">
        <v>86</v>
      </c>
      <c r="E18" s="27" t="n">
        <f aca="false" ca="true" dt2D="false" dtr="false" t="normal">SUBTOTAL(9, F18:T18)</f>
        <v>21470844.82</v>
      </c>
      <c r="F18" s="17" t="n">
        <v>8693551.24</v>
      </c>
      <c r="G18" s="17" t="n">
        <v>2539728.97</v>
      </c>
      <c r="H18" s="17" t="n"/>
      <c r="I18" s="17" t="n">
        <v>1744090.12</v>
      </c>
      <c r="J18" s="17" t="n">
        <v>0</v>
      </c>
      <c r="K18" s="17" t="n"/>
      <c r="L18" s="17" t="n"/>
      <c r="M18" s="17" t="n">
        <v>0</v>
      </c>
      <c r="N18" s="17" t="n">
        <v>2720365.2</v>
      </c>
      <c r="O18" s="17" t="n">
        <v>5773109.29</v>
      </c>
      <c r="P18" s="17" t="n">
        <v>0</v>
      </c>
      <c r="Q18" s="17" t="n">
        <v>0</v>
      </c>
      <c r="R18" s="17" t="n"/>
      <c r="S18" s="18" t="n"/>
      <c r="T18" s="191" t="n">
        <v>0</v>
      </c>
      <c r="U18" s="201" t="n"/>
      <c r="V18" s="332" t="n"/>
      <c r="W18" s="201" t="n"/>
      <c r="X18" s="201" t="n"/>
      <c r="Y18" s="201" t="n"/>
      <c r="Z18" s="201" t="n"/>
      <c r="AA18" s="201" t="n"/>
      <c r="AB18" s="201" t="n"/>
      <c r="AC18" s="201" t="n"/>
      <c r="AD18" s="201" t="n"/>
      <c r="AE18" s="201" t="n"/>
      <c r="AF18" s="201" t="n"/>
      <c r="AG18" s="201" t="n"/>
      <c r="AH18" s="201" t="n"/>
      <c r="AI18" s="201" t="n"/>
      <c r="AJ18" s="201" t="n"/>
      <c r="AK18" s="201" t="n"/>
      <c r="AL18" s="201" t="n"/>
      <c r="AM18" s="201" t="n"/>
      <c r="AN18" s="201" t="n"/>
      <c r="AO18" s="201" t="n"/>
      <c r="AP18" s="201" t="n"/>
    </row>
    <row outlineLevel="0" r="19">
      <c r="A19" s="331" t="n">
        <f aca="false" ca="false" dt2D="false" dtr="false" t="normal">+A18+1</f>
        <v>4</v>
      </c>
      <c r="B19" s="6" t="n">
        <f aca="false" ca="false" dt2D="false" dtr="false" t="normal">+B18+1</f>
        <v>4</v>
      </c>
      <c r="C19" s="138" t="s">
        <v>88</v>
      </c>
      <c r="D19" s="138" t="s">
        <v>89</v>
      </c>
      <c r="E19" s="27" t="n">
        <f aca="false" ca="true" dt2D="false" dtr="false" t="normal">SUBTOTAL(9, F19:T19)</f>
        <v>6419657.16</v>
      </c>
      <c r="F19" s="17" t="n">
        <v>0</v>
      </c>
      <c r="G19" s="17" t="n">
        <v>0</v>
      </c>
      <c r="H19" s="17" t="n">
        <v>0</v>
      </c>
      <c r="I19" s="17" t="n">
        <v>0</v>
      </c>
      <c r="J19" s="17" t="n">
        <v>0</v>
      </c>
      <c r="K19" s="17" t="n"/>
      <c r="L19" s="17" t="n"/>
      <c r="M19" s="17" t="n">
        <v>0</v>
      </c>
      <c r="N19" s="17" t="n">
        <v>6340797.94</v>
      </c>
      <c r="O19" s="17" t="n">
        <v>0</v>
      </c>
      <c r="P19" s="17" t="n">
        <v>0</v>
      </c>
      <c r="Q19" s="17" t="n">
        <v>0</v>
      </c>
      <c r="R19" s="17" t="n"/>
      <c r="S19" s="18" t="n"/>
      <c r="T19" s="334" t="n">
        <v>78859.22</v>
      </c>
      <c r="U19" s="201" t="n"/>
      <c r="V19" s="332" t="n"/>
      <c r="W19" s="201" t="n"/>
      <c r="X19" s="201" t="n"/>
      <c r="Y19" s="201" t="n"/>
      <c r="Z19" s="201" t="n"/>
      <c r="AA19" s="201" t="n"/>
      <c r="AB19" s="201" t="n"/>
      <c r="AC19" s="201" t="n"/>
      <c r="AD19" s="201" t="n"/>
      <c r="AE19" s="201" t="n"/>
      <c r="AF19" s="201" t="n"/>
      <c r="AG19" s="201" t="n"/>
      <c r="AH19" s="201" t="n"/>
      <c r="AI19" s="201" t="n"/>
      <c r="AJ19" s="201" t="n"/>
      <c r="AK19" s="201" t="n"/>
      <c r="AL19" s="201" t="n"/>
      <c r="AM19" s="201" t="n"/>
      <c r="AN19" s="201" t="n"/>
      <c r="AO19" s="201" t="n"/>
      <c r="AP19" s="201" t="n"/>
    </row>
    <row outlineLevel="0" r="20">
      <c r="A20" s="331" t="n">
        <f aca="false" ca="false" dt2D="false" dtr="false" t="normal">+A19+1</f>
        <v>5</v>
      </c>
      <c r="B20" s="6" t="n">
        <f aca="false" ca="false" dt2D="false" dtr="false" t="normal">+B19+1</f>
        <v>5</v>
      </c>
      <c r="C20" s="138" t="s">
        <v>88</v>
      </c>
      <c r="D20" s="138" t="s">
        <v>92</v>
      </c>
      <c r="E20" s="27" t="n">
        <f aca="false" ca="true" dt2D="false" dtr="false" t="normal">SUBTOTAL(9, F20:T20)</f>
        <v>1311120.14</v>
      </c>
      <c r="F20" s="17" t="n">
        <v>1272491.4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/>
      <c r="L20" s="17" t="n"/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/>
      <c r="S20" s="18" t="n"/>
      <c r="T20" s="191" t="n">
        <v>38628.74</v>
      </c>
      <c r="U20" s="201" t="n"/>
      <c r="V20" s="332" t="n"/>
      <c r="W20" s="201" t="n"/>
      <c r="X20" s="201" t="n"/>
      <c r="Y20" s="201" t="n"/>
      <c r="Z20" s="201" t="n"/>
      <c r="AA20" s="201" t="n"/>
      <c r="AB20" s="201" t="n"/>
      <c r="AC20" s="201" t="n"/>
      <c r="AD20" s="201" t="n"/>
      <c r="AE20" s="201" t="n"/>
      <c r="AF20" s="201" t="n"/>
      <c r="AG20" s="201" t="n"/>
      <c r="AH20" s="201" t="n"/>
      <c r="AI20" s="201" t="n"/>
      <c r="AJ20" s="201" t="n"/>
      <c r="AK20" s="201" t="n"/>
      <c r="AL20" s="201" t="n"/>
      <c r="AM20" s="201" t="n"/>
      <c r="AN20" s="201" t="n"/>
      <c r="AO20" s="201" t="n"/>
      <c r="AP20" s="201" t="n"/>
    </row>
    <row outlineLevel="0" r="21">
      <c r="A21" s="331" t="n">
        <f aca="false" ca="false" dt2D="false" dtr="false" t="normal">+A20+1</f>
        <v>6</v>
      </c>
      <c r="B21" s="6" t="n">
        <f aca="false" ca="false" dt2D="false" dtr="false" t="normal">+B20+1</f>
        <v>6</v>
      </c>
      <c r="C21" s="138" t="s">
        <v>88</v>
      </c>
      <c r="D21" s="138" t="s">
        <v>95</v>
      </c>
      <c r="E21" s="27" t="n">
        <f aca="false" ca="true" dt2D="false" dtr="false" t="normal">SUBTOTAL(9, F21:T21)</f>
        <v>2472986.52</v>
      </c>
      <c r="F21" s="17" t="n">
        <v>2428165.69</v>
      </c>
      <c r="G21" s="17" t="n">
        <v>0</v>
      </c>
      <c r="H21" s="17" t="n">
        <v>0</v>
      </c>
      <c r="I21" s="17" t="n">
        <v>0</v>
      </c>
      <c r="J21" s="17" t="n">
        <v>0</v>
      </c>
      <c r="K21" s="17" t="n"/>
      <c r="L21" s="17" t="n"/>
      <c r="M21" s="17" t="n">
        <v>0</v>
      </c>
      <c r="N21" s="17" t="n">
        <v>0</v>
      </c>
      <c r="O21" s="17" t="n">
        <v>0</v>
      </c>
      <c r="P21" s="17" t="n">
        <v>0</v>
      </c>
      <c r="Q21" s="17" t="n">
        <v>0</v>
      </c>
      <c r="R21" s="17" t="n"/>
      <c r="S21" s="18" t="n"/>
      <c r="T21" s="191" t="n">
        <f aca="false" ca="false" dt2D="false" dtr="false" t="normal">44820.83</f>
        <v>44820.83</v>
      </c>
      <c r="U21" s="201" t="n"/>
      <c r="V21" s="332" t="n"/>
      <c r="W21" s="201" t="n"/>
      <c r="X21" s="201" t="n"/>
      <c r="Y21" s="201" t="n"/>
      <c r="Z21" s="201" t="n"/>
      <c r="AA21" s="201" t="n"/>
      <c r="AB21" s="201" t="n"/>
      <c r="AC21" s="201" t="n"/>
      <c r="AD21" s="201" t="n"/>
      <c r="AE21" s="201" t="n"/>
      <c r="AF21" s="201" t="n"/>
      <c r="AG21" s="201" t="n"/>
      <c r="AH21" s="201" t="n"/>
      <c r="AI21" s="201" t="n"/>
      <c r="AJ21" s="201" t="n"/>
      <c r="AK21" s="201" t="n"/>
      <c r="AL21" s="201" t="n"/>
      <c r="AM21" s="201" t="n"/>
      <c r="AN21" s="201" t="n"/>
      <c r="AO21" s="201" t="n"/>
      <c r="AP21" s="201" t="n"/>
    </row>
    <row outlineLevel="0" r="22">
      <c r="A22" s="331" t="n">
        <f aca="false" ca="false" dt2D="false" dtr="false" t="normal">+A21+1</f>
        <v>7</v>
      </c>
      <c r="B22" s="6" t="n">
        <f aca="false" ca="false" dt2D="false" dtr="false" t="normal">+B21+1</f>
        <v>7</v>
      </c>
      <c r="C22" s="138" t="s">
        <v>97</v>
      </c>
      <c r="D22" s="138" t="s">
        <v>98</v>
      </c>
      <c r="E22" s="27" t="n">
        <f aca="false" ca="true" dt2D="false" dtr="false" t="normal">SUBTOTAL(9, F22:T22)</f>
        <v>105901.14</v>
      </c>
      <c r="F22" s="17" t="n">
        <v>0</v>
      </c>
      <c r="G22" s="17" t="n">
        <v>0</v>
      </c>
      <c r="H22" s="17" t="n"/>
      <c r="I22" s="17" t="n">
        <v>104364.26</v>
      </c>
      <c r="J22" s="17" t="n">
        <v>0</v>
      </c>
      <c r="K22" s="17" t="n"/>
      <c r="L22" s="17" t="n"/>
      <c r="M22" s="17" t="n">
        <v>0</v>
      </c>
      <c r="N22" s="17" t="n">
        <v>0</v>
      </c>
      <c r="O22" s="17" t="n">
        <v>0</v>
      </c>
      <c r="P22" s="17" t="n">
        <v>0</v>
      </c>
      <c r="Q22" s="17" t="n">
        <v>0</v>
      </c>
      <c r="R22" s="17" t="n"/>
      <c r="S22" s="18" t="n"/>
      <c r="T22" s="191" t="n">
        <v>1536.88</v>
      </c>
    </row>
    <row outlineLevel="0" r="23">
      <c r="A23" s="331" t="n">
        <f aca="false" ca="false" dt2D="false" dtr="false" t="normal">+A22+1</f>
        <v>8</v>
      </c>
      <c r="B23" s="6" t="n">
        <f aca="false" ca="false" dt2D="false" dtr="false" t="normal">+B22+1</f>
        <v>8</v>
      </c>
      <c r="C23" s="138" t="s">
        <v>97</v>
      </c>
      <c r="D23" s="138" t="s">
        <v>100</v>
      </c>
      <c r="E23" s="27" t="n">
        <f aca="false" ca="true" dt2D="false" dtr="false" t="normal">SUBTOTAL(9, F23:T23)</f>
        <v>5195773.5</v>
      </c>
      <c r="F23" s="17" t="n">
        <v>0</v>
      </c>
      <c r="G23" s="17" t="n">
        <v>0</v>
      </c>
      <c r="H23" s="17" t="n">
        <v>0</v>
      </c>
      <c r="I23" s="17" t="n">
        <v>0</v>
      </c>
      <c r="J23" s="17" t="n">
        <v>0</v>
      </c>
      <c r="K23" s="17" t="n"/>
      <c r="L23" s="17" t="n"/>
      <c r="M23" s="17" t="n">
        <v>0</v>
      </c>
      <c r="N23" s="17" t="n">
        <v>0</v>
      </c>
      <c r="O23" s="17" t="n">
        <v>5195773.5</v>
      </c>
      <c r="P23" s="17" t="n"/>
      <c r="Q23" s="17" t="n"/>
      <c r="R23" s="17" t="n"/>
      <c r="S23" s="18" t="n"/>
      <c r="T23" s="191" t="n"/>
    </row>
    <row outlineLevel="0" r="24">
      <c r="A24" s="331" t="n">
        <f aca="false" ca="false" dt2D="false" dtr="false" t="normal">+A23+1</f>
        <v>9</v>
      </c>
      <c r="B24" s="6" t="n">
        <f aca="false" ca="false" dt2D="false" dtr="false" t="normal">+B23+1</f>
        <v>9</v>
      </c>
      <c r="C24" s="138" t="s">
        <v>97</v>
      </c>
      <c r="D24" s="138" t="s">
        <v>102</v>
      </c>
      <c r="E24" s="27" t="n">
        <f aca="false" ca="true" dt2D="false" dtr="false" t="normal">SUBTOTAL(9, F24:T24)</f>
        <v>3656105.716722621</v>
      </c>
      <c r="F24" s="17" t="n">
        <v>0</v>
      </c>
      <c r="G24" s="17" t="n">
        <v>0</v>
      </c>
      <c r="H24" s="17" t="n">
        <v>0</v>
      </c>
      <c r="I24" s="17" t="n">
        <v>0</v>
      </c>
      <c r="J24" s="17" t="n">
        <v>0</v>
      </c>
      <c r="K24" s="17" t="n"/>
      <c r="L24" s="17" t="n"/>
      <c r="M24" s="17" t="n">
        <v>0</v>
      </c>
      <c r="N24" s="17" t="n">
        <v>0</v>
      </c>
      <c r="O24" s="17" t="n">
        <v>2388753.41</v>
      </c>
      <c r="P24" s="17" t="n"/>
      <c r="Q24" s="17" t="n">
        <v>815005.58</v>
      </c>
      <c r="R24" s="17" t="n">
        <v>392917.040656928</v>
      </c>
      <c r="S24" s="18" t="n">
        <v>18562.6260656928</v>
      </c>
      <c r="T24" s="191" t="n">
        <f aca="false" ca="false" dt2D="false" dtr="false" t="normal">12130.9+28736.16</f>
        <v>40867.06</v>
      </c>
    </row>
    <row outlineLevel="0" r="25">
      <c r="A25" s="331" t="n">
        <f aca="false" ca="false" dt2D="false" dtr="false" t="normal">+A24+1</f>
        <v>10</v>
      </c>
      <c r="B25" s="6" t="n">
        <f aca="false" ca="false" dt2D="false" dtr="false" t="normal">+B24+1</f>
        <v>10</v>
      </c>
      <c r="C25" s="138" t="s">
        <v>104</v>
      </c>
      <c r="D25" s="138" t="s">
        <v>105</v>
      </c>
      <c r="E25" s="27" t="n">
        <f aca="false" ca="true" dt2D="false" dtr="false" t="normal">SUBTOTAL(9, F25:T25)</f>
        <v>3272026.074273002</v>
      </c>
      <c r="F25" s="17" t="n"/>
      <c r="G25" s="17" t="n"/>
      <c r="H25" s="17" t="n">
        <v>878254.94</v>
      </c>
      <c r="I25" s="17" t="n"/>
      <c r="J25" s="17" t="n">
        <v>0</v>
      </c>
      <c r="K25" s="17" t="n"/>
      <c r="L25" s="17" t="n"/>
      <c r="M25" s="17" t="n">
        <v>0</v>
      </c>
      <c r="N25" s="17" t="n">
        <v>0</v>
      </c>
      <c r="O25" s="17" t="n">
        <v>0</v>
      </c>
      <c r="P25" s="17" t="n">
        <v>0</v>
      </c>
      <c r="Q25" s="17" t="n">
        <v>0</v>
      </c>
      <c r="R25" s="17" t="n">
        <f aca="false" ca="false" dt2D="false" dtr="false" t="normal">2191683.42279663-27761</f>
        <v>2163922.42279663</v>
      </c>
      <c r="S25" s="18" t="n">
        <v>229848.711476372</v>
      </c>
      <c r="T25" s="191" t="n"/>
    </row>
    <row outlineLevel="0" r="26">
      <c r="A26" s="331" t="n">
        <f aca="false" ca="false" dt2D="false" dtr="false" t="normal">+A25+1</f>
        <v>11</v>
      </c>
      <c r="B26" s="6" t="n">
        <f aca="false" ca="false" dt2D="false" dtr="false" t="normal">+B25+1</f>
        <v>11</v>
      </c>
      <c r="C26" s="138" t="s">
        <v>104</v>
      </c>
      <c r="D26" s="138" t="s">
        <v>108</v>
      </c>
      <c r="E26" s="27" t="n">
        <f aca="false" ca="true" dt2D="false" dtr="false" t="normal">SUBTOTAL(9, F26:T26)</f>
        <v>5807146.380000001</v>
      </c>
      <c r="F26" s="17" t="n">
        <v>2699032.56</v>
      </c>
      <c r="G26" s="17" t="n">
        <v>2261633.31</v>
      </c>
      <c r="H26" s="17" t="n"/>
      <c r="I26" s="17" t="n">
        <v>818058.15</v>
      </c>
      <c r="J26" s="17" t="n">
        <v>0</v>
      </c>
      <c r="K26" s="17" t="n"/>
      <c r="L26" s="17" t="n"/>
      <c r="M26" s="17" t="n">
        <v>0</v>
      </c>
      <c r="N26" s="17" t="n"/>
      <c r="O26" s="17" t="n">
        <v>0</v>
      </c>
      <c r="P26" s="17" t="n">
        <v>0</v>
      </c>
      <c r="Q26" s="17" t="n">
        <v>0</v>
      </c>
      <c r="R26" s="17" t="n"/>
      <c r="S26" s="18" t="n"/>
      <c r="T26" s="191" t="n">
        <f aca="false" ca="false" dt2D="false" dtr="false" t="normal">28422.36</f>
        <v>28422.36</v>
      </c>
    </row>
    <row outlineLevel="0" r="27">
      <c r="A27" s="331" t="n">
        <f aca="false" ca="false" dt2D="false" dtr="false" t="normal">+A26+1</f>
        <v>12</v>
      </c>
      <c r="B27" s="6" t="n">
        <f aca="false" ca="false" dt2D="false" dtr="false" t="normal">+B26+1</f>
        <v>12</v>
      </c>
      <c r="C27" s="138" t="s">
        <v>104</v>
      </c>
      <c r="D27" s="138" t="s">
        <v>111</v>
      </c>
      <c r="E27" s="27" t="n">
        <f aca="false" ca="true" dt2D="false" dtr="false" t="normal">SUBTOTAL(9, F27:T27)</f>
        <v>12771162.56</v>
      </c>
      <c r="F27" s="17" t="n">
        <v>0</v>
      </c>
      <c r="G27" s="17" t="n">
        <v>0</v>
      </c>
      <c r="H27" s="17" t="n">
        <v>0</v>
      </c>
      <c r="I27" s="17" t="n">
        <v>0</v>
      </c>
      <c r="J27" s="17" t="n">
        <v>0</v>
      </c>
      <c r="K27" s="17" t="n"/>
      <c r="L27" s="17" t="n"/>
      <c r="M27" s="17" t="n">
        <v>0</v>
      </c>
      <c r="N27" s="162" t="n">
        <v>2807713.83</v>
      </c>
      <c r="O27" s="162" t="n">
        <v>0</v>
      </c>
      <c r="P27" s="162" t="n">
        <v>9577950</v>
      </c>
      <c r="Q27" s="162" t="n">
        <v>0</v>
      </c>
      <c r="R27" s="162" t="n">
        <v>377498.73</v>
      </c>
      <c r="S27" s="161" t="n">
        <v>8000</v>
      </c>
      <c r="T27" s="335" t="n"/>
    </row>
    <row outlineLevel="0" r="28">
      <c r="A28" s="331" t="n">
        <f aca="false" ca="false" dt2D="false" dtr="false" t="normal">+A27+1</f>
        <v>13</v>
      </c>
      <c r="B28" s="6" t="n">
        <f aca="false" ca="false" dt2D="false" dtr="false" t="normal">+B27+1</f>
        <v>13</v>
      </c>
      <c r="C28" s="138" t="s">
        <v>104</v>
      </c>
      <c r="D28" s="138" t="s">
        <v>113</v>
      </c>
      <c r="E28" s="27" t="n">
        <f aca="false" ca="true" dt2D="false" dtr="false" t="normal">SUBTOTAL(9, F28:T28)</f>
        <v>856822.68</v>
      </c>
      <c r="F28" s="17" t="n"/>
      <c r="G28" s="17" t="n"/>
      <c r="H28" s="17" t="n"/>
      <c r="I28" s="17" t="n">
        <v>856822.68</v>
      </c>
      <c r="J28" s="17" t="n">
        <v>0</v>
      </c>
      <c r="K28" s="17" t="n"/>
      <c r="L28" s="17" t="n"/>
      <c r="M28" s="17" t="n">
        <v>0</v>
      </c>
      <c r="N28" s="17" t="n">
        <v>0</v>
      </c>
      <c r="O28" s="17" t="n">
        <v>0</v>
      </c>
      <c r="P28" s="17" t="n">
        <v>0</v>
      </c>
      <c r="Q28" s="17" t="n">
        <v>0</v>
      </c>
      <c r="R28" s="17" t="n"/>
      <c r="S28" s="18" t="n"/>
      <c r="T28" s="191" t="n"/>
    </row>
    <row outlineLevel="0" r="29">
      <c r="A29" s="331" t="n">
        <f aca="false" ca="false" dt2D="false" dtr="false" t="normal">+A28+1</f>
        <v>14</v>
      </c>
      <c r="B29" s="6" t="n">
        <f aca="false" ca="false" dt2D="false" dtr="false" t="normal">+B28+1</f>
        <v>14</v>
      </c>
      <c r="C29" s="138" t="s">
        <v>104</v>
      </c>
      <c r="D29" s="138" t="s">
        <v>116</v>
      </c>
      <c r="E29" s="27" t="n">
        <f aca="false" ca="true" dt2D="false" dtr="false" t="normal">SUBTOTAL(9, F29:T29)</f>
        <v>3114754.5799999996</v>
      </c>
      <c r="F29" s="17" t="n"/>
      <c r="G29" s="17" t="n">
        <v>1900545.16</v>
      </c>
      <c r="H29" s="17" t="n"/>
      <c r="I29" s="17" t="n">
        <v>1184190.4</v>
      </c>
      <c r="J29" s="17" t="n">
        <v>0</v>
      </c>
      <c r="K29" s="17" t="n"/>
      <c r="L29" s="17" t="n"/>
      <c r="M29" s="17" t="n">
        <v>0</v>
      </c>
      <c r="N29" s="17" t="n">
        <v>0</v>
      </c>
      <c r="O29" s="17" t="n"/>
      <c r="P29" s="17" t="n">
        <v>0</v>
      </c>
      <c r="Q29" s="17" t="n">
        <v>0</v>
      </c>
      <c r="R29" s="17" t="n"/>
      <c r="S29" s="18" t="n"/>
      <c r="T29" s="191" t="n">
        <v>30019.02</v>
      </c>
    </row>
    <row outlineLevel="0" r="30">
      <c r="A30" s="331" t="n">
        <f aca="false" ca="false" dt2D="false" dtr="false" t="normal">+A29+1</f>
        <v>15</v>
      </c>
      <c r="B30" s="6" t="n">
        <f aca="false" ca="false" dt2D="false" dtr="false" t="normal">+B29+1</f>
        <v>15</v>
      </c>
      <c r="C30" s="138" t="s">
        <v>104</v>
      </c>
      <c r="D30" s="138" t="s">
        <v>118</v>
      </c>
      <c r="E30" s="27" t="n">
        <f aca="false" ca="true" dt2D="false" dtr="false" t="normal">SUBTOTAL(9, F30:T30)</f>
        <v>6822761.389999999</v>
      </c>
      <c r="F30" s="17" t="n">
        <v>2005222.15</v>
      </c>
      <c r="G30" s="17" t="n"/>
      <c r="H30" s="17" t="n">
        <v>0</v>
      </c>
      <c r="I30" s="17" t="n"/>
      <c r="J30" s="17" t="n">
        <v>0</v>
      </c>
      <c r="K30" s="17" t="n"/>
      <c r="L30" s="17" t="n"/>
      <c r="M30" s="17" t="n">
        <v>0</v>
      </c>
      <c r="N30" s="17" t="n">
        <v>0</v>
      </c>
      <c r="O30" s="17" t="n">
        <v>4791041.31</v>
      </c>
      <c r="P30" s="17" t="n"/>
      <c r="Q30" s="17" t="n">
        <v>0</v>
      </c>
      <c r="R30" s="17" t="n"/>
      <c r="S30" s="18" t="n"/>
      <c r="T30" s="191" t="n">
        <f aca="false" ca="false" dt2D="false" dtr="false" t="normal">26497.93</f>
        <v>26497.93</v>
      </c>
    </row>
    <row outlineLevel="0" r="31">
      <c r="A31" s="331" t="n">
        <f aca="false" ca="false" dt2D="false" dtr="false" t="normal">+A30+1</f>
        <v>16</v>
      </c>
      <c r="B31" s="6" t="n">
        <f aca="false" ca="false" dt2D="false" dtr="false" t="normal">+B30+1</f>
        <v>16</v>
      </c>
      <c r="C31" s="138" t="s">
        <v>110</v>
      </c>
      <c r="D31" s="138" t="s">
        <v>122</v>
      </c>
      <c r="E31" s="27" t="n">
        <f aca="false" ca="true" dt2D="false" dtr="false" t="normal">SUBTOTAL(9, F31:T31)</f>
        <v>49595204.57</v>
      </c>
      <c r="F31" s="17" t="n">
        <v>0</v>
      </c>
      <c r="G31" s="17" t="n">
        <v>0</v>
      </c>
      <c r="H31" s="17" t="n">
        <v>0</v>
      </c>
      <c r="I31" s="162" t="n">
        <v>6678313.6</v>
      </c>
      <c r="J31" s="162" t="n">
        <v>0</v>
      </c>
      <c r="K31" s="162" t="n"/>
      <c r="L31" s="162" t="n"/>
      <c r="M31" s="162" t="n">
        <v>0</v>
      </c>
      <c r="N31" s="162" t="n">
        <v>25055410.8</v>
      </c>
      <c r="O31" s="162" t="n">
        <v>16117459.31</v>
      </c>
      <c r="P31" s="162" t="n">
        <v>0</v>
      </c>
      <c r="Q31" s="162" t="n">
        <v>0</v>
      </c>
      <c r="R31" s="162" t="n">
        <v>1734020.86</v>
      </c>
      <c r="S31" s="161" t="n">
        <v>10000</v>
      </c>
      <c r="T31" s="335" t="n"/>
    </row>
    <row outlineLevel="0" r="32">
      <c r="A32" s="331" t="n">
        <f aca="false" ca="false" dt2D="false" dtr="false" t="normal">+A31+1</f>
        <v>17</v>
      </c>
      <c r="B32" s="6" t="n">
        <f aca="false" ca="false" dt2D="false" dtr="false" t="normal">+B31+1</f>
        <v>17</v>
      </c>
      <c r="C32" s="138" t="s">
        <v>104</v>
      </c>
      <c r="D32" s="138" t="s">
        <v>124</v>
      </c>
      <c r="E32" s="27" t="n">
        <f aca="false" ca="true" dt2D="false" dtr="false" t="normal">SUBTOTAL(9, F32:T32)</f>
        <v>10120631.58</v>
      </c>
      <c r="F32" s="17" t="n"/>
      <c r="G32" s="17" t="n">
        <v>4716823.2</v>
      </c>
      <c r="H32" s="17" t="n"/>
      <c r="I32" s="17" t="n">
        <v>0</v>
      </c>
      <c r="J32" s="17" t="n">
        <v>0</v>
      </c>
      <c r="K32" s="17" t="n"/>
      <c r="L32" s="17" t="n"/>
      <c r="M32" s="17" t="n">
        <v>0</v>
      </c>
      <c r="N32" s="17" t="n">
        <v>5310079.2</v>
      </c>
      <c r="O32" s="17" t="n">
        <v>0</v>
      </c>
      <c r="P32" s="17" t="n">
        <v>0</v>
      </c>
      <c r="Q32" s="17" t="n">
        <v>0</v>
      </c>
      <c r="R32" s="17" t="n"/>
      <c r="S32" s="18" t="n"/>
      <c r="T32" s="191" t="n">
        <f aca="false" ca="false" dt2D="false" dtr="false" t="normal">29302.97+64426.21</f>
        <v>93729.18</v>
      </c>
    </row>
    <row outlineLevel="0" r="33">
      <c r="A33" s="331" t="n">
        <f aca="false" ca="false" dt2D="false" dtr="false" t="normal">+A32+1</f>
        <v>18</v>
      </c>
      <c r="B33" s="6" t="n">
        <f aca="false" ca="false" dt2D="false" dtr="false" t="normal">+B32+1</f>
        <v>18</v>
      </c>
      <c r="C33" s="138" t="s">
        <v>104</v>
      </c>
      <c r="D33" s="138" t="s">
        <v>126</v>
      </c>
      <c r="E33" s="27" t="n">
        <f aca="false" ca="true" dt2D="false" dtr="false" t="normal">SUBTOTAL(9, F33:T33)</f>
        <v>11326258.89</v>
      </c>
      <c r="F33" s="17" t="n"/>
      <c r="G33" s="17" t="n">
        <v>4815586.08</v>
      </c>
      <c r="H33" s="17" t="n"/>
      <c r="I33" s="17" t="n">
        <v>2345570.74</v>
      </c>
      <c r="J33" s="17" t="n">
        <v>0</v>
      </c>
      <c r="K33" s="17" t="n"/>
      <c r="L33" s="17" t="n"/>
      <c r="M33" s="17" t="n">
        <v>0</v>
      </c>
      <c r="N33" s="17" t="n">
        <v>0</v>
      </c>
      <c r="O33" s="17" t="n">
        <v>4165102.07</v>
      </c>
      <c r="P33" s="17" t="n">
        <v>0</v>
      </c>
      <c r="Q33" s="17" t="n">
        <v>0</v>
      </c>
      <c r="R33" s="17" t="n"/>
      <c r="S33" s="18" t="n"/>
      <c r="T33" s="191" t="n"/>
    </row>
    <row outlineLevel="0" r="34">
      <c r="A34" s="331" t="n">
        <f aca="false" ca="false" dt2D="false" dtr="false" t="normal">+A33+1</f>
        <v>19</v>
      </c>
      <c r="B34" s="6" t="n">
        <f aca="false" ca="false" dt2D="false" dtr="false" t="normal">+B33+1</f>
        <v>19</v>
      </c>
      <c r="C34" s="138" t="s">
        <v>104</v>
      </c>
      <c r="D34" s="138" t="s">
        <v>128</v>
      </c>
      <c r="E34" s="27" t="n">
        <f aca="false" ca="true" dt2D="false" dtr="false" t="normal">SUBTOTAL(9, F34:T34)</f>
        <v>12466406.29</v>
      </c>
      <c r="F34" s="17" t="n">
        <v>5601164.74</v>
      </c>
      <c r="G34" s="17" t="n">
        <v>4132221.15</v>
      </c>
      <c r="H34" s="17" t="n"/>
      <c r="I34" s="17" t="n">
        <v>2594387.63</v>
      </c>
      <c r="J34" s="17" t="n">
        <v>0</v>
      </c>
      <c r="K34" s="17" t="n"/>
      <c r="L34" s="17" t="n"/>
      <c r="M34" s="17" t="n">
        <v>0</v>
      </c>
      <c r="N34" s="17" t="n">
        <v>0</v>
      </c>
      <c r="O34" s="17" t="n"/>
      <c r="P34" s="17" t="n">
        <v>0</v>
      </c>
      <c r="Q34" s="17" t="n">
        <v>0</v>
      </c>
      <c r="R34" s="17" t="n"/>
      <c r="S34" s="18" t="n"/>
      <c r="T34" s="191" t="n">
        <f aca="false" ca="false" dt2D="false" dtr="false" t="normal">138632.77</f>
        <v>138632.77</v>
      </c>
    </row>
    <row outlineLevel="0" r="35">
      <c r="A35" s="331" t="n">
        <f aca="false" ca="false" dt2D="false" dtr="false" t="normal">+A34+1</f>
        <v>20</v>
      </c>
      <c r="B35" s="6" t="n">
        <f aca="false" ca="false" dt2D="false" dtr="false" t="normal">+B34+1</f>
        <v>20</v>
      </c>
      <c r="C35" s="138" t="s">
        <v>104</v>
      </c>
      <c r="D35" s="138" t="s">
        <v>130</v>
      </c>
      <c r="E35" s="27" t="n">
        <f aca="false" ca="true" dt2D="false" dtr="false" t="normal">SUBTOTAL(9, F35:T35)</f>
        <v>4707613.74</v>
      </c>
      <c r="F35" s="17" t="n"/>
      <c r="G35" s="17" t="n">
        <v>1792691.85</v>
      </c>
      <c r="H35" s="17" t="n"/>
      <c r="I35" s="17" t="n">
        <v>1124322.94</v>
      </c>
      <c r="J35" s="17" t="n">
        <v>0</v>
      </c>
      <c r="K35" s="17" t="n"/>
      <c r="L35" s="17" t="n"/>
      <c r="M35" s="17" t="n">
        <v>0</v>
      </c>
      <c r="N35" s="17" t="n">
        <v>0</v>
      </c>
      <c r="O35" s="17" t="n">
        <v>1790598.95</v>
      </c>
      <c r="P35" s="17" t="n">
        <v>0</v>
      </c>
      <c r="Q35" s="17" t="n">
        <v>0</v>
      </c>
      <c r="R35" s="17" t="n"/>
      <c r="S35" s="18" t="n"/>
      <c r="T35" s="191" t="n"/>
    </row>
    <row outlineLevel="0" r="36">
      <c r="A36" s="331" t="n">
        <f aca="false" ca="false" dt2D="false" dtr="false" t="normal">+A35+1</f>
        <v>21</v>
      </c>
      <c r="B36" s="6" t="n">
        <f aca="false" ca="false" dt2D="false" dtr="false" t="normal">+B35+1</f>
        <v>21</v>
      </c>
      <c r="C36" s="138" t="s">
        <v>104</v>
      </c>
      <c r="D36" s="138" t="s">
        <v>132</v>
      </c>
      <c r="E36" s="27" t="n">
        <f aca="false" ca="true" dt2D="false" dtr="false" t="normal">SUBTOTAL(9, F36:T36)</f>
        <v>1520132.8199999998</v>
      </c>
      <c r="F36" s="17" t="n"/>
      <c r="G36" s="17" t="n">
        <v>991956.22</v>
      </c>
      <c r="H36" s="17" t="n"/>
      <c r="I36" s="17" t="n">
        <v>513354.67</v>
      </c>
      <c r="J36" s="17" t="n">
        <v>0</v>
      </c>
      <c r="K36" s="17" t="n"/>
      <c r="L36" s="17" t="n"/>
      <c r="M36" s="17" t="n">
        <v>0</v>
      </c>
      <c r="N36" s="17" t="n">
        <v>0</v>
      </c>
      <c r="O36" s="17" t="n">
        <v>0</v>
      </c>
      <c r="P36" s="17" t="n">
        <v>0</v>
      </c>
      <c r="Q36" s="17" t="n">
        <v>0</v>
      </c>
      <c r="R36" s="17" t="n"/>
      <c r="S36" s="18" t="n"/>
      <c r="T36" s="191" t="n">
        <f aca="false" ca="false" dt2D="false" dtr="false" t="normal">14821.93</f>
        <v>14821.93</v>
      </c>
    </row>
    <row outlineLevel="0" r="37">
      <c r="A37" s="331" t="n">
        <f aca="false" ca="false" dt2D="false" dtr="false" t="normal">+A36+1</f>
        <v>22</v>
      </c>
      <c r="B37" s="6" t="n">
        <f aca="false" ca="false" dt2D="false" dtr="false" t="normal">+B36+1</f>
        <v>22</v>
      </c>
      <c r="C37" s="138" t="s">
        <v>104</v>
      </c>
      <c r="D37" s="138" t="s">
        <v>135</v>
      </c>
      <c r="E37" s="27" t="n">
        <f aca="false" ca="true" dt2D="false" dtr="false" t="normal">SUBTOTAL(9, F37:T37)</f>
        <v>6194141.050000001</v>
      </c>
      <c r="F37" s="17" t="n">
        <v>2562057.49</v>
      </c>
      <c r="G37" s="17" t="n">
        <v>1395411.2</v>
      </c>
      <c r="H37" s="17" t="n"/>
      <c r="I37" s="17" t="n">
        <v>767119.01</v>
      </c>
      <c r="J37" s="17" t="n">
        <v>0</v>
      </c>
      <c r="K37" s="17" t="n"/>
      <c r="L37" s="17" t="n"/>
      <c r="M37" s="17" t="n">
        <v>0</v>
      </c>
      <c r="N37" s="17" t="n">
        <v>0</v>
      </c>
      <c r="O37" s="17" t="n">
        <v>1469553.35</v>
      </c>
      <c r="P37" s="17" t="n">
        <v>0</v>
      </c>
      <c r="Q37" s="17" t="n">
        <v>0</v>
      </c>
      <c r="R37" s="17" t="n"/>
      <c r="S37" s="18" t="n"/>
      <c r="T37" s="191" t="n"/>
    </row>
    <row outlineLevel="0" r="38">
      <c r="A38" s="331" t="n">
        <f aca="false" ca="false" dt2D="false" dtr="false" t="normal">+A37+1</f>
        <v>23</v>
      </c>
      <c r="B38" s="6" t="n">
        <f aca="false" ca="false" dt2D="false" dtr="false" t="normal">+B37+1</f>
        <v>23</v>
      </c>
      <c r="C38" s="138" t="s">
        <v>104</v>
      </c>
      <c r="D38" s="138" t="s">
        <v>137</v>
      </c>
      <c r="E38" s="27" t="n">
        <f aca="false" ca="true" dt2D="false" dtr="false" t="normal">SUBTOTAL(9, F38:T38)</f>
        <v>2223790.75</v>
      </c>
      <c r="F38" s="17" t="n">
        <v>2223790.75</v>
      </c>
      <c r="G38" s="17" t="n"/>
      <c r="H38" s="17" t="n"/>
      <c r="I38" s="17" t="n"/>
      <c r="J38" s="17" t="n">
        <v>0</v>
      </c>
      <c r="K38" s="17" t="n"/>
      <c r="L38" s="17" t="n"/>
      <c r="M38" s="17" t="n">
        <v>0</v>
      </c>
      <c r="N38" s="17" t="n">
        <v>0</v>
      </c>
      <c r="O38" s="17" t="n"/>
      <c r="P38" s="17" t="n">
        <v>0</v>
      </c>
      <c r="Q38" s="17" t="n">
        <v>0</v>
      </c>
      <c r="R38" s="17" t="n"/>
      <c r="S38" s="18" t="n"/>
      <c r="T38" s="191" t="n"/>
    </row>
    <row outlineLevel="0" r="39">
      <c r="A39" s="331" t="n">
        <f aca="false" ca="false" dt2D="false" dtr="false" t="normal">+A38+1</f>
        <v>24</v>
      </c>
      <c r="B39" s="6" t="n">
        <f aca="false" ca="false" dt2D="false" dtr="false" t="normal">+B38+1</f>
        <v>24</v>
      </c>
      <c r="C39" s="138" t="s">
        <v>110</v>
      </c>
      <c r="D39" s="138" t="s">
        <v>140</v>
      </c>
      <c r="E39" s="27" t="n">
        <f aca="false" ca="true" dt2D="false" dtr="false" t="normal">SUBTOTAL(9, F39:T39)</f>
        <v>3218799.54</v>
      </c>
      <c r="F39" s="17" t="n">
        <v>0</v>
      </c>
      <c r="G39" s="17" t="n">
        <v>0</v>
      </c>
      <c r="H39" s="17" t="n">
        <v>0</v>
      </c>
      <c r="I39" s="17" t="n">
        <v>0</v>
      </c>
      <c r="J39" s="17" t="n">
        <v>0</v>
      </c>
      <c r="K39" s="17" t="n"/>
      <c r="L39" s="17" t="n"/>
      <c r="M39" s="17" t="n">
        <v>0</v>
      </c>
      <c r="N39" s="162" t="n">
        <v>2913300.81</v>
      </c>
      <c r="O39" s="162" t="n">
        <v>0</v>
      </c>
      <c r="P39" s="162" t="n">
        <v>0</v>
      </c>
      <c r="Q39" s="162" t="n">
        <v>0</v>
      </c>
      <c r="R39" s="162" t="n">
        <v>297498.73</v>
      </c>
      <c r="S39" s="161" t="n">
        <v>8000</v>
      </c>
      <c r="T39" s="335" t="n"/>
    </row>
    <row outlineLevel="0" r="40">
      <c r="A40" s="331" t="n">
        <f aca="false" ca="false" dt2D="false" dtr="false" t="normal">+A39+1</f>
        <v>25</v>
      </c>
      <c r="B40" s="6" t="n">
        <f aca="false" ca="false" dt2D="false" dtr="false" t="normal">+B39+1</f>
        <v>25</v>
      </c>
      <c r="C40" s="138" t="s">
        <v>104</v>
      </c>
      <c r="D40" s="138" t="s">
        <v>143</v>
      </c>
      <c r="E40" s="27" t="n">
        <f aca="false" ca="true" dt2D="false" dtr="false" t="normal">SUBTOTAL(9, F40:T40)</f>
        <v>2578445.07</v>
      </c>
      <c r="F40" s="17" t="n"/>
      <c r="G40" s="17" t="n">
        <v>2540840.59</v>
      </c>
      <c r="H40" s="17" t="n">
        <v>0</v>
      </c>
      <c r="J40" s="17" t="n">
        <v>0</v>
      </c>
      <c r="K40" s="17" t="n"/>
      <c r="L40" s="17" t="n"/>
      <c r="M40" s="17" t="n">
        <v>0</v>
      </c>
      <c r="N40" s="17" t="n">
        <v>0</v>
      </c>
      <c r="O40" s="17" t="n">
        <v>0</v>
      </c>
      <c r="P40" s="17" t="n">
        <v>0</v>
      </c>
      <c r="Q40" s="17" t="n">
        <v>0</v>
      </c>
      <c r="R40" s="17" t="n"/>
      <c r="S40" s="18" t="n"/>
      <c r="T40" s="191" t="n">
        <f aca="false" ca="false" dt2D="false" dtr="false" t="normal">37604.48</f>
        <v>37604.48</v>
      </c>
    </row>
    <row outlineLevel="0" r="41">
      <c r="A41" s="331" t="n">
        <f aca="false" ca="false" dt2D="false" dtr="false" t="normal">+A40+1</f>
        <v>26</v>
      </c>
      <c r="B41" s="6" t="n">
        <f aca="false" ca="false" dt2D="false" dtr="false" t="normal">+B40+1</f>
        <v>26</v>
      </c>
      <c r="C41" s="138" t="s">
        <v>110</v>
      </c>
      <c r="D41" s="138" t="s">
        <v>144</v>
      </c>
      <c r="E41" s="27" t="n">
        <f aca="false" ca="true" dt2D="false" dtr="false" t="normal">SUBTOTAL(9, F41:T41)</f>
        <v>3557949.73</v>
      </c>
      <c r="F41" s="162" t="n">
        <v>2951330.4</v>
      </c>
      <c r="G41" s="162" t="n">
        <v>0</v>
      </c>
      <c r="H41" s="162" t="n">
        <v>0</v>
      </c>
      <c r="I41" s="162" t="n">
        <v>0</v>
      </c>
      <c r="J41" s="162" t="n">
        <v>0</v>
      </c>
      <c r="K41" s="162" t="n"/>
      <c r="L41" s="162" t="n"/>
      <c r="M41" s="162" t="n">
        <v>0</v>
      </c>
      <c r="N41" s="162" t="n">
        <v>0</v>
      </c>
      <c r="O41" s="162" t="n"/>
      <c r="P41" s="162" t="n">
        <v>0</v>
      </c>
      <c r="Q41" s="162" t="n">
        <v>0</v>
      </c>
      <c r="R41" s="162" t="n">
        <v>582619.33</v>
      </c>
      <c r="S41" s="161" t="n">
        <v>24000</v>
      </c>
      <c r="T41" s="335" t="n"/>
    </row>
    <row outlineLevel="0" r="42">
      <c r="A42" s="331" t="n">
        <f aca="false" ca="false" dt2D="false" dtr="false" t="normal">+A41+1</f>
        <v>27</v>
      </c>
      <c r="B42" s="6" t="n">
        <f aca="false" ca="false" dt2D="false" dtr="false" t="normal">+B41+1</f>
        <v>27</v>
      </c>
      <c r="C42" s="138" t="s">
        <v>104</v>
      </c>
      <c r="D42" s="138" t="s">
        <v>146</v>
      </c>
      <c r="E42" s="27" t="n">
        <f aca="false" ca="true" dt2D="false" dtr="false" t="normal">SUBTOTAL(9, F42:T42)</f>
        <v>8504765.02</v>
      </c>
      <c r="F42" s="17" t="n">
        <v>3433452.29</v>
      </c>
      <c r="G42" s="17" t="n">
        <v>2760585.92</v>
      </c>
      <c r="H42" s="17" t="n">
        <v>0</v>
      </c>
      <c r="I42" s="17" t="n">
        <v>2310726.81</v>
      </c>
      <c r="J42" s="17" t="n">
        <v>0</v>
      </c>
      <c r="K42" s="17" t="n"/>
      <c r="L42" s="17" t="n"/>
      <c r="M42" s="17" t="n">
        <v>0</v>
      </c>
      <c r="N42" s="17" t="n">
        <v>0</v>
      </c>
      <c r="O42" s="17" t="n">
        <v>0</v>
      </c>
      <c r="P42" s="17" t="n">
        <v>0</v>
      </c>
      <c r="Q42" s="17" t="n">
        <v>0</v>
      </c>
      <c r="R42" s="17" t="n"/>
      <c r="S42" s="18" t="n"/>
      <c r="T42" s="191" t="n">
        <v>0</v>
      </c>
    </row>
    <row outlineLevel="0" r="43">
      <c r="A43" s="331" t="n">
        <f aca="false" ca="false" dt2D="false" dtr="false" t="normal">+A42+1</f>
        <v>28</v>
      </c>
      <c r="B43" s="6" t="n">
        <f aca="false" ca="false" dt2D="false" dtr="false" t="normal">+B42+1</f>
        <v>28</v>
      </c>
      <c r="C43" s="138" t="s">
        <v>104</v>
      </c>
      <c r="D43" s="138" t="s">
        <v>152</v>
      </c>
      <c r="E43" s="27" t="n">
        <f aca="false" ca="true" dt2D="false" dtr="false" t="normal">SUBTOTAL(9, F43:T43)</f>
        <v>5115227.17</v>
      </c>
      <c r="F43" s="17" t="n"/>
      <c r="G43" s="17" t="n">
        <v>0</v>
      </c>
      <c r="H43" s="17" t="n">
        <v>0</v>
      </c>
      <c r="I43" s="17" t="n"/>
      <c r="J43" s="17" t="n">
        <v>0</v>
      </c>
      <c r="K43" s="17" t="n"/>
      <c r="L43" s="17" t="n"/>
      <c r="M43" s="17" t="n">
        <v>0</v>
      </c>
      <c r="N43" s="17" t="n">
        <v>0</v>
      </c>
      <c r="O43" s="17" t="n">
        <v>5115227.17</v>
      </c>
      <c r="P43" s="17" t="n">
        <v>0</v>
      </c>
      <c r="Q43" s="17" t="n">
        <v>0</v>
      </c>
      <c r="R43" s="17" t="n"/>
      <c r="S43" s="18" t="n"/>
      <c r="T43" s="191" t="n"/>
    </row>
    <row outlineLevel="0" r="44">
      <c r="A44" s="331" t="n">
        <f aca="false" ca="false" dt2D="false" dtr="false" t="normal">+A43+1</f>
        <v>29</v>
      </c>
      <c r="B44" s="6" t="n">
        <f aca="false" ca="false" dt2D="false" dtr="false" t="normal">+B43+1</f>
        <v>29</v>
      </c>
      <c r="C44" s="138" t="s">
        <v>104</v>
      </c>
      <c r="D44" s="138" t="s">
        <v>154</v>
      </c>
      <c r="E44" s="27" t="n">
        <f aca="false" ca="true" dt2D="false" dtr="false" t="normal">SUBTOTAL(9, F44:T44)</f>
        <v>4339069.35</v>
      </c>
      <c r="F44" s="17" t="n">
        <v>0</v>
      </c>
      <c r="G44" s="17" t="n">
        <v>0</v>
      </c>
      <c r="H44" s="17" t="n">
        <v>0</v>
      </c>
      <c r="I44" s="17" t="n">
        <v>0</v>
      </c>
      <c r="J44" s="17" t="n">
        <v>0</v>
      </c>
      <c r="K44" s="17" t="n"/>
      <c r="L44" s="17" t="n"/>
      <c r="M44" s="17" t="n">
        <v>0</v>
      </c>
      <c r="N44" s="17" t="n">
        <v>0</v>
      </c>
      <c r="O44" s="17" t="n">
        <v>4339069.35</v>
      </c>
      <c r="P44" s="17" t="n">
        <v>0</v>
      </c>
      <c r="Q44" s="17" t="n">
        <v>0</v>
      </c>
      <c r="R44" s="17" t="n"/>
      <c r="S44" s="18" t="n"/>
      <c r="T44" s="191" t="n"/>
    </row>
    <row outlineLevel="0" r="45">
      <c r="A45" s="331" t="n">
        <f aca="false" ca="false" dt2D="false" dtr="false" t="normal">+A44+1</f>
        <v>30</v>
      </c>
      <c r="B45" s="6" t="n">
        <f aca="false" ca="false" dt2D="false" dtr="false" t="normal">+B44+1</f>
        <v>30</v>
      </c>
      <c r="C45" s="138" t="s">
        <v>104</v>
      </c>
      <c r="D45" s="138" t="s">
        <v>156</v>
      </c>
      <c r="E45" s="27" t="n">
        <f aca="false" ca="true" dt2D="false" dtr="false" t="normal">SUBTOTAL(9, F45:T45)</f>
        <v>3882256.24</v>
      </c>
      <c r="F45" s="17" t="n">
        <v>0</v>
      </c>
      <c r="G45" s="17" t="n">
        <v>0</v>
      </c>
      <c r="H45" s="17" t="n">
        <v>0</v>
      </c>
      <c r="I45" s="17" t="n">
        <v>0</v>
      </c>
      <c r="J45" s="17" t="n">
        <v>0</v>
      </c>
      <c r="K45" s="17" t="n"/>
      <c r="L45" s="17" t="n"/>
      <c r="M45" s="17" t="n">
        <v>0</v>
      </c>
      <c r="N45" s="17" t="n">
        <v>0</v>
      </c>
      <c r="O45" s="17" t="n">
        <v>3882256.24</v>
      </c>
      <c r="P45" s="17" t="n">
        <v>0</v>
      </c>
      <c r="Q45" s="17" t="n">
        <v>0</v>
      </c>
      <c r="R45" s="17" t="n"/>
      <c r="S45" s="18" t="n"/>
      <c r="T45" s="191" t="n"/>
    </row>
    <row outlineLevel="0" r="46">
      <c r="A46" s="331" t="n">
        <f aca="false" ca="false" dt2D="false" dtr="false" t="normal">+A45+1</f>
        <v>31</v>
      </c>
      <c r="B46" s="6" t="n">
        <f aca="false" ca="false" dt2D="false" dtr="false" t="normal">+B45+1</f>
        <v>31</v>
      </c>
      <c r="C46" s="138" t="s">
        <v>104</v>
      </c>
      <c r="D46" s="138" t="s">
        <v>160</v>
      </c>
      <c r="E46" s="27" t="n">
        <f aca="false" ca="true" dt2D="false" dtr="false" t="normal">SUBTOTAL(9, F46:T46)</f>
        <v>3994725.91</v>
      </c>
      <c r="F46" s="17" t="n">
        <v>0</v>
      </c>
      <c r="G46" s="17" t="n">
        <v>0</v>
      </c>
      <c r="H46" s="17" t="n">
        <v>0</v>
      </c>
      <c r="I46" s="17" t="n">
        <v>0</v>
      </c>
      <c r="J46" s="17" t="n">
        <v>0</v>
      </c>
      <c r="K46" s="17" t="n"/>
      <c r="L46" s="17" t="n"/>
      <c r="M46" s="17" t="n">
        <v>0</v>
      </c>
      <c r="N46" s="17" t="n">
        <v>0</v>
      </c>
      <c r="O46" s="17" t="n">
        <v>3994725.91</v>
      </c>
      <c r="P46" s="17" t="n">
        <v>0</v>
      </c>
      <c r="Q46" s="17" t="n">
        <v>0</v>
      </c>
      <c r="R46" s="17" t="n"/>
      <c r="S46" s="18" t="n"/>
      <c r="T46" s="191" t="n"/>
    </row>
    <row outlineLevel="0" r="47">
      <c r="A47" s="331" t="n">
        <f aca="false" ca="false" dt2D="false" dtr="false" t="normal">+A46+1</f>
        <v>32</v>
      </c>
      <c r="B47" s="6" t="n">
        <f aca="false" ca="false" dt2D="false" dtr="false" t="normal">+B46+1</f>
        <v>32</v>
      </c>
      <c r="C47" s="138" t="s">
        <v>104</v>
      </c>
      <c r="D47" s="138" t="s">
        <v>163</v>
      </c>
      <c r="E47" s="27" t="n">
        <f aca="false" ca="true" dt2D="false" dtr="false" t="normal">SUBTOTAL(9, F47:T47)</f>
        <v>3410025.96</v>
      </c>
      <c r="F47" s="17" t="n">
        <v>0</v>
      </c>
      <c r="G47" s="17" t="n">
        <v>0</v>
      </c>
      <c r="H47" s="17" t="n">
        <v>0</v>
      </c>
      <c r="I47" s="17" t="n">
        <v>0</v>
      </c>
      <c r="J47" s="17" t="n">
        <v>0</v>
      </c>
      <c r="K47" s="17" t="n"/>
      <c r="L47" s="17" t="n"/>
      <c r="M47" s="17" t="n">
        <v>0</v>
      </c>
      <c r="N47" s="17" t="n">
        <v>0</v>
      </c>
      <c r="O47" s="17" t="n">
        <v>3410025.96</v>
      </c>
      <c r="P47" s="17" t="n">
        <v>0</v>
      </c>
      <c r="Q47" s="17" t="n">
        <v>0</v>
      </c>
      <c r="R47" s="17" t="n"/>
      <c r="S47" s="18" t="n"/>
      <c r="T47" s="191" t="n"/>
    </row>
    <row outlineLevel="0" r="48">
      <c r="A48" s="331" t="n">
        <f aca="false" ca="false" dt2D="false" dtr="false" t="normal">+A47+1</f>
        <v>33</v>
      </c>
      <c r="B48" s="6" t="n">
        <f aca="false" ca="false" dt2D="false" dtr="false" t="normal">+B47+1</f>
        <v>33</v>
      </c>
      <c r="C48" s="138" t="s">
        <v>104</v>
      </c>
      <c r="D48" s="138" t="s">
        <v>168</v>
      </c>
      <c r="E48" s="27" t="n">
        <f aca="false" ca="true" dt2D="false" dtr="false" t="normal">SUBTOTAL(9, F48:T48)</f>
        <v>11789941.39</v>
      </c>
      <c r="F48" s="17" t="n">
        <v>5460916.2</v>
      </c>
      <c r="G48" s="17" t="n"/>
      <c r="H48" s="17" t="n"/>
      <c r="I48" s="17" t="n">
        <v>2605145.33</v>
      </c>
      <c r="J48" s="17" t="n">
        <v>0</v>
      </c>
      <c r="K48" s="17" t="n"/>
      <c r="L48" s="17" t="n"/>
      <c r="M48" s="17" t="n">
        <v>0</v>
      </c>
      <c r="N48" s="17" t="n">
        <v>3676226.7</v>
      </c>
      <c r="O48" s="17" t="n">
        <v>0</v>
      </c>
      <c r="P48" s="17" t="n">
        <v>0</v>
      </c>
      <c r="Q48" s="17" t="n">
        <v>0</v>
      </c>
      <c r="R48" s="17" t="n"/>
      <c r="S48" s="18" t="n"/>
      <c r="T48" s="191" t="n">
        <f aca="false" ca="false" dt2D="false" dtr="false" t="normal">47653.16</f>
        <v>47653.16</v>
      </c>
    </row>
    <row outlineLevel="0" r="49">
      <c r="A49" s="331" t="n">
        <f aca="false" ca="false" dt2D="false" dtr="false" t="normal">+A48+1</f>
        <v>34</v>
      </c>
      <c r="B49" s="6" t="n">
        <f aca="false" ca="false" dt2D="false" dtr="false" t="normal">+B48+1</f>
        <v>34</v>
      </c>
      <c r="C49" s="138" t="s">
        <v>104</v>
      </c>
      <c r="D49" s="138" t="s">
        <v>170</v>
      </c>
      <c r="E49" s="27" t="n">
        <f aca="false" ca="true" dt2D="false" dtr="false" t="normal">SUBTOTAL(9, F49:T49)</f>
        <v>24993173.34</v>
      </c>
      <c r="F49" s="17" t="n">
        <v>0</v>
      </c>
      <c r="G49" s="17" t="n">
        <v>0</v>
      </c>
      <c r="H49" s="17" t="n">
        <v>0</v>
      </c>
      <c r="I49" s="17" t="n">
        <v>0</v>
      </c>
      <c r="J49" s="17" t="n">
        <v>0</v>
      </c>
      <c r="K49" s="17" t="n"/>
      <c r="L49" s="17" t="n"/>
      <c r="M49" s="17" t="n">
        <v>0</v>
      </c>
      <c r="N49" s="17" t="n"/>
      <c r="O49" s="17" t="n">
        <v>0</v>
      </c>
      <c r="P49" s="17" t="n">
        <v>24993173.34</v>
      </c>
      <c r="Q49" s="17" t="n">
        <v>0</v>
      </c>
      <c r="R49" s="17" t="n"/>
      <c r="S49" s="18" t="n"/>
      <c r="T49" s="191" t="n"/>
    </row>
    <row outlineLevel="0" r="50">
      <c r="A50" s="331" t="n">
        <f aca="false" ca="false" dt2D="false" dtr="false" t="normal">+A49+1</f>
        <v>35</v>
      </c>
      <c r="B50" s="6" t="n">
        <f aca="false" ca="false" dt2D="false" dtr="false" t="normal">+B49+1</f>
        <v>35</v>
      </c>
      <c r="C50" s="138" t="s">
        <v>104</v>
      </c>
      <c r="D50" s="138" t="s">
        <v>172</v>
      </c>
      <c r="E50" s="27" t="n">
        <f aca="false" ca="true" dt2D="false" dtr="false" t="normal">SUBTOTAL(9, F50:T50)</f>
        <v>2149155.58</v>
      </c>
      <c r="F50" s="17" t="n"/>
      <c r="G50" s="17" t="n">
        <v>2149155.58</v>
      </c>
      <c r="H50" s="17" t="n">
        <v>0</v>
      </c>
      <c r="I50" s="17" t="n">
        <v>0</v>
      </c>
      <c r="J50" s="17" t="n">
        <v>0</v>
      </c>
      <c r="K50" s="17" t="n"/>
      <c r="L50" s="17" t="n"/>
      <c r="M50" s="17" t="n"/>
      <c r="N50" s="17" t="n"/>
      <c r="O50" s="17" t="n"/>
      <c r="P50" s="17" t="n"/>
      <c r="Q50" s="17" t="n">
        <v>0</v>
      </c>
      <c r="R50" s="17" t="n"/>
      <c r="S50" s="18" t="n"/>
      <c r="T50" s="191" t="n"/>
    </row>
    <row outlineLevel="0" r="51">
      <c r="A51" s="331" t="n">
        <f aca="false" ca="false" dt2D="false" dtr="false" t="normal">+A50+1</f>
        <v>36</v>
      </c>
      <c r="B51" s="6" t="n">
        <f aca="false" ca="false" dt2D="false" dtr="false" t="normal">+B50+1</f>
        <v>36</v>
      </c>
      <c r="C51" s="138" t="s">
        <v>104</v>
      </c>
      <c r="D51" s="138" t="s">
        <v>173</v>
      </c>
      <c r="E51" s="27" t="n">
        <f aca="false" ca="true" dt2D="false" dtr="false" t="normal">SUBTOTAL(9, F51:T51)</f>
        <v>1847088.8</v>
      </c>
      <c r="F51" s="17" t="n">
        <v>0</v>
      </c>
      <c r="G51" s="17" t="n">
        <v>0</v>
      </c>
      <c r="H51" s="17" t="n">
        <v>0</v>
      </c>
      <c r="I51" s="17" t="n">
        <v>0</v>
      </c>
      <c r="J51" s="17" t="n">
        <v>0</v>
      </c>
      <c r="K51" s="17" t="n"/>
      <c r="L51" s="17" t="n"/>
      <c r="M51" s="17" t="n">
        <v>0</v>
      </c>
      <c r="N51" s="17" t="n">
        <v>1822287.29</v>
      </c>
      <c r="O51" s="17" t="n">
        <v>0</v>
      </c>
      <c r="P51" s="17" t="n">
        <v>0</v>
      </c>
      <c r="Q51" s="17" t="n">
        <v>0</v>
      </c>
      <c r="R51" s="17" t="n"/>
      <c r="S51" s="18" t="n"/>
      <c r="T51" s="191" t="n">
        <f aca="false" ca="false" dt2D="false" dtr="false" t="normal">24801.51</f>
        <v>24801.51</v>
      </c>
    </row>
    <row outlineLevel="0" r="52">
      <c r="A52" s="331" t="n">
        <f aca="false" ca="false" dt2D="false" dtr="false" t="normal">+A51+1</f>
        <v>37</v>
      </c>
      <c r="B52" s="6" t="n">
        <f aca="false" ca="false" dt2D="false" dtr="false" t="normal">+B51+1</f>
        <v>37</v>
      </c>
      <c r="C52" s="138" t="s">
        <v>110</v>
      </c>
      <c r="D52" s="138" t="s">
        <v>175</v>
      </c>
      <c r="E52" s="27" t="n">
        <f aca="false" ca="true" dt2D="false" dtr="false" t="normal">SUBTOTAL(9, F52:T52)</f>
        <v>21685771.74</v>
      </c>
      <c r="F52" s="17" t="n"/>
      <c r="G52" s="162" t="n">
        <v>6965734.8</v>
      </c>
      <c r="H52" s="162" t="n">
        <v>2892341.42</v>
      </c>
      <c r="I52" s="162" t="n">
        <v>3341459.79</v>
      </c>
      <c r="J52" s="162" t="n">
        <v>0</v>
      </c>
      <c r="K52" s="162" t="n"/>
      <c r="L52" s="162" t="n"/>
      <c r="M52" s="162" t="n">
        <v>0</v>
      </c>
      <c r="N52" s="162" t="n">
        <v>7743707.05</v>
      </c>
      <c r="O52" s="162" t="n">
        <v>0</v>
      </c>
      <c r="P52" s="162" t="n">
        <v>0</v>
      </c>
      <c r="Q52" s="162" t="n">
        <v>0</v>
      </c>
      <c r="R52" s="162" t="n">
        <v>732528.68</v>
      </c>
      <c r="S52" s="161" t="n">
        <v>10000</v>
      </c>
      <c r="T52" s="335" t="n"/>
    </row>
    <row outlineLevel="0" r="53">
      <c r="A53" s="331" t="n">
        <f aca="false" ca="false" dt2D="false" dtr="false" t="normal">+A52+1</f>
        <v>38</v>
      </c>
      <c r="B53" s="6" t="n">
        <f aca="false" ca="false" dt2D="false" dtr="false" t="normal">+B52+1</f>
        <v>38</v>
      </c>
      <c r="C53" s="138" t="s">
        <v>177</v>
      </c>
      <c r="D53" s="138" t="s">
        <v>178</v>
      </c>
      <c r="E53" s="27" t="n">
        <f aca="false" ca="true" dt2D="false" dtr="false" t="normal">SUBTOTAL(9, F53:T53)</f>
        <v>12553815.559</v>
      </c>
      <c r="F53" s="17" t="n">
        <v>1983392.29</v>
      </c>
      <c r="G53" s="17" t="n">
        <v>0</v>
      </c>
      <c r="H53" s="17" t="n">
        <v>764851.03</v>
      </c>
      <c r="I53" s="17" t="n">
        <v>859745.54</v>
      </c>
      <c r="J53" s="17" t="n">
        <v>0</v>
      </c>
      <c r="K53" s="17" t="n"/>
      <c r="L53" s="17" t="n"/>
      <c r="M53" s="17" t="n">
        <v>0</v>
      </c>
      <c r="N53" s="17" t="n">
        <v>4729777.27</v>
      </c>
      <c r="O53" s="17" t="n">
        <v>0</v>
      </c>
      <c r="P53" s="17" t="n">
        <v>3962700.17</v>
      </c>
      <c r="Q53" s="17" t="n"/>
      <c r="R53" s="17" t="n">
        <v>118987.5845</v>
      </c>
      <c r="S53" s="18" t="n">
        <v>24854.0145</v>
      </c>
      <c r="T53" s="191" t="n">
        <f aca="false" ca="false" dt2D="false" dtr="false" t="normal">20818.12+6585.02+11518.46+32453.28+38132.78</f>
        <v>109507.66</v>
      </c>
    </row>
    <row outlineLevel="0" r="54">
      <c r="A54" s="331" t="n">
        <f aca="false" ca="false" dt2D="false" dtr="false" t="normal">+A53+1</f>
        <v>39</v>
      </c>
      <c r="B54" s="6" t="n">
        <f aca="false" ca="false" dt2D="false" dtr="false" t="normal">+B53+1</f>
        <v>39</v>
      </c>
      <c r="C54" s="138" t="s">
        <v>177</v>
      </c>
      <c r="D54" s="138" t="s">
        <v>182</v>
      </c>
      <c r="E54" s="27" t="n">
        <f aca="false" ca="true" dt2D="false" dtr="false" t="normal">SUBTOTAL(9, F54:T54)</f>
        <v>9735761.079999998</v>
      </c>
      <c r="F54" s="17" t="n">
        <v>3525522.9</v>
      </c>
      <c r="G54" s="17" t="n">
        <v>0</v>
      </c>
      <c r="H54" s="17" t="n">
        <v>1377151.25</v>
      </c>
      <c r="I54" s="17" t="n"/>
      <c r="J54" s="17" t="n">
        <v>0</v>
      </c>
      <c r="K54" s="17" t="n"/>
      <c r="L54" s="17" t="n"/>
      <c r="M54" s="17" t="n">
        <v>0</v>
      </c>
      <c r="N54" s="17" t="n">
        <v>4462778.89</v>
      </c>
      <c r="O54" s="17" t="n">
        <v>0</v>
      </c>
      <c r="P54" s="17" t="n">
        <v>0</v>
      </c>
      <c r="Q54" s="17" t="n">
        <v>0</v>
      </c>
      <c r="R54" s="17" t="n">
        <v>322308.04</v>
      </c>
      <c r="S54" s="18" t="n">
        <v>48000</v>
      </c>
      <c r="T54" s="191" t="n"/>
    </row>
    <row outlineLevel="0" r="55">
      <c r="A55" s="331" t="n">
        <f aca="false" ca="false" dt2D="false" dtr="false" t="normal">+A54+1</f>
        <v>40</v>
      </c>
      <c r="B55" s="6" t="n">
        <f aca="false" ca="false" dt2D="false" dtr="false" t="normal">+B54+1</f>
        <v>40</v>
      </c>
      <c r="C55" s="138" t="s">
        <v>177</v>
      </c>
      <c r="D55" s="138" t="s">
        <v>185</v>
      </c>
      <c r="E55" s="27" t="n">
        <f aca="false" ca="true" dt2D="false" dtr="false" t="normal">SUBTOTAL(9, F55:T55)</f>
        <v>7455631.819999999</v>
      </c>
      <c r="F55" s="17" t="n">
        <v>5966685.68</v>
      </c>
      <c r="G55" s="17" t="n">
        <v>1488946.14</v>
      </c>
      <c r="H55" s="17" t="n"/>
      <c r="I55" s="17" t="n"/>
      <c r="J55" s="17" t="n">
        <v>0</v>
      </c>
      <c r="K55" s="17" t="n"/>
      <c r="L55" s="17" t="n"/>
      <c r="M55" s="17" t="n">
        <v>0</v>
      </c>
      <c r="N55" s="17" t="n"/>
      <c r="O55" s="17" t="n">
        <v>0</v>
      </c>
      <c r="P55" s="17" t="n"/>
      <c r="Q55" s="17" t="n"/>
      <c r="R55" s="17" t="n"/>
      <c r="S55" s="18" t="n"/>
      <c r="T55" s="191" t="n"/>
    </row>
    <row outlineLevel="0" r="56">
      <c r="A56" s="331" t="n">
        <f aca="false" ca="false" dt2D="false" dtr="false" t="normal">+A55+1</f>
        <v>41</v>
      </c>
      <c r="B56" s="6" t="n">
        <f aca="false" ca="false" dt2D="false" dtr="false" t="normal">+B55+1</f>
        <v>41</v>
      </c>
      <c r="C56" s="138" t="s">
        <v>177</v>
      </c>
      <c r="D56" s="138" t="s">
        <v>188</v>
      </c>
      <c r="E56" s="27" t="n">
        <f aca="false" ca="true" dt2D="false" dtr="false" t="normal">SUBTOTAL(9, F56:T56)</f>
        <v>12314688.842366</v>
      </c>
      <c r="F56" s="17" t="n">
        <v>1765727.93</v>
      </c>
      <c r="G56" s="17" t="n">
        <v>0</v>
      </c>
      <c r="H56" s="17" t="n">
        <v>609050.4</v>
      </c>
      <c r="I56" s="17" t="n"/>
      <c r="J56" s="17" t="n">
        <v>0</v>
      </c>
      <c r="K56" s="17" t="n"/>
      <c r="L56" s="17" t="n"/>
      <c r="M56" s="17" t="n">
        <v>0</v>
      </c>
      <c r="N56" s="17" t="n">
        <v>6221591.211066</v>
      </c>
      <c r="O56" s="17" t="n"/>
      <c r="P56" s="17" t="n"/>
      <c r="Q56" s="17" t="n">
        <v>2928661.91</v>
      </c>
      <c r="R56" s="17" t="n">
        <v>699135.1274</v>
      </c>
      <c r="S56" s="18" t="n">
        <v>90522.2639</v>
      </c>
      <c r="T56" s="191" t="n"/>
    </row>
    <row outlineLevel="0" r="57">
      <c r="A57" s="331" t="n">
        <f aca="false" ca="false" dt2D="false" dtr="false" t="normal">+A56+1</f>
        <v>42</v>
      </c>
      <c r="B57" s="6" t="n">
        <f aca="false" ca="false" dt2D="false" dtr="false" t="normal">+B56+1</f>
        <v>42</v>
      </c>
      <c r="C57" s="138" t="s">
        <v>177</v>
      </c>
      <c r="D57" s="138" t="s">
        <v>191</v>
      </c>
      <c r="E57" s="27" t="n">
        <f aca="false" ca="true" dt2D="false" dtr="false" t="normal">SUBTOTAL(9, F57:T57)</f>
        <v>7111904.59</v>
      </c>
      <c r="F57" s="17" t="n">
        <v>3493966.86</v>
      </c>
      <c r="G57" s="17" t="n">
        <v>2141042.75</v>
      </c>
      <c r="H57" s="17" t="n"/>
      <c r="I57" s="17" t="n">
        <v>1393455.49</v>
      </c>
      <c r="J57" s="17" t="n"/>
      <c r="K57" s="17" t="n"/>
      <c r="L57" s="17" t="n"/>
      <c r="M57" s="17" t="n">
        <v>0</v>
      </c>
      <c r="N57" s="17" t="n">
        <v>0</v>
      </c>
      <c r="O57" s="17" t="n">
        <v>0</v>
      </c>
      <c r="P57" s="17" t="n">
        <v>0</v>
      </c>
      <c r="Q57" s="17" t="n">
        <v>0</v>
      </c>
      <c r="R57" s="17" t="n"/>
      <c r="S57" s="18" t="n"/>
      <c r="T57" s="191" t="n">
        <f aca="false" ca="false" dt2D="false" dtr="false" t="normal">47895.04+22398.98+13145.47</f>
        <v>83439.49</v>
      </c>
    </row>
    <row outlineLevel="0" r="58">
      <c r="A58" s="331" t="n">
        <f aca="false" ca="false" dt2D="false" dtr="false" t="normal">+A57+1</f>
        <v>43</v>
      </c>
      <c r="B58" s="6" t="n">
        <f aca="false" ca="false" dt2D="false" dtr="false" t="normal">+B57+1</f>
        <v>43</v>
      </c>
      <c r="C58" s="138" t="s">
        <v>177</v>
      </c>
      <c r="D58" s="138" t="s">
        <v>194</v>
      </c>
      <c r="E58" s="27" t="n">
        <f aca="false" ca="true" dt2D="false" dtr="false" t="normal">SUBTOTAL(9, F58:T58)</f>
        <v>45108809.80500001</v>
      </c>
      <c r="F58" s="17" t="n">
        <v>5399356.92</v>
      </c>
      <c r="G58" s="17" t="n"/>
      <c r="H58" s="17" t="n">
        <v>2387945.18</v>
      </c>
      <c r="I58" s="17" t="n">
        <v>2433472.68</v>
      </c>
      <c r="J58" s="17" t="n"/>
      <c r="K58" s="17" t="n"/>
      <c r="L58" s="17" t="n"/>
      <c r="M58" s="17" t="n">
        <v>0</v>
      </c>
      <c r="N58" s="17" t="n">
        <v>11379650.75</v>
      </c>
      <c r="O58" s="17" t="n">
        <v>0</v>
      </c>
      <c r="P58" s="17" t="n">
        <v>18883188.84</v>
      </c>
      <c r="Q58" s="17" t="n">
        <v>3776525.81</v>
      </c>
      <c r="R58" s="17" t="n">
        <v>276792.4575</v>
      </c>
      <c r="S58" s="18" t="n">
        <v>44508.1675</v>
      </c>
      <c r="T58" s="191" t="n">
        <f aca="false" ca="false" dt2D="false" dtr="false" t="normal">64915.61+30822.62+23778.33+89763.23+262834.11+55255.1</f>
        <v>527369</v>
      </c>
    </row>
    <row outlineLevel="0" r="59">
      <c r="A59" s="331" t="n">
        <f aca="false" ca="false" dt2D="false" dtr="false" t="normal">+A58+1</f>
        <v>44</v>
      </c>
      <c r="B59" s="6" t="n">
        <f aca="false" ca="false" dt2D="false" dtr="false" t="normal">+B58+1</f>
        <v>44</v>
      </c>
      <c r="C59" s="138" t="s">
        <v>177</v>
      </c>
      <c r="D59" s="138" t="s">
        <v>197</v>
      </c>
      <c r="E59" s="27" t="n">
        <f aca="false" ca="true" dt2D="false" dtr="false" t="normal">SUBTOTAL(9, F59:T59)</f>
        <v>9226907.764058206</v>
      </c>
      <c r="F59" s="17" t="n">
        <v>1114194.82</v>
      </c>
      <c r="G59" s="17" t="n">
        <v>0</v>
      </c>
      <c r="H59" s="17" t="n">
        <v>325054.98</v>
      </c>
      <c r="I59" s="17" t="n">
        <v>0</v>
      </c>
      <c r="J59" s="17" t="n">
        <v>0</v>
      </c>
      <c r="K59" s="17" t="n"/>
      <c r="L59" s="17" t="n"/>
      <c r="M59" s="17" t="n">
        <v>0</v>
      </c>
      <c r="N59" s="17" t="n">
        <v>2410884.95</v>
      </c>
      <c r="O59" s="17" t="n">
        <v>0</v>
      </c>
      <c r="P59" s="17" t="n">
        <v>2965969.93</v>
      </c>
      <c r="Q59" s="17" t="n">
        <v>2124525.03</v>
      </c>
      <c r="R59" s="17" t="n">
        <v>222088.61</v>
      </c>
      <c r="S59" s="17" t="n">
        <f aca="false" ca="false" dt2D="false" dtr="false" t="normal">64189.4440582085</f>
        <v>64189.4440582085</v>
      </c>
      <c r="T59" s="191" t="n"/>
    </row>
    <row outlineLevel="0" r="60">
      <c r="A60" s="331" t="n">
        <f aca="false" ca="false" dt2D="false" dtr="false" t="normal">+A59+1</f>
        <v>45</v>
      </c>
      <c r="B60" s="6" t="n">
        <f aca="false" ca="false" dt2D="false" dtr="false" t="normal">+B59+1</f>
        <v>45</v>
      </c>
      <c r="C60" s="138" t="s">
        <v>177</v>
      </c>
      <c r="D60" s="138" t="s">
        <v>198</v>
      </c>
      <c r="E60" s="27" t="n">
        <f aca="false" ca="true" dt2D="false" dtr="false" t="normal">SUBTOTAL(9, F60:T60)</f>
        <v>295096.46</v>
      </c>
      <c r="F60" s="17" t="n">
        <v>0</v>
      </c>
      <c r="G60" s="17" t="n">
        <v>0</v>
      </c>
      <c r="H60" s="17" t="n">
        <v>295096.46</v>
      </c>
      <c r="I60" s="17" t="n">
        <v>0</v>
      </c>
      <c r="J60" s="17" t="n">
        <v>0</v>
      </c>
      <c r="K60" s="17" t="n"/>
      <c r="L60" s="17" t="n"/>
      <c r="M60" s="17" t="n">
        <v>0</v>
      </c>
      <c r="N60" s="17" t="n">
        <v>0</v>
      </c>
      <c r="O60" s="17" t="n">
        <v>0</v>
      </c>
      <c r="P60" s="17" t="n"/>
      <c r="Q60" s="17" t="n"/>
      <c r="R60" s="17" t="n"/>
      <c r="S60" s="18" t="n"/>
      <c r="T60" s="191" t="n"/>
    </row>
    <row outlineLevel="0" r="61">
      <c r="A61" s="331" t="n">
        <f aca="false" ca="false" dt2D="false" dtr="false" t="normal">+A60+1</f>
        <v>46</v>
      </c>
      <c r="B61" s="6" t="n">
        <f aca="false" ca="false" dt2D="false" dtr="false" t="normal">+B60+1</f>
        <v>46</v>
      </c>
      <c r="C61" s="138" t="s">
        <v>177</v>
      </c>
      <c r="D61" s="138" t="s">
        <v>200</v>
      </c>
      <c r="E61" s="27" t="n">
        <f aca="false" ca="true" dt2D="false" dtr="false" t="normal">SUBTOTAL(9, F61:T61)</f>
        <v>295096.46</v>
      </c>
      <c r="F61" s="17" t="n">
        <v>0</v>
      </c>
      <c r="G61" s="17" t="n">
        <v>0</v>
      </c>
      <c r="H61" s="17" t="n">
        <v>295096.46</v>
      </c>
      <c r="I61" s="17" t="n">
        <v>0</v>
      </c>
      <c r="J61" s="17" t="n">
        <v>0</v>
      </c>
      <c r="K61" s="17" t="n"/>
      <c r="L61" s="17" t="n"/>
      <c r="M61" s="17" t="n">
        <v>0</v>
      </c>
      <c r="N61" s="17" t="n">
        <v>0</v>
      </c>
      <c r="O61" s="17" t="n">
        <v>0</v>
      </c>
      <c r="P61" s="17" t="n"/>
      <c r="Q61" s="17" t="n"/>
      <c r="R61" s="17" t="n"/>
      <c r="S61" s="18" t="n"/>
      <c r="T61" s="191" t="n"/>
    </row>
    <row outlineLevel="0" r="62">
      <c r="A62" s="331" t="n">
        <f aca="false" ca="false" dt2D="false" dtr="false" t="normal">+A61+1</f>
        <v>47</v>
      </c>
      <c r="B62" s="6" t="n">
        <f aca="false" ca="false" dt2D="false" dtr="false" t="normal">+B61+1</f>
        <v>47</v>
      </c>
      <c r="C62" s="138" t="s">
        <v>177</v>
      </c>
      <c r="D62" s="138" t="s">
        <v>202</v>
      </c>
      <c r="E62" s="27" t="n">
        <f aca="false" ca="true" dt2D="false" dtr="false" t="normal">SUBTOTAL(9, F62:T62)</f>
        <v>20071938.110000003</v>
      </c>
      <c r="F62" s="19" t="n"/>
      <c r="G62" s="17" t="n"/>
      <c r="I62" s="17" t="n"/>
      <c r="J62" s="17" t="n"/>
      <c r="K62" s="17" t="n"/>
      <c r="L62" s="17" t="n"/>
      <c r="M62" s="17" t="n">
        <v>0</v>
      </c>
      <c r="N62" s="17" t="n"/>
      <c r="O62" s="17" t="n">
        <v>0</v>
      </c>
      <c r="P62" s="17" t="n">
        <v>13315014.15</v>
      </c>
      <c r="Q62" s="17" t="n">
        <v>6316602.7</v>
      </c>
      <c r="R62" s="17" t="n">
        <v>184016.59</v>
      </c>
      <c r="S62" s="18" t="n"/>
      <c r="T62" s="191" t="n">
        <f aca="false" ca="false" dt2D="false" dtr="false" t="normal">196715.63+59589.04</f>
        <v>256304.67</v>
      </c>
    </row>
    <row outlineLevel="0" r="63">
      <c r="A63" s="331" t="n">
        <f aca="false" ca="false" dt2D="false" dtr="false" t="normal">+A62+1</f>
        <v>48</v>
      </c>
      <c r="B63" s="6" t="n">
        <f aca="false" ca="false" dt2D="false" dtr="false" t="normal">+B62+1</f>
        <v>48</v>
      </c>
      <c r="C63" s="138" t="s">
        <v>177</v>
      </c>
      <c r="D63" s="138" t="s">
        <v>204</v>
      </c>
      <c r="E63" s="27" t="n">
        <f aca="false" ca="true" dt2D="false" dtr="false" t="normal">SUBTOTAL(9, F63:T63)</f>
        <v>25808089.74580198</v>
      </c>
      <c r="F63" s="17" t="n">
        <v>4769407.1</v>
      </c>
      <c r="G63" s="17" t="n"/>
      <c r="I63" s="17" t="n">
        <v>1031316.84</v>
      </c>
      <c r="J63" s="17" t="n"/>
      <c r="K63" s="17" t="n"/>
      <c r="L63" s="17" t="n"/>
      <c r="M63" s="17" t="n">
        <v>0</v>
      </c>
      <c r="N63" s="17" t="n">
        <v>10189652.14</v>
      </c>
      <c r="O63" s="17" t="n">
        <v>0</v>
      </c>
      <c r="P63" s="17" t="n">
        <v>7616799.19</v>
      </c>
      <c r="Q63" s="17" t="n">
        <v>787626.31</v>
      </c>
      <c r="R63" s="17" t="n">
        <v>1118801.88790099</v>
      </c>
      <c r="S63" s="17" t="n">
        <f aca="false" ca="false" dt2D="false" dtr="false" t="normal">64785.607900992</f>
        <v>64785.607900992</v>
      </c>
      <c r="T63" s="191" t="n">
        <f aca="false" ca="false" dt2D="false" dtr="false" t="normal">58276.61+6630.4+97841.34+57352.04+9600.28</f>
        <v>229700.67</v>
      </c>
    </row>
    <row outlineLevel="0" r="64">
      <c r="A64" s="331" t="n">
        <f aca="false" ca="false" dt2D="false" dtr="false" t="normal">+A63+1</f>
        <v>49</v>
      </c>
      <c r="B64" s="6" t="n">
        <f aca="false" ca="false" dt2D="false" dtr="false" t="normal">+B63+1</f>
        <v>49</v>
      </c>
      <c r="C64" s="138" t="s">
        <v>177</v>
      </c>
      <c r="D64" s="138" t="s">
        <v>206</v>
      </c>
      <c r="E64" s="27" t="n">
        <f aca="false" ca="true" dt2D="false" dtr="false" t="normal">SUBTOTAL(9, F64:T64)</f>
        <v>657551.96</v>
      </c>
      <c r="F64" s="17" t="n"/>
      <c r="G64" s="17" t="n"/>
      <c r="H64" s="17" t="n">
        <v>657551.96</v>
      </c>
      <c r="I64" s="17" t="n"/>
      <c r="J64" s="17" t="n"/>
      <c r="K64" s="17" t="n"/>
      <c r="L64" s="17" t="n"/>
      <c r="M64" s="17" t="n">
        <v>0</v>
      </c>
      <c r="N64" s="17" t="n"/>
      <c r="O64" s="17" t="n">
        <v>0</v>
      </c>
      <c r="P64" s="17" t="n">
        <v>0</v>
      </c>
      <c r="Q64" s="17" t="n">
        <v>0</v>
      </c>
      <c r="R64" s="17" t="n"/>
      <c r="S64" s="18" t="n"/>
      <c r="T64" s="191" t="n"/>
    </row>
    <row customFormat="true" ht="15.75" outlineLevel="0" r="65" s="184">
      <c r="A65" s="331" t="n">
        <f aca="false" ca="false" dt2D="false" dtr="false" t="normal">+A64+1</f>
        <v>50</v>
      </c>
      <c r="B65" s="6" t="n">
        <f aca="false" ca="false" dt2D="false" dtr="false" t="normal">+B64+1</f>
        <v>50</v>
      </c>
      <c r="C65" s="138" t="s">
        <v>177</v>
      </c>
      <c r="D65" s="138" t="s">
        <v>208</v>
      </c>
      <c r="E65" s="27" t="n">
        <f aca="false" ca="true" dt2D="false" dtr="false" t="normal">SUBTOTAL(9, F65:T65)</f>
        <v>5909562.2026752</v>
      </c>
      <c r="F65" s="27" t="n"/>
      <c r="G65" s="27" t="n"/>
      <c r="H65" s="27" t="n"/>
      <c r="I65" s="27" t="n"/>
      <c r="J65" s="27" t="n"/>
      <c r="K65" s="27" t="n"/>
      <c r="L65" s="27" t="n"/>
      <c r="M65" s="27" t="n">
        <v>5738993.28</v>
      </c>
      <c r="N65" s="27" t="n"/>
      <c r="O65" s="27" t="n"/>
      <c r="P65" s="27" t="n"/>
      <c r="Q65" s="27" t="n"/>
      <c r="R65" s="27" t="n">
        <v>146568.9226752</v>
      </c>
      <c r="S65" s="27" t="n">
        <v>24000</v>
      </c>
      <c r="T65" s="27" t="n"/>
      <c r="V65" s="277" t="n"/>
    </row>
    <row customFormat="true" ht="15.75" outlineLevel="0" r="66" s="184">
      <c r="A66" s="331" t="n">
        <f aca="false" ca="false" dt2D="false" dtr="false" t="normal">+A65+1</f>
        <v>51</v>
      </c>
      <c r="B66" s="6" t="n">
        <f aca="false" ca="false" dt2D="false" dtr="false" t="normal">+B65+1</f>
        <v>51</v>
      </c>
      <c r="C66" s="138" t="s">
        <v>177</v>
      </c>
      <c r="D66" s="138" t="s">
        <v>210</v>
      </c>
      <c r="E66" s="27" t="n">
        <f aca="false" ca="true" dt2D="false" dtr="false" t="normal">SUBTOTAL(9, F66:T66)</f>
        <v>5898632.361792</v>
      </c>
      <c r="F66" s="27" t="n"/>
      <c r="G66" s="27" t="n"/>
      <c r="H66" s="27" t="n"/>
      <c r="I66" s="27" t="n"/>
      <c r="J66" s="27" t="n"/>
      <c r="K66" s="27" t="n"/>
      <c r="L66" s="27" t="n"/>
      <c r="M66" s="27" t="n">
        <v>5738993.28</v>
      </c>
      <c r="N66" s="27" t="n"/>
      <c r="O66" s="27" t="n"/>
      <c r="P66" s="27" t="n"/>
      <c r="Q66" s="27" t="n"/>
      <c r="R66" s="27" t="n">
        <v>135639.081792</v>
      </c>
      <c r="S66" s="27" t="n">
        <v>24000</v>
      </c>
      <c r="T66" s="27" t="n"/>
      <c r="V66" s="277" t="n"/>
    </row>
    <row outlineLevel="0" r="67">
      <c r="A67" s="331" t="n">
        <f aca="false" ca="false" dt2D="false" dtr="false" t="normal">+A66+1</f>
        <v>52</v>
      </c>
      <c r="B67" s="6" t="n">
        <f aca="false" ca="false" dt2D="false" dtr="false" t="normal">+B66+1</f>
        <v>52</v>
      </c>
      <c r="C67" s="138" t="s">
        <v>177</v>
      </c>
      <c r="D67" s="138" t="s">
        <v>213</v>
      </c>
      <c r="E67" s="27" t="n">
        <f aca="false" ca="true" dt2D="false" dtr="false" t="normal">SUBTOTAL(9, F67:T67)</f>
        <v>1118404.042262</v>
      </c>
      <c r="F67" s="17" t="n"/>
      <c r="G67" s="17" t="n"/>
      <c r="H67" s="17" t="n"/>
      <c r="I67" s="17" t="n"/>
      <c r="J67" s="17" t="n">
        <f aca="false" ca="false" dt2D="false" dtr="false" t="normal">1117005.032262+1399.01</f>
        <v>1118404.042262</v>
      </c>
      <c r="K67" s="17" t="n"/>
      <c r="L67" s="17" t="n"/>
      <c r="M67" s="17" t="n"/>
      <c r="N67" s="17" t="n"/>
      <c r="O67" s="17" t="n">
        <v>0</v>
      </c>
      <c r="P67" s="17" t="n">
        <v>0</v>
      </c>
      <c r="Q67" s="17" t="n">
        <v>0</v>
      </c>
      <c r="R67" s="17" t="n"/>
      <c r="S67" s="18" t="n"/>
      <c r="T67" s="191" t="n"/>
    </row>
    <row outlineLevel="0" r="68">
      <c r="A68" s="331" t="n">
        <f aca="false" ca="false" dt2D="false" dtr="false" t="normal">+A67+1</f>
        <v>53</v>
      </c>
      <c r="B68" s="6" t="n">
        <f aca="false" ca="false" dt2D="false" dtr="false" t="normal">+B67+1</f>
        <v>53</v>
      </c>
      <c r="C68" s="138" t="s">
        <v>177</v>
      </c>
      <c r="D68" s="138" t="s">
        <v>215</v>
      </c>
      <c r="E68" s="27" t="n">
        <f aca="false" ca="true" dt2D="false" dtr="false" t="normal">SUBTOTAL(9, F68:T68)</f>
        <v>735121.99</v>
      </c>
      <c r="F68" s="17" t="n"/>
      <c r="G68" s="17" t="n"/>
      <c r="H68" s="17" t="n">
        <v>727596.98</v>
      </c>
      <c r="I68" s="17" t="n"/>
      <c r="J68" s="17" t="n"/>
      <c r="K68" s="17" t="n"/>
      <c r="L68" s="17" t="n"/>
      <c r="M68" s="17" t="n">
        <v>0</v>
      </c>
      <c r="N68" s="17" t="n">
        <v>0</v>
      </c>
      <c r="O68" s="17" t="n">
        <v>0</v>
      </c>
      <c r="P68" s="17" t="n">
        <v>0</v>
      </c>
      <c r="Q68" s="17" t="n">
        <v>0</v>
      </c>
      <c r="R68" s="17" t="n"/>
      <c r="S68" s="18" t="n"/>
      <c r="T68" s="191" t="n">
        <f aca="false" ca="false" dt2D="false" dtr="false" t="normal">7525.01</f>
        <v>7525.01</v>
      </c>
    </row>
    <row outlineLevel="0" r="69">
      <c r="A69" s="331" t="n">
        <f aca="false" ca="false" dt2D="false" dtr="false" t="normal">+A68+1</f>
        <v>54</v>
      </c>
      <c r="B69" s="6" t="n">
        <f aca="false" ca="false" dt2D="false" dtr="false" t="normal">+B68+1</f>
        <v>54</v>
      </c>
      <c r="C69" s="138" t="s">
        <v>177</v>
      </c>
      <c r="D69" s="138" t="s">
        <v>217</v>
      </c>
      <c r="E69" s="27" t="n">
        <f aca="false" ca="true" dt2D="false" dtr="false" t="normal">SUBTOTAL(9, F69:T69)</f>
        <v>4389935.65</v>
      </c>
      <c r="F69" s="17" t="n">
        <v>2728315.47</v>
      </c>
      <c r="G69" s="17" t="n">
        <v>1047486.37</v>
      </c>
      <c r="H69" s="17" t="n">
        <v>607322.06</v>
      </c>
      <c r="I69" s="17" t="n"/>
      <c r="J69" s="17" t="n"/>
      <c r="K69" s="17" t="n"/>
      <c r="L69" s="17" t="n"/>
      <c r="M69" s="17" t="n">
        <v>0</v>
      </c>
      <c r="N69" s="17" t="n">
        <v>0</v>
      </c>
      <c r="O69" s="17" t="n">
        <v>0</v>
      </c>
      <c r="P69" s="17" t="n">
        <v>0</v>
      </c>
      <c r="Q69" s="17" t="n">
        <v>0</v>
      </c>
      <c r="R69" s="17" t="n"/>
      <c r="S69" s="18" t="n"/>
      <c r="T69" s="191" t="n">
        <v>6811.75</v>
      </c>
    </row>
    <row outlineLevel="0" r="70">
      <c r="A70" s="331" t="n">
        <f aca="false" ca="false" dt2D="false" dtr="false" t="normal">+A69+1</f>
        <v>55</v>
      </c>
      <c r="B70" s="6" t="n">
        <f aca="false" ca="false" dt2D="false" dtr="false" t="normal">+B69+1</f>
        <v>55</v>
      </c>
      <c r="C70" s="138" t="s">
        <v>177</v>
      </c>
      <c r="D70" s="138" t="s">
        <v>220</v>
      </c>
      <c r="E70" s="27" t="n">
        <f aca="false" ca="true" dt2D="false" dtr="false" t="normal">SUBTOTAL(9, F70:T70)</f>
        <v>1827661.8</v>
      </c>
      <c r="F70" s="17" t="n"/>
      <c r="G70" s="17" t="n">
        <v>0</v>
      </c>
      <c r="H70" s="17" t="n"/>
      <c r="I70" s="17" t="n">
        <v>1827661.8</v>
      </c>
      <c r="J70" s="17" t="n">
        <v>0</v>
      </c>
      <c r="K70" s="17" t="n"/>
      <c r="L70" s="17" t="n"/>
      <c r="M70" s="17" t="n">
        <v>0</v>
      </c>
      <c r="N70" s="17" t="n"/>
      <c r="O70" s="17" t="n">
        <v>0</v>
      </c>
      <c r="P70" s="17" t="n"/>
      <c r="Q70" s="17" t="n">
        <v>0</v>
      </c>
      <c r="R70" s="17" t="n"/>
      <c r="S70" s="18" t="n"/>
      <c r="T70" s="191" t="n"/>
    </row>
    <row outlineLevel="0" r="71">
      <c r="A71" s="331" t="n">
        <f aca="false" ca="false" dt2D="false" dtr="false" t="normal">+A70+1</f>
        <v>56</v>
      </c>
      <c r="B71" s="6" t="n">
        <f aca="false" ca="false" dt2D="false" dtr="false" t="normal">+B70+1</f>
        <v>56</v>
      </c>
      <c r="C71" s="138" t="s">
        <v>177</v>
      </c>
      <c r="D71" s="138" t="s">
        <v>222</v>
      </c>
      <c r="E71" s="27" t="n">
        <f aca="false" ca="true" dt2D="false" dtr="false" t="normal">SUBTOTAL(9, F71:T71)</f>
        <v>2845906.28</v>
      </c>
      <c r="F71" s="17" t="n"/>
      <c r="G71" s="17" t="n">
        <v>0</v>
      </c>
      <c r="H71" s="17" t="n"/>
      <c r="I71" s="17" t="n"/>
      <c r="J71" s="17" t="n">
        <v>0</v>
      </c>
      <c r="K71" s="17" t="n"/>
      <c r="L71" s="17" t="n"/>
      <c r="M71" s="17" t="n">
        <v>0</v>
      </c>
      <c r="N71" s="17" t="n">
        <v>2845906.28</v>
      </c>
      <c r="O71" s="17" t="n">
        <v>0</v>
      </c>
      <c r="P71" s="17" t="n"/>
      <c r="Q71" s="17" t="n">
        <v>0</v>
      </c>
      <c r="R71" s="17" t="n"/>
      <c r="S71" s="18" t="n"/>
      <c r="T71" s="191" t="n"/>
    </row>
    <row outlineLevel="0" r="72">
      <c r="A72" s="331" t="n">
        <f aca="false" ca="false" dt2D="false" dtr="false" t="normal">+A71+1</f>
        <v>57</v>
      </c>
      <c r="B72" s="6" t="n">
        <f aca="false" ca="false" dt2D="false" dtr="false" t="normal">+B71+1</f>
        <v>57</v>
      </c>
      <c r="C72" s="138" t="s">
        <v>177</v>
      </c>
      <c r="D72" s="138" t="s">
        <v>224</v>
      </c>
      <c r="E72" s="27" t="n">
        <f aca="false" ca="true" dt2D="false" dtr="false" t="normal">SUBTOTAL(9, F72:T72)</f>
        <v>5847141.2763</v>
      </c>
      <c r="F72" s="17" t="n"/>
      <c r="G72" s="17" t="n">
        <v>0</v>
      </c>
      <c r="J72" s="17" t="n">
        <v>0</v>
      </c>
      <c r="K72" s="17" t="n"/>
      <c r="L72" s="17" t="n"/>
      <c r="M72" s="17" t="n">
        <v>0</v>
      </c>
      <c r="N72" s="17" t="n">
        <v>3018526.85</v>
      </c>
      <c r="O72" s="17" t="n">
        <v>0</v>
      </c>
      <c r="P72" s="17" t="n"/>
      <c r="Q72" s="17" t="n">
        <v>0</v>
      </c>
      <c r="R72" s="17" t="n">
        <v>2550189.857</v>
      </c>
      <c r="S72" s="18" t="n">
        <f aca="false" ca="false" dt2D="false" dtr="false" t="normal">278424.5693</f>
        <v>278424.5693</v>
      </c>
      <c r="T72" s="191" t="n"/>
    </row>
    <row outlineLevel="0" r="73">
      <c r="A73" s="331" t="n">
        <f aca="false" ca="false" dt2D="false" dtr="false" t="normal">+A72+1</f>
        <v>58</v>
      </c>
      <c r="B73" s="6" t="n">
        <f aca="false" ca="false" dt2D="false" dtr="false" t="normal">+B72+1</f>
        <v>58</v>
      </c>
      <c r="C73" s="138" t="s">
        <v>177</v>
      </c>
      <c r="D73" s="138" t="s">
        <v>226</v>
      </c>
      <c r="E73" s="27" t="n">
        <f aca="false" ca="true" dt2D="false" dtr="false" t="normal">SUBTOTAL(9, F73:T73)</f>
        <v>9311700.5</v>
      </c>
      <c r="F73" s="17" t="n"/>
      <c r="G73" s="17" t="n"/>
      <c r="H73" s="17" t="n"/>
      <c r="I73" s="17" t="n"/>
      <c r="J73" s="17" t="n">
        <v>0</v>
      </c>
      <c r="K73" s="17" t="n"/>
      <c r="L73" s="17" t="n"/>
      <c r="M73" s="17" t="n">
        <v>0</v>
      </c>
      <c r="N73" s="17" t="n">
        <v>0</v>
      </c>
      <c r="O73" s="17" t="n">
        <v>0</v>
      </c>
      <c r="P73" s="17" t="n">
        <v>9311700.5</v>
      </c>
      <c r="Q73" s="17" t="n">
        <v>0</v>
      </c>
      <c r="R73" s="17" t="n"/>
      <c r="S73" s="18" t="n"/>
      <c r="T73" s="191" t="n"/>
    </row>
    <row outlineLevel="0" r="74">
      <c r="A74" s="331" t="n">
        <f aca="false" ca="false" dt2D="false" dtr="false" t="normal">+A73+1</f>
        <v>59</v>
      </c>
      <c r="B74" s="6" t="n">
        <f aca="false" ca="false" dt2D="false" dtr="false" t="normal">+B73+1</f>
        <v>59</v>
      </c>
      <c r="C74" s="138" t="s">
        <v>177</v>
      </c>
      <c r="D74" s="138" t="s">
        <v>227</v>
      </c>
      <c r="E74" s="27" t="n">
        <f aca="false" ca="true" dt2D="false" dtr="false" t="normal">SUBTOTAL(9, F74:T74)</f>
        <v>33304826.762600005</v>
      </c>
      <c r="F74" s="17" t="n">
        <v>6954265.38</v>
      </c>
      <c r="G74" s="17" t="n">
        <v>2374323.58</v>
      </c>
      <c r="H74" s="17" t="n">
        <v>3305645.72</v>
      </c>
      <c r="I74" s="17" t="n">
        <v>2650517.18</v>
      </c>
      <c r="J74" s="17" t="n"/>
      <c r="K74" s="17" t="n"/>
      <c r="L74" s="17" t="n"/>
      <c r="M74" s="17" t="n"/>
      <c r="N74" s="17" t="n">
        <v>7951460.72</v>
      </c>
      <c r="O74" s="17" t="n"/>
      <c r="P74" s="17" t="n"/>
      <c r="Q74" s="17" t="n">
        <v>9695977.58</v>
      </c>
      <c r="R74" s="17" t="n">
        <v>328083.3963</v>
      </c>
      <c r="S74" s="18" t="n">
        <v>44553.2063</v>
      </c>
      <c r="T74" s="191" t="n"/>
    </row>
    <row outlineLevel="0" r="75">
      <c r="A75" s="331" t="n">
        <f aca="false" ca="false" dt2D="false" dtr="false" t="normal">+A74+1</f>
        <v>60</v>
      </c>
      <c r="B75" s="6" t="n">
        <f aca="false" ca="false" dt2D="false" dtr="false" t="normal">+B74+1</f>
        <v>60</v>
      </c>
      <c r="C75" s="138" t="s">
        <v>177</v>
      </c>
      <c r="D75" s="138" t="s">
        <v>229</v>
      </c>
      <c r="E75" s="27" t="n">
        <f aca="false" ca="true" dt2D="false" dtr="false" t="normal">SUBTOTAL(9, F75:T75)</f>
        <v>1171020.99</v>
      </c>
      <c r="F75" s="17" t="n"/>
      <c r="G75" s="17" t="n">
        <v>0</v>
      </c>
      <c r="H75" s="17" t="n">
        <v>0</v>
      </c>
      <c r="I75" s="17" t="n">
        <v>0</v>
      </c>
      <c r="J75" s="17" t="n">
        <v>1171020.99</v>
      </c>
      <c r="K75" s="17" t="n"/>
      <c r="L75" s="17" t="n"/>
      <c r="M75" s="17" t="n">
        <v>0</v>
      </c>
      <c r="N75" s="17" t="n"/>
      <c r="O75" s="17" t="n">
        <v>0</v>
      </c>
      <c r="P75" s="17" t="n"/>
      <c r="Q75" s="17" t="n"/>
      <c r="R75" s="17" t="n"/>
      <c r="S75" s="18" t="n"/>
      <c r="T75" s="191" t="n"/>
    </row>
    <row outlineLevel="0" r="76">
      <c r="A76" s="331" t="n">
        <f aca="false" ca="false" dt2D="false" dtr="false" t="normal">+A75+1</f>
        <v>61</v>
      </c>
      <c r="B76" s="6" t="n">
        <f aca="false" ca="false" dt2D="false" dtr="false" t="normal">+B75+1</f>
        <v>61</v>
      </c>
      <c r="C76" s="138" t="s">
        <v>177</v>
      </c>
      <c r="D76" s="138" t="s">
        <v>231</v>
      </c>
      <c r="E76" s="27" t="n">
        <f aca="false" ca="true" dt2D="false" dtr="false" t="normal">SUBTOTAL(9, F76:T76)</f>
        <v>19908141.098000005</v>
      </c>
      <c r="F76" s="17" t="n">
        <v>7847760.99</v>
      </c>
      <c r="G76" s="17" t="n"/>
      <c r="H76" s="17" t="n"/>
      <c r="I76" s="17" t="n"/>
      <c r="J76" s="17" t="n"/>
      <c r="K76" s="17" t="n"/>
      <c r="L76" s="17" t="n"/>
      <c r="M76" s="17" t="n">
        <v>0</v>
      </c>
      <c r="N76" s="17" t="n">
        <v>0</v>
      </c>
      <c r="O76" s="17" t="n">
        <v>0</v>
      </c>
      <c r="P76" s="17" t="n">
        <v>0</v>
      </c>
      <c r="Q76" s="17" t="n">
        <f aca="false" ca="false" dt2D="false" dtr="false" t="normal">7597182.26+3870122.95</f>
        <v>11467305.21</v>
      </c>
      <c r="R76" s="17" t="n">
        <v>504570.499</v>
      </c>
      <c r="S76" s="18" t="n">
        <v>88504.399</v>
      </c>
      <c r="T76" s="191" t="n"/>
    </row>
    <row outlineLevel="0" r="77">
      <c r="A77" s="331" t="n">
        <f aca="false" ca="false" dt2D="false" dtr="false" t="normal">+A76+1</f>
        <v>62</v>
      </c>
      <c r="B77" s="6" t="n">
        <f aca="false" ca="false" dt2D="false" dtr="false" t="normal">+B76+1</f>
        <v>62</v>
      </c>
      <c r="C77" s="138" t="s">
        <v>177</v>
      </c>
      <c r="D77" s="138" t="s">
        <v>233</v>
      </c>
      <c r="E77" s="27" t="n">
        <f aca="false" ca="true" dt2D="false" dtr="false" t="normal">SUBTOTAL(9, F77:T77)</f>
        <v>15562524.65</v>
      </c>
      <c r="F77" s="17" t="n">
        <v>0</v>
      </c>
      <c r="G77" s="17" t="n">
        <v>0</v>
      </c>
      <c r="H77" s="17" t="n">
        <v>0</v>
      </c>
      <c r="I77" s="17" t="n">
        <v>0</v>
      </c>
      <c r="J77" s="17" t="n"/>
      <c r="K77" s="17" t="n"/>
      <c r="L77" s="17" t="n"/>
      <c r="M77" s="17" t="n">
        <v>0</v>
      </c>
      <c r="N77" s="17" t="n">
        <v>0</v>
      </c>
      <c r="O77" s="17" t="n">
        <v>0</v>
      </c>
      <c r="P77" s="17" t="n">
        <v>15562524.65</v>
      </c>
      <c r="Q77" s="17" t="n">
        <v>0</v>
      </c>
      <c r="R77" s="17" t="n"/>
      <c r="S77" s="18" t="n"/>
      <c r="T77" s="191" t="n"/>
    </row>
    <row outlineLevel="0" r="78">
      <c r="A78" s="331" t="n">
        <f aca="false" ca="false" dt2D="false" dtr="false" t="normal">+A77+1</f>
        <v>63</v>
      </c>
      <c r="B78" s="6" t="n">
        <f aca="false" ca="false" dt2D="false" dtr="false" t="normal">+B77+1</f>
        <v>63</v>
      </c>
      <c r="C78" s="138" t="s">
        <v>177</v>
      </c>
      <c r="D78" s="138" t="s">
        <v>235</v>
      </c>
      <c r="E78" s="27" t="n">
        <f aca="false" ca="true" dt2D="false" dtr="false" t="normal">SUBTOTAL(9, F78:T78)</f>
        <v>14282939.92</v>
      </c>
      <c r="F78" s="17" t="n"/>
      <c r="G78" s="17" t="n"/>
      <c r="H78" s="17" t="n">
        <v>1212218.34</v>
      </c>
      <c r="I78" s="17" t="n"/>
      <c r="J78" s="17" t="n"/>
      <c r="K78" s="17" t="n"/>
      <c r="L78" s="17" t="n"/>
      <c r="M78" s="17" t="n">
        <v>0</v>
      </c>
      <c r="N78" s="17" t="n"/>
      <c r="O78" s="17" t="n">
        <v>0</v>
      </c>
      <c r="P78" s="17" t="n">
        <v>12904791.25</v>
      </c>
      <c r="Q78" s="17" t="n"/>
      <c r="R78" s="17" t="n"/>
      <c r="S78" s="18" t="n"/>
      <c r="T78" s="191" t="n">
        <f aca="false" ca="false" dt2D="false" dtr="false" t="normal">14909.16+151021.17</f>
        <v>165930.33000000002</v>
      </c>
    </row>
    <row outlineLevel="0" r="79">
      <c r="A79" s="331" t="n">
        <f aca="false" ca="false" dt2D="false" dtr="false" t="normal">+A78+1</f>
        <v>64</v>
      </c>
      <c r="B79" s="6" t="n">
        <f aca="false" ca="false" dt2D="false" dtr="false" t="normal">+B78+1</f>
        <v>64</v>
      </c>
      <c r="C79" s="138" t="s">
        <v>177</v>
      </c>
      <c r="D79" s="138" t="s">
        <v>237</v>
      </c>
      <c r="E79" s="27" t="n">
        <f aca="false" ca="true" dt2D="false" dtr="false" t="normal">SUBTOTAL(9, F79:T79)</f>
        <v>14428878.05</v>
      </c>
      <c r="F79" s="17" t="n"/>
      <c r="G79" s="17" t="n"/>
      <c r="H79" s="17" t="n">
        <v>1218340.66</v>
      </c>
      <c r="I79" s="17" t="n"/>
      <c r="J79" s="17" t="n"/>
      <c r="K79" s="17" t="n"/>
      <c r="L79" s="17" t="n"/>
      <c r="M79" s="17" t="n">
        <v>0</v>
      </c>
      <c r="N79" s="17" t="n"/>
      <c r="O79" s="17" t="n">
        <v>0</v>
      </c>
      <c r="P79" s="17" t="n">
        <v>13044527.99</v>
      </c>
      <c r="Q79" s="17" t="n"/>
      <c r="R79" s="17" t="n"/>
      <c r="S79" s="18" t="n"/>
      <c r="T79" s="191" t="n">
        <f aca="false" ca="false" dt2D="false" dtr="false" t="normal">151177.15+14832.25</f>
        <v>166009.4</v>
      </c>
    </row>
    <row outlineLevel="0" r="80">
      <c r="A80" s="331" t="n">
        <f aca="false" ca="false" dt2D="false" dtr="false" t="normal">+A79+1</f>
        <v>65</v>
      </c>
      <c r="B80" s="6" t="n">
        <f aca="false" ca="false" dt2D="false" dtr="false" t="normal">+B79+1</f>
        <v>65</v>
      </c>
      <c r="C80" s="138" t="s">
        <v>177</v>
      </c>
      <c r="D80" s="138" t="s">
        <v>239</v>
      </c>
      <c r="E80" s="27" t="n">
        <f aca="false" ca="true" dt2D="false" dtr="false" t="normal">SUBTOTAL(9, F80:T80)</f>
        <v>9367953.288500002</v>
      </c>
      <c r="F80" s="17" t="n">
        <v>6542286.32</v>
      </c>
      <c r="G80" s="17" t="n">
        <v>0</v>
      </c>
      <c r="H80" s="17" t="n">
        <v>1697416.27</v>
      </c>
      <c r="I80" s="17" t="n">
        <v>0</v>
      </c>
      <c r="J80" s="17" t="n"/>
      <c r="K80" s="17" t="n"/>
      <c r="L80" s="17" t="n"/>
      <c r="M80" s="17" t="n">
        <v>0</v>
      </c>
      <c r="N80" s="17" t="n">
        <v>0</v>
      </c>
      <c r="O80" s="17" t="n">
        <v>0</v>
      </c>
      <c r="P80" s="17" t="n">
        <v>0</v>
      </c>
      <c r="Q80" s="17" t="n">
        <v>0</v>
      </c>
      <c r="R80" s="17" t="n">
        <v>937979.5906</v>
      </c>
      <c r="S80" s="18" t="n">
        <v>109643.8679</v>
      </c>
      <c r="T80" s="191" t="n">
        <f aca="false" ca="false" dt2D="false" dtr="false" t="normal">61658.99+18968.25</f>
        <v>80627.23999999999</v>
      </c>
    </row>
    <row outlineLevel="0" r="81">
      <c r="A81" s="331" t="n">
        <f aca="false" ca="false" dt2D="false" dtr="false" t="normal">+A80+1</f>
        <v>66</v>
      </c>
      <c r="B81" s="6" t="n">
        <f aca="false" ca="false" dt2D="false" dtr="false" t="normal">+B80+1</f>
        <v>66</v>
      </c>
      <c r="C81" s="138" t="s">
        <v>177</v>
      </c>
      <c r="D81" s="138" t="s">
        <v>240</v>
      </c>
      <c r="E81" s="27" t="n">
        <f aca="false" ca="true" dt2D="false" dtr="false" t="normal">SUBTOTAL(9, F81:T81)</f>
        <v>6007940.01</v>
      </c>
      <c r="F81" s="17" t="n"/>
      <c r="G81" s="17" t="n"/>
      <c r="H81" s="17" t="n"/>
      <c r="I81" s="17" t="n"/>
      <c r="J81" s="17" t="n"/>
      <c r="K81" s="17" t="n"/>
      <c r="L81" s="17" t="n"/>
      <c r="M81" s="17" t="n"/>
      <c r="N81" s="17" t="n"/>
      <c r="O81" s="17" t="n"/>
      <c r="P81" s="17" t="n"/>
      <c r="Q81" s="17" t="n">
        <v>5951792.49</v>
      </c>
      <c r="R81" s="17" t="n"/>
      <c r="S81" s="18" t="n"/>
      <c r="T81" s="191" t="n">
        <v>56147.52</v>
      </c>
    </row>
    <row outlineLevel="0" r="82">
      <c r="A82" s="331" t="n">
        <f aca="false" ca="false" dt2D="false" dtr="false" t="normal">+A81+1</f>
        <v>67</v>
      </c>
      <c r="B82" s="6" t="n">
        <f aca="false" ca="false" dt2D="false" dtr="false" t="normal">+B81+1</f>
        <v>67</v>
      </c>
      <c r="C82" s="138" t="s">
        <v>177</v>
      </c>
      <c r="D82" s="138" t="s">
        <v>242</v>
      </c>
      <c r="E82" s="27" t="n">
        <f aca="false" ca="true" dt2D="false" dtr="false" t="normal">SUBTOTAL(9, F82:T82)</f>
        <v>13112357.780000001</v>
      </c>
      <c r="F82" s="17" t="n"/>
      <c r="G82" s="17" t="n"/>
      <c r="H82" s="17" t="n"/>
      <c r="I82" s="17" t="n"/>
      <c r="J82" s="17" t="n"/>
      <c r="K82" s="17" t="n"/>
      <c r="L82" s="17" t="n"/>
      <c r="M82" s="17" t="n"/>
      <c r="N82" s="17" t="n">
        <v>8640336.74</v>
      </c>
      <c r="O82" s="17" t="n"/>
      <c r="P82" s="17" t="n"/>
      <c r="Q82" s="17" t="n">
        <v>4367516.82</v>
      </c>
      <c r="R82" s="17" t="n"/>
      <c r="S82" s="18" t="n"/>
      <c r="T82" s="191" t="n">
        <f aca="false" ca="false" dt2D="false" dtr="false" t="normal">62868.6+41635.62</f>
        <v>104504.22</v>
      </c>
    </row>
    <row outlineLevel="0" r="83">
      <c r="A83" s="331" t="n">
        <f aca="false" ca="false" dt2D="false" dtr="false" t="normal">+A82+1</f>
        <v>68</v>
      </c>
      <c r="B83" s="6" t="n">
        <f aca="false" ca="false" dt2D="false" dtr="false" t="normal">+B82+1</f>
        <v>68</v>
      </c>
      <c r="C83" s="138" t="s">
        <v>177</v>
      </c>
      <c r="D83" s="138" t="s">
        <v>243</v>
      </c>
      <c r="E83" s="27" t="n">
        <f aca="false" ca="true" dt2D="false" dtr="false" t="normal">SUBTOTAL(9, F83:T83)</f>
        <v>6811683.42</v>
      </c>
      <c r="F83" s="17" t="n"/>
      <c r="G83" s="17" t="n"/>
      <c r="H83" s="17" t="n"/>
      <c r="I83" s="17" t="n"/>
      <c r="J83" s="17" t="n"/>
      <c r="K83" s="17" t="n"/>
      <c r="L83" s="17" t="n"/>
      <c r="M83" s="17" t="n">
        <v>0</v>
      </c>
      <c r="N83" s="17" t="n"/>
      <c r="O83" s="17" t="n">
        <v>0</v>
      </c>
      <c r="P83" s="17" t="n"/>
      <c r="Q83" s="17" t="n">
        <v>6748339.81</v>
      </c>
      <c r="R83" s="17" t="n"/>
      <c r="S83" s="18" t="n"/>
      <c r="T83" s="191" t="n">
        <v>63343.61</v>
      </c>
    </row>
    <row outlineLevel="0" r="84">
      <c r="A84" s="331" t="n">
        <f aca="false" ca="false" dt2D="false" dtr="false" t="normal">+A83+1</f>
        <v>69</v>
      </c>
      <c r="B84" s="6" t="n">
        <f aca="false" ca="false" dt2D="false" dtr="false" t="normal">+B83+1</f>
        <v>69</v>
      </c>
      <c r="C84" s="138" t="s">
        <v>177</v>
      </c>
      <c r="D84" s="138" t="s">
        <v>540</v>
      </c>
      <c r="E84" s="27" t="n">
        <f aca="false" ca="true" dt2D="false" dtr="false" t="normal">SUBTOTAL(9, F84:T84)</f>
        <v>31028207.490000002</v>
      </c>
      <c r="F84" s="17" t="n">
        <v>9954639.86</v>
      </c>
      <c r="G84" s="17" t="n">
        <v>6212728.62</v>
      </c>
      <c r="H84" s="17" t="n"/>
      <c r="I84" s="17" t="n">
        <v>4876418.04</v>
      </c>
      <c r="J84" s="17" t="n"/>
      <c r="K84" s="17" t="n"/>
      <c r="L84" s="17" t="n"/>
      <c r="M84" s="17" t="n">
        <v>0</v>
      </c>
      <c r="N84" s="17" t="n">
        <v>9984420.97</v>
      </c>
      <c r="O84" s="17" t="n">
        <v>0</v>
      </c>
      <c r="P84" s="17" t="n"/>
      <c r="Q84" s="17" t="n"/>
      <c r="R84" s="17" t="n"/>
      <c r="S84" s="18" t="n"/>
      <c r="T84" s="191" t="n"/>
    </row>
    <row customFormat="true" ht="15.75" outlineLevel="0" r="85" s="184">
      <c r="A85" s="331" t="n">
        <f aca="false" ca="false" dt2D="false" dtr="false" t="normal">+A84+1</f>
        <v>70</v>
      </c>
      <c r="B85" s="6" t="n">
        <f aca="false" ca="false" dt2D="false" dtr="false" t="normal">+B84+1</f>
        <v>70</v>
      </c>
      <c r="C85" s="138" t="s">
        <v>177</v>
      </c>
      <c r="D85" s="138" t="s">
        <v>247</v>
      </c>
      <c r="E85" s="27" t="n">
        <f aca="false" ca="true" dt2D="false" dtr="false" t="normal">SUBTOTAL(9, F85:T85)</f>
        <v>8794774.925316095</v>
      </c>
      <c r="F85" s="27" t="n"/>
      <c r="G85" s="27" t="n"/>
      <c r="H85" s="27" t="n"/>
      <c r="I85" s="27" t="n"/>
      <c r="J85" s="27" t="n"/>
      <c r="K85" s="27" t="n"/>
      <c r="L85" s="27" t="n"/>
      <c r="M85" s="27" t="n">
        <v>8608489.92</v>
      </c>
      <c r="N85" s="27" t="n"/>
      <c r="O85" s="27" t="n"/>
      <c r="P85" s="27" t="n"/>
      <c r="Q85" s="27" t="n"/>
      <c r="R85" s="27" t="n">
        <v>162285.005316096</v>
      </c>
      <c r="S85" s="27" t="n">
        <v>24000</v>
      </c>
      <c r="T85" s="27" t="n"/>
      <c r="V85" s="277" t="n"/>
    </row>
    <row outlineLevel="0" r="86">
      <c r="A86" s="331" t="n">
        <f aca="false" ca="false" dt2D="false" dtr="false" t="normal">+A85+1</f>
        <v>71</v>
      </c>
      <c r="B86" s="6" t="n">
        <f aca="false" ca="false" dt2D="false" dtr="false" t="normal">+B85+1</f>
        <v>71</v>
      </c>
      <c r="C86" s="138" t="s">
        <v>177</v>
      </c>
      <c r="D86" s="138" t="s">
        <v>248</v>
      </c>
      <c r="E86" s="27" t="n">
        <f aca="false" ca="true" dt2D="false" dtr="false" t="normal">SUBTOTAL(9, F86:T86)</f>
        <v>28792487.709999997</v>
      </c>
      <c r="F86" s="17" t="n">
        <v>0</v>
      </c>
      <c r="G86" s="17" t="n">
        <v>0</v>
      </c>
      <c r="H86" s="17" t="n"/>
      <c r="I86" s="17" t="n">
        <v>0</v>
      </c>
      <c r="J86" s="17" t="n">
        <v>0</v>
      </c>
      <c r="K86" s="17" t="n"/>
      <c r="L86" s="17" t="n"/>
      <c r="M86" s="17" t="n">
        <v>0</v>
      </c>
      <c r="N86" s="17" t="n">
        <v>12527051.33</v>
      </c>
      <c r="O86" s="17" t="n">
        <v>0</v>
      </c>
      <c r="P86" s="17" t="n">
        <v>16115638.25</v>
      </c>
      <c r="Q86" s="17" t="n">
        <v>0</v>
      </c>
      <c r="R86" s="17" t="n"/>
      <c r="S86" s="18" t="n"/>
      <c r="T86" s="191" t="n">
        <f aca="false" ca="false" dt2D="false" dtr="false" t="normal">149798.13</f>
        <v>149798.13</v>
      </c>
    </row>
    <row outlineLevel="0" r="87">
      <c r="A87" s="331" t="n">
        <f aca="false" ca="false" dt2D="false" dtr="false" t="normal">+A86+1</f>
        <v>72</v>
      </c>
      <c r="B87" s="6" t="n">
        <f aca="false" ca="false" dt2D="false" dtr="false" t="normal">+B86+1</f>
        <v>72</v>
      </c>
      <c r="C87" s="138" t="s">
        <v>177</v>
      </c>
      <c r="D87" s="138" t="s">
        <v>249</v>
      </c>
      <c r="E87" s="27" t="n">
        <f aca="false" ca="true" dt2D="false" dtr="false" t="normal">SUBTOTAL(9, F87:T87)</f>
        <v>1066659.0699999998</v>
      </c>
      <c r="F87" s="17" t="n"/>
      <c r="H87" s="17" t="n">
        <v>1057009.16</v>
      </c>
      <c r="I87" s="17" t="n"/>
      <c r="J87" s="17" t="n">
        <v>0</v>
      </c>
      <c r="K87" s="17" t="n"/>
      <c r="L87" s="17" t="n"/>
      <c r="M87" s="17" t="n">
        <v>0</v>
      </c>
      <c r="O87" s="17" t="n">
        <v>0</v>
      </c>
      <c r="P87" s="17" t="n">
        <v>0</v>
      </c>
      <c r="Q87" s="17" t="n">
        <v>0</v>
      </c>
      <c r="R87" s="17" t="n"/>
      <c r="S87" s="18" t="n"/>
      <c r="T87" s="191" t="n">
        <f aca="false" ca="false" dt2D="false" dtr="false" t="normal">9649.91</f>
        <v>9649.91</v>
      </c>
    </row>
    <row outlineLevel="0" r="88">
      <c r="A88" s="331" t="n">
        <f aca="false" ca="false" dt2D="false" dtr="false" t="normal">+A87+1</f>
        <v>73</v>
      </c>
      <c r="B88" s="6" t="n">
        <f aca="false" ca="false" dt2D="false" dtr="false" t="normal">+B87+1</f>
        <v>73</v>
      </c>
      <c r="C88" s="138" t="s">
        <v>177</v>
      </c>
      <c r="D88" s="138" t="s">
        <v>250</v>
      </c>
      <c r="E88" s="27" t="n">
        <f aca="false" ca="true" dt2D="false" dtr="false" t="normal">SUBTOTAL(9, F88:T88)</f>
        <v>5016954.08</v>
      </c>
      <c r="F88" s="17" t="n">
        <v>1651323.46</v>
      </c>
      <c r="G88" s="17" t="n"/>
      <c r="H88" s="17" t="n">
        <v>819773.26</v>
      </c>
      <c r="I88" s="17" t="n">
        <v>732192.34</v>
      </c>
      <c r="J88" s="17" t="n"/>
      <c r="K88" s="17" t="n"/>
      <c r="L88" s="17" t="n"/>
      <c r="M88" s="17" t="n">
        <v>0</v>
      </c>
      <c r="N88" s="17" t="n"/>
      <c r="O88" s="17" t="n">
        <v>0</v>
      </c>
      <c r="P88" s="17" t="n">
        <v>1813665.02</v>
      </c>
      <c r="Q88" s="17" t="n">
        <v>0</v>
      </c>
      <c r="R88" s="17" t="n"/>
      <c r="S88" s="18" t="n"/>
      <c r="T88" s="191" t="n">
        <v>0</v>
      </c>
    </row>
    <row outlineLevel="0" r="89">
      <c r="A89" s="331" t="n">
        <f aca="false" ca="false" dt2D="false" dtr="false" t="normal">+A88+1</f>
        <v>74</v>
      </c>
      <c r="B89" s="6" t="n">
        <f aca="false" ca="false" dt2D="false" dtr="false" t="normal">+B88+1</f>
        <v>74</v>
      </c>
      <c r="C89" s="138" t="s">
        <v>177</v>
      </c>
      <c r="D89" s="138" t="s">
        <v>252</v>
      </c>
      <c r="E89" s="27" t="n">
        <f aca="false" ca="true" dt2D="false" dtr="false" t="normal">SUBTOTAL(9, F89:T89)</f>
        <v>1966660.1199999999</v>
      </c>
      <c r="F89" s="17" t="n">
        <v>0</v>
      </c>
      <c r="G89" s="17" t="n">
        <v>0</v>
      </c>
      <c r="H89" s="17" t="n">
        <v>0</v>
      </c>
      <c r="I89" s="17" t="n">
        <v>0</v>
      </c>
      <c r="J89" s="17" t="n">
        <v>1842675.65</v>
      </c>
      <c r="K89" s="17" t="n"/>
      <c r="L89" s="17" t="n"/>
      <c r="M89" s="17" t="n">
        <v>0</v>
      </c>
      <c r="N89" s="17" t="n">
        <v>0</v>
      </c>
      <c r="O89" s="17" t="n">
        <v>0</v>
      </c>
      <c r="P89" s="17" t="n">
        <v>0</v>
      </c>
      <c r="Q89" s="17" t="n">
        <v>0</v>
      </c>
      <c r="R89" s="17" t="n">
        <v>123984.47</v>
      </c>
      <c r="S89" s="17" t="n"/>
      <c r="T89" s="191" t="n"/>
    </row>
    <row outlineLevel="0" r="90">
      <c r="A90" s="331" t="n">
        <f aca="false" ca="false" dt2D="false" dtr="false" t="normal">+A89+1</f>
        <v>75</v>
      </c>
      <c r="B90" s="6" t="n">
        <f aca="false" ca="false" dt2D="false" dtr="false" t="normal">+B89+1</f>
        <v>75</v>
      </c>
      <c r="C90" s="138" t="s">
        <v>177</v>
      </c>
      <c r="D90" s="138" t="s">
        <v>254</v>
      </c>
      <c r="E90" s="27" t="n">
        <f aca="false" ca="true" dt2D="false" dtr="false" t="normal">SUBTOTAL(9, F90:T90)</f>
        <v>1967908.07</v>
      </c>
      <c r="F90" s="17" t="n">
        <v>0</v>
      </c>
      <c r="G90" s="17" t="n">
        <v>0</v>
      </c>
      <c r="H90" s="17" t="n">
        <v>0</v>
      </c>
      <c r="I90" s="17" t="n">
        <v>0</v>
      </c>
      <c r="J90" s="17" t="n">
        <v>1840005.31</v>
      </c>
      <c r="K90" s="17" t="n"/>
      <c r="L90" s="17" t="n"/>
      <c r="M90" s="17" t="n">
        <v>0</v>
      </c>
      <c r="N90" s="17" t="n">
        <v>0</v>
      </c>
      <c r="O90" s="17" t="n">
        <v>0</v>
      </c>
      <c r="P90" s="17" t="n">
        <v>0</v>
      </c>
      <c r="Q90" s="17" t="n">
        <v>0</v>
      </c>
      <c r="R90" s="17" t="n">
        <v>127902.76</v>
      </c>
      <c r="S90" s="17" t="n"/>
      <c r="T90" s="191" t="n"/>
    </row>
    <row outlineLevel="0" r="91">
      <c r="A91" s="331" t="n">
        <f aca="false" ca="false" dt2D="false" dtr="false" t="normal">+A90+1</f>
        <v>76</v>
      </c>
      <c r="B91" s="6" t="n">
        <f aca="false" ca="false" dt2D="false" dtr="false" t="normal">+B90+1</f>
        <v>76</v>
      </c>
      <c r="C91" s="138" t="s">
        <v>177</v>
      </c>
      <c r="D91" s="138" t="s">
        <v>256</v>
      </c>
      <c r="E91" s="27" t="n">
        <f aca="false" ca="true" dt2D="false" dtr="false" t="normal">SUBTOTAL(9, F91:T91)</f>
        <v>2104373.43</v>
      </c>
      <c r="F91" s="17" t="n">
        <v>0</v>
      </c>
      <c r="G91" s="17" t="n">
        <v>0</v>
      </c>
      <c r="H91" s="17" t="n">
        <v>0</v>
      </c>
      <c r="I91" s="17" t="n">
        <v>0</v>
      </c>
      <c r="J91" s="17" t="n">
        <v>1980515.44</v>
      </c>
      <c r="K91" s="17" t="n"/>
      <c r="L91" s="17" t="n"/>
      <c r="M91" s="17" t="n">
        <v>0</v>
      </c>
      <c r="N91" s="17" t="n"/>
      <c r="O91" s="17" t="n">
        <v>0</v>
      </c>
      <c r="P91" s="17" t="n">
        <v>0</v>
      </c>
      <c r="Q91" s="17" t="n"/>
      <c r="R91" s="17" t="n">
        <v>123857.99</v>
      </c>
      <c r="S91" s="18" t="n"/>
      <c r="T91" s="191" t="n"/>
    </row>
    <row outlineLevel="0" r="92">
      <c r="A92" s="331" t="n">
        <f aca="false" ca="false" dt2D="false" dtr="false" t="normal">+A91+1</f>
        <v>77</v>
      </c>
      <c r="B92" s="6" t="n">
        <f aca="false" ca="false" dt2D="false" dtr="false" t="normal">+B91+1</f>
        <v>77</v>
      </c>
      <c r="C92" s="138" t="s">
        <v>177</v>
      </c>
      <c r="D92" s="138" t="s">
        <v>257</v>
      </c>
      <c r="E92" s="27" t="n">
        <f aca="false" ca="true" dt2D="false" dtr="false" t="normal">SUBTOTAL(9, F92:T92)</f>
        <v>856186.02</v>
      </c>
      <c r="F92" s="17" t="n">
        <v>0</v>
      </c>
      <c r="G92" s="17" t="n">
        <v>0</v>
      </c>
      <c r="H92" s="17" t="n">
        <v>0</v>
      </c>
      <c r="I92" s="17" t="n">
        <v>0</v>
      </c>
      <c r="J92" s="17" t="n">
        <v>856186.02</v>
      </c>
      <c r="K92" s="17" t="n"/>
      <c r="L92" s="17" t="n"/>
      <c r="M92" s="17" t="n">
        <v>0</v>
      </c>
      <c r="N92" s="17" t="n">
        <v>0</v>
      </c>
      <c r="O92" s="17" t="n">
        <v>0</v>
      </c>
      <c r="P92" s="17" t="n"/>
      <c r="Q92" s="17" t="n"/>
      <c r="R92" s="17" t="n"/>
      <c r="S92" s="18" t="n"/>
      <c r="T92" s="191" t="n"/>
    </row>
    <row outlineLevel="0" r="93">
      <c r="A93" s="331" t="n">
        <f aca="false" ca="false" dt2D="false" dtr="false" t="normal">+A92+1</f>
        <v>78</v>
      </c>
      <c r="B93" s="6" t="n">
        <f aca="false" ca="false" dt2D="false" dtr="false" t="normal">+B92+1</f>
        <v>78</v>
      </c>
      <c r="C93" s="138" t="s">
        <v>177</v>
      </c>
      <c r="D93" s="138" t="s">
        <v>259</v>
      </c>
      <c r="E93" s="27" t="n">
        <f aca="false" ca="true" dt2D="false" dtr="false" t="normal">SUBTOTAL(9, F93:T93)</f>
        <v>2284407.2</v>
      </c>
      <c r="F93" s="17" t="n">
        <v>0</v>
      </c>
      <c r="G93" s="17" t="n">
        <v>0</v>
      </c>
      <c r="H93" s="17" t="n"/>
      <c r="I93" s="17" t="n">
        <v>0</v>
      </c>
      <c r="J93" s="17" t="n">
        <v>2082908.19</v>
      </c>
      <c r="K93" s="17" t="n"/>
      <c r="L93" s="17" t="n"/>
      <c r="M93" s="17" t="n">
        <v>0</v>
      </c>
      <c r="N93" s="17" t="n">
        <v>0</v>
      </c>
      <c r="O93" s="17" t="n">
        <v>0</v>
      </c>
      <c r="P93" s="17" t="n">
        <v>0</v>
      </c>
      <c r="Q93" s="17" t="n">
        <v>0</v>
      </c>
      <c r="R93" s="17" t="n">
        <v>199499.01</v>
      </c>
      <c r="S93" s="18" t="n">
        <v>2000</v>
      </c>
      <c r="T93" s="191" t="n"/>
    </row>
    <row outlineLevel="0" r="94">
      <c r="A94" s="331" t="n">
        <f aca="false" ca="false" dt2D="false" dtr="false" t="normal">+A93+1</f>
        <v>79</v>
      </c>
      <c r="B94" s="6" t="n">
        <f aca="false" ca="false" dt2D="false" dtr="false" t="normal">+B93+1</f>
        <v>79</v>
      </c>
      <c r="C94" s="138" t="s">
        <v>177</v>
      </c>
      <c r="D94" s="138" t="s">
        <v>261</v>
      </c>
      <c r="E94" s="27" t="n">
        <f aca="false" ca="true" dt2D="false" dtr="false" t="normal">SUBTOTAL(9, F94:T94)</f>
        <v>16584444.2196</v>
      </c>
      <c r="F94" s="17" t="n">
        <v>8268601.63</v>
      </c>
      <c r="G94" s="17" t="n"/>
      <c r="H94" s="17" t="n">
        <v>3198417.38</v>
      </c>
      <c r="I94" s="17" t="n">
        <v>2797224.34</v>
      </c>
      <c r="J94" s="17" t="n"/>
      <c r="K94" s="17" t="n"/>
      <c r="L94" s="17" t="n"/>
      <c r="M94" s="17" t="n">
        <v>0</v>
      </c>
      <c r="N94" s="17" t="n">
        <v>0</v>
      </c>
      <c r="O94" s="17" t="n">
        <v>0</v>
      </c>
      <c r="P94" s="17" t="n">
        <v>0</v>
      </c>
      <c r="Q94" s="17" t="n">
        <v>0</v>
      </c>
      <c r="R94" s="17" t="n">
        <v>1945255.4768</v>
      </c>
      <c r="S94" s="18" t="n">
        <v>203313.0628</v>
      </c>
      <c r="T94" s="191" t="n">
        <f aca="false" ca="false" dt2D="false" dtr="false" t="normal">100443.46+35541.21+35647.66</f>
        <v>171632.33000000002</v>
      </c>
    </row>
    <row outlineLevel="0" r="95">
      <c r="A95" s="331" t="n">
        <f aca="false" ca="false" dt2D="false" dtr="false" t="normal">+A94+1</f>
        <v>80</v>
      </c>
      <c r="B95" s="6" t="n">
        <f aca="false" ca="false" dt2D="false" dtr="false" t="normal">+B94+1</f>
        <v>80</v>
      </c>
      <c r="C95" s="138" t="s">
        <v>177</v>
      </c>
      <c r="D95" s="138" t="s">
        <v>263</v>
      </c>
      <c r="E95" s="27" t="n">
        <f aca="false" ca="true" dt2D="false" dtr="false" t="normal">SUBTOTAL(9, F95:T95)</f>
        <v>6345618.891051442</v>
      </c>
      <c r="F95" s="17" t="n">
        <v>0</v>
      </c>
      <c r="G95" s="17" t="n"/>
      <c r="H95" s="17" t="n">
        <v>3491728.21</v>
      </c>
      <c r="I95" s="17" t="n"/>
      <c r="J95" s="17" t="n"/>
      <c r="K95" s="17" t="n"/>
      <c r="L95" s="17" t="n"/>
      <c r="M95" s="17" t="n">
        <v>0</v>
      </c>
      <c r="N95" s="17" t="n">
        <v>0</v>
      </c>
      <c r="O95" s="17" t="n">
        <v>0</v>
      </c>
      <c r="P95" s="17" t="n">
        <v>0</v>
      </c>
      <c r="Q95" s="17" t="n"/>
      <c r="R95" s="17" t="n">
        <v>2595059.90459222</v>
      </c>
      <c r="S95" s="18" t="n">
        <v>223901.306459222</v>
      </c>
      <c r="T95" s="191" t="n">
        <f aca="false" ca="false" dt2D="false" dtr="false" t="normal">34929.47</f>
        <v>34929.47</v>
      </c>
    </row>
    <row outlineLevel="0" r="96">
      <c r="A96" s="331" t="n">
        <f aca="false" ca="false" dt2D="false" dtr="false" t="normal">+A95+1</f>
        <v>81</v>
      </c>
      <c r="B96" s="6" t="n">
        <f aca="false" ca="false" dt2D="false" dtr="false" t="normal">+B95+1</f>
        <v>81</v>
      </c>
      <c r="C96" s="138" t="s">
        <v>177</v>
      </c>
      <c r="D96" s="138" t="s">
        <v>265</v>
      </c>
      <c r="E96" s="27" t="n">
        <f aca="false" ca="true" dt2D="false" dtr="false" t="normal">SUBTOTAL(9, F96:T96)</f>
        <v>9789695.05</v>
      </c>
      <c r="F96" s="17" t="n">
        <v>2770302.43</v>
      </c>
      <c r="G96" s="17" t="n"/>
      <c r="H96" s="195" t="n"/>
      <c r="I96" s="17" t="n"/>
      <c r="J96" s="17" t="n"/>
      <c r="K96" s="17" t="n"/>
      <c r="L96" s="17" t="n"/>
      <c r="M96" s="17" t="n">
        <v>0</v>
      </c>
      <c r="N96" s="17" t="n">
        <v>6779379.82</v>
      </c>
      <c r="O96" s="17" t="n">
        <v>0</v>
      </c>
      <c r="P96" s="17" t="n">
        <v>0</v>
      </c>
      <c r="Q96" s="17" t="n">
        <v>0</v>
      </c>
      <c r="R96" s="17" t="n">
        <v>216012.8</v>
      </c>
      <c r="S96" s="18" t="n">
        <v>24000</v>
      </c>
      <c r="T96" s="191" t="n"/>
    </row>
    <row outlineLevel="0" r="97">
      <c r="A97" s="331" t="n">
        <f aca="false" ca="false" dt2D="false" dtr="false" t="normal">+A96+1</f>
        <v>82</v>
      </c>
      <c r="B97" s="6" t="n">
        <f aca="false" ca="false" dt2D="false" dtr="false" t="normal">+B96+1</f>
        <v>82</v>
      </c>
      <c r="C97" s="138" t="s">
        <v>177</v>
      </c>
      <c r="D97" s="138" t="s">
        <v>267</v>
      </c>
      <c r="E97" s="27" t="n">
        <f aca="false" ca="true" dt2D="false" dtr="false" t="normal">SUBTOTAL(9, F97:T97)</f>
        <v>5315487.649999999</v>
      </c>
      <c r="F97" s="17" t="n">
        <v>1643046.08</v>
      </c>
      <c r="G97" s="17" t="n"/>
      <c r="H97" s="195" t="n"/>
      <c r="I97" s="17" t="n"/>
      <c r="J97" s="17" t="n"/>
      <c r="K97" s="17" t="n"/>
      <c r="L97" s="17" t="n"/>
      <c r="M97" s="17" t="n">
        <v>0</v>
      </c>
      <c r="N97" s="17" t="n">
        <v>3461614.25</v>
      </c>
      <c r="O97" s="17" t="n">
        <v>0</v>
      </c>
      <c r="P97" s="17" t="n">
        <v>0</v>
      </c>
      <c r="Q97" s="17" t="n">
        <v>0</v>
      </c>
      <c r="R97" s="17" t="n">
        <v>156962.18</v>
      </c>
      <c r="S97" s="18" t="n">
        <v>24000</v>
      </c>
      <c r="T97" s="191" t="n">
        <f aca="false" ca="false" dt2D="false" dtr="false" t="normal">29865.14</f>
        <v>29865.14</v>
      </c>
    </row>
    <row outlineLevel="0" r="98">
      <c r="A98" s="331" t="n">
        <f aca="false" ca="false" dt2D="false" dtr="false" t="normal">+A97+1</f>
        <v>83</v>
      </c>
      <c r="B98" s="6" t="n">
        <f aca="false" ca="false" dt2D="false" dtr="false" t="normal">+B97+1</f>
        <v>83</v>
      </c>
      <c r="C98" s="138" t="s">
        <v>177</v>
      </c>
      <c r="D98" s="138" t="s">
        <v>268</v>
      </c>
      <c r="E98" s="27" t="n">
        <f aca="false" ca="true" dt2D="false" dtr="false" t="normal">SUBTOTAL(9, F98:T98)</f>
        <v>3123256.04</v>
      </c>
      <c r="F98" s="17" t="n"/>
      <c r="G98" s="17" t="n"/>
      <c r="H98" s="195" t="n">
        <v>417598.24</v>
      </c>
      <c r="I98" s="17" t="n"/>
      <c r="J98" s="17" t="n"/>
      <c r="K98" s="17" t="n"/>
      <c r="L98" s="17" t="n"/>
      <c r="M98" s="17" t="n">
        <v>0</v>
      </c>
      <c r="N98" s="17" t="n">
        <v>2705657.8</v>
      </c>
      <c r="O98" s="17" t="n">
        <v>0</v>
      </c>
      <c r="P98" s="17" t="n">
        <v>0</v>
      </c>
      <c r="Q98" s="17" t="n">
        <v>0</v>
      </c>
      <c r="R98" s="17" t="n"/>
      <c r="S98" s="18" t="n"/>
      <c r="T98" s="191" t="n"/>
    </row>
    <row outlineLevel="0" r="99">
      <c r="A99" s="331" t="n">
        <f aca="false" ca="false" dt2D="false" dtr="false" t="normal">+A98+1</f>
        <v>84</v>
      </c>
      <c r="B99" s="6" t="n">
        <f aca="false" ca="false" dt2D="false" dtr="false" t="normal">+B98+1</f>
        <v>84</v>
      </c>
      <c r="C99" s="138" t="s">
        <v>177</v>
      </c>
      <c r="D99" s="138" t="s">
        <v>270</v>
      </c>
      <c r="E99" s="27" t="n">
        <f aca="false" ca="true" dt2D="false" dtr="false" t="normal">SUBTOTAL(9, F99:T99)</f>
        <v>11055411.040000003</v>
      </c>
      <c r="F99" s="17" t="n">
        <v>6273586.15</v>
      </c>
      <c r="G99" s="17" t="n"/>
      <c r="H99" s="195" t="n">
        <v>1824432.9</v>
      </c>
      <c r="I99" s="17" t="n">
        <v>2750949.97</v>
      </c>
      <c r="J99" s="17" t="n"/>
      <c r="K99" s="17" t="n"/>
      <c r="L99" s="17" t="n"/>
      <c r="M99" s="17" t="n">
        <v>0</v>
      </c>
      <c r="N99" s="17" t="n">
        <v>0</v>
      </c>
      <c r="O99" s="17" t="n">
        <v>0</v>
      </c>
      <c r="P99" s="17" t="n">
        <v>0</v>
      </c>
      <c r="Q99" s="17" t="n">
        <v>0</v>
      </c>
      <c r="R99" s="17" t="n">
        <v>75835.89</v>
      </c>
      <c r="S99" s="18" t="n">
        <v>18000</v>
      </c>
      <c r="T99" s="191" t="n">
        <f aca="false" ca="false" dt2D="false" dtr="false" t="normal">112606.13</f>
        <v>112606.13</v>
      </c>
    </row>
    <row outlineLevel="0" r="100">
      <c r="A100" s="331" t="n">
        <f aca="false" ca="false" dt2D="false" dtr="false" t="normal">+A99+1</f>
        <v>85</v>
      </c>
      <c r="B100" s="6" t="n">
        <f aca="false" ca="false" dt2D="false" dtr="false" t="normal">+B99+1</f>
        <v>85</v>
      </c>
      <c r="C100" s="138" t="s">
        <v>177</v>
      </c>
      <c r="D100" s="138" t="s">
        <v>272</v>
      </c>
      <c r="E100" s="27" t="n">
        <f aca="false" ca="true" dt2D="false" dtr="false" t="normal">SUBTOTAL(9, F100:T100)</f>
        <v>11026170.239999998</v>
      </c>
      <c r="F100" s="17" t="n">
        <v>6230360.19</v>
      </c>
      <c r="G100" s="17" t="n"/>
      <c r="H100" s="195" t="n">
        <v>1824432.9</v>
      </c>
      <c r="I100" s="17" t="n">
        <v>2756248.99</v>
      </c>
      <c r="J100" s="17" t="n"/>
      <c r="K100" s="17" t="n"/>
      <c r="L100" s="17" t="n"/>
      <c r="M100" s="17" t="n">
        <v>0</v>
      </c>
      <c r="N100" s="17" t="n">
        <v>0</v>
      </c>
      <c r="O100" s="17" t="n">
        <v>0</v>
      </c>
      <c r="P100" s="17" t="n">
        <v>0</v>
      </c>
      <c r="Q100" s="17" t="n">
        <v>0</v>
      </c>
      <c r="R100" s="17" t="n">
        <v>75653.79</v>
      </c>
      <c r="S100" s="18" t="n">
        <v>18000</v>
      </c>
      <c r="T100" s="191" t="n">
        <f aca="false" ca="false" dt2D="false" dtr="false" t="normal">121474.37</f>
        <v>121474.37</v>
      </c>
    </row>
    <row outlineLevel="0" r="101">
      <c r="A101" s="331" t="n">
        <f aca="false" ca="false" dt2D="false" dtr="false" t="normal">+A100+1</f>
        <v>86</v>
      </c>
      <c r="B101" s="6" t="n">
        <f aca="false" ca="false" dt2D="false" dtr="false" t="normal">+B100+1</f>
        <v>86</v>
      </c>
      <c r="C101" s="138" t="s">
        <v>177</v>
      </c>
      <c r="D101" s="138" t="s">
        <v>274</v>
      </c>
      <c r="E101" s="27" t="n">
        <f aca="false" ca="true" dt2D="false" dtr="false" t="normal">SUBTOTAL(9, F101:T101)</f>
        <v>9221762.190000001</v>
      </c>
      <c r="F101" s="17" t="n">
        <v>6321167.09</v>
      </c>
      <c r="G101" s="17" t="n"/>
      <c r="H101" s="195" t="n"/>
      <c r="I101" s="17" t="n">
        <v>2717347.73</v>
      </c>
      <c r="J101" s="17" t="n"/>
      <c r="K101" s="17" t="n"/>
      <c r="L101" s="17" t="n"/>
      <c r="M101" s="17" t="n">
        <v>0</v>
      </c>
      <c r="N101" s="17" t="n">
        <v>0</v>
      </c>
      <c r="O101" s="17" t="n">
        <v>0</v>
      </c>
      <c r="P101" s="17" t="n">
        <v>0</v>
      </c>
      <c r="Q101" s="17" t="n">
        <v>0</v>
      </c>
      <c r="R101" s="17" t="n">
        <v>75730.05</v>
      </c>
      <c r="S101" s="18" t="n">
        <v>18000</v>
      </c>
      <c r="T101" s="191" t="n">
        <f aca="false" ca="false" dt2D="false" dtr="false" t="normal">108774.59-19257.27</f>
        <v>89517.31999999999</v>
      </c>
    </row>
    <row outlineLevel="0" r="102">
      <c r="A102" s="331" t="n">
        <f aca="false" ca="false" dt2D="false" dtr="false" t="normal">+A101+1</f>
        <v>87</v>
      </c>
      <c r="B102" s="6" t="n">
        <f aca="false" ca="false" dt2D="false" dtr="false" t="normal">+B101+1</f>
        <v>87</v>
      </c>
      <c r="C102" s="138" t="s">
        <v>177</v>
      </c>
      <c r="D102" s="138" t="s">
        <v>276</v>
      </c>
      <c r="E102" s="27" t="n">
        <f aca="false" ca="true" dt2D="false" dtr="false" t="normal">SUBTOTAL(9, F102:T102)</f>
        <v>1026615.7599999999</v>
      </c>
      <c r="F102" s="17" t="n"/>
      <c r="H102" s="195" t="n">
        <v>642270.27</v>
      </c>
      <c r="I102" s="17" t="n"/>
      <c r="J102" s="17" t="n"/>
      <c r="K102" s="17" t="n"/>
      <c r="L102" s="17" t="n"/>
      <c r="M102" s="17" t="n">
        <v>0</v>
      </c>
      <c r="N102" s="17" t="n">
        <v>0</v>
      </c>
      <c r="O102" s="17" t="n">
        <v>0</v>
      </c>
      <c r="P102" s="17" t="n">
        <v>0</v>
      </c>
      <c r="Q102" s="17" t="n">
        <v>0</v>
      </c>
      <c r="R102" s="17" t="n">
        <v>352588.91</v>
      </c>
      <c r="S102" s="18" t="n">
        <v>24000</v>
      </c>
      <c r="T102" s="191" t="n">
        <v>7756.58</v>
      </c>
    </row>
    <row outlineLevel="0" r="103">
      <c r="A103" s="331" t="n">
        <f aca="false" ca="false" dt2D="false" dtr="false" t="normal">+A102+1</f>
        <v>88</v>
      </c>
      <c r="B103" s="6" t="n">
        <f aca="false" ca="false" dt2D="false" dtr="false" t="normal">+B102+1</f>
        <v>88</v>
      </c>
      <c r="C103" s="138" t="s">
        <v>177</v>
      </c>
      <c r="D103" s="138" t="s">
        <v>277</v>
      </c>
      <c r="E103" s="27" t="n">
        <f aca="false" ca="true" dt2D="false" dtr="false" t="normal">SUBTOTAL(9, F103:T103)</f>
        <v>2150653.5872</v>
      </c>
      <c r="F103" s="17" t="n"/>
      <c r="G103" s="17" t="n">
        <v>588065.09</v>
      </c>
      <c r="H103" s="195" t="n"/>
      <c r="I103" s="17" t="n">
        <v>500447.33</v>
      </c>
      <c r="J103" s="17" t="n">
        <v>469911.83</v>
      </c>
      <c r="K103" s="17" t="n"/>
      <c r="L103" s="17" t="n"/>
      <c r="M103" s="17" t="n">
        <v>0</v>
      </c>
      <c r="N103" s="17" t="n"/>
      <c r="O103" s="17" t="n">
        <v>0</v>
      </c>
      <c r="P103" s="17" t="n">
        <v>0</v>
      </c>
      <c r="Q103" s="17" t="n">
        <v>0</v>
      </c>
      <c r="R103" s="17" t="n">
        <v>513326.799</v>
      </c>
      <c r="S103" s="18" t="n">
        <v>73858.7182</v>
      </c>
      <c r="T103" s="191" t="n">
        <v>5043.82</v>
      </c>
    </row>
    <row outlineLevel="0" r="104">
      <c r="A104" s="331" t="n">
        <f aca="false" ca="false" dt2D="false" dtr="false" t="normal">+A103+1</f>
        <v>89</v>
      </c>
      <c r="B104" s="6" t="n">
        <f aca="false" ca="false" dt2D="false" dtr="false" t="normal">+B103+1</f>
        <v>89</v>
      </c>
      <c r="C104" s="138" t="s">
        <v>177</v>
      </c>
      <c r="D104" s="138" t="s">
        <v>279</v>
      </c>
      <c r="E104" s="27" t="n">
        <f aca="false" ca="true" dt2D="false" dtr="false" t="normal">SUBTOTAL(9, F104:T104)</f>
        <v>1593951.19</v>
      </c>
      <c r="F104" s="17" t="n"/>
      <c r="G104" s="17" t="n"/>
      <c r="H104" s="195" t="n"/>
      <c r="I104" s="17" t="n"/>
      <c r="J104" s="17" t="n">
        <v>1092251.81</v>
      </c>
      <c r="K104" s="17" t="n"/>
      <c r="L104" s="17" t="n"/>
      <c r="M104" s="17" t="n"/>
      <c r="N104" s="17" t="n"/>
      <c r="O104" s="17" t="n">
        <v>0</v>
      </c>
      <c r="P104" s="17" t="n">
        <v>0</v>
      </c>
      <c r="Q104" s="17" t="n">
        <v>0</v>
      </c>
      <c r="R104" s="17" t="n">
        <v>501699.38</v>
      </c>
      <c r="S104" s="18" t="n"/>
      <c r="T104" s="191" t="n"/>
    </row>
    <row outlineLevel="0" r="105">
      <c r="A105" s="331" t="n">
        <f aca="false" ca="false" dt2D="false" dtr="false" t="normal">+A104+1</f>
        <v>90</v>
      </c>
      <c r="B105" s="6" t="n">
        <f aca="false" ca="false" dt2D="false" dtr="false" t="normal">+B104+1</f>
        <v>90</v>
      </c>
      <c r="C105" s="138" t="s">
        <v>177</v>
      </c>
      <c r="D105" s="138" t="s">
        <v>281</v>
      </c>
      <c r="E105" s="27" t="n">
        <f aca="false" ca="true" dt2D="false" dtr="false" t="normal">SUBTOTAL(9, F105:T105)</f>
        <v>20295397.65</v>
      </c>
      <c r="F105" s="17" t="n"/>
      <c r="G105" s="17" t="n"/>
      <c r="H105" s="195" t="n"/>
      <c r="I105" s="17" t="n"/>
      <c r="J105" s="17" t="n"/>
      <c r="K105" s="17" t="n"/>
      <c r="L105" s="17" t="n"/>
      <c r="M105" s="17" t="n"/>
      <c r="N105" s="17" t="n">
        <v>8833594.16</v>
      </c>
      <c r="O105" s="17" t="n">
        <v>0</v>
      </c>
      <c r="P105" s="17" t="n">
        <v>11280169.18</v>
      </c>
      <c r="R105" s="17" t="n">
        <v>157634.31</v>
      </c>
      <c r="S105" s="18" t="n">
        <v>24000</v>
      </c>
      <c r="T105" s="191" t="n"/>
    </row>
    <row outlineLevel="0" r="106">
      <c r="A106" s="331" t="n">
        <f aca="false" ca="false" dt2D="false" dtr="false" t="normal">+A105+1</f>
        <v>91</v>
      </c>
      <c r="B106" s="6" t="n">
        <f aca="false" ca="false" dt2D="false" dtr="false" t="normal">+B105+1</f>
        <v>91</v>
      </c>
      <c r="C106" s="138" t="s">
        <v>177</v>
      </c>
      <c r="D106" s="138" t="s">
        <v>283</v>
      </c>
      <c r="E106" s="27" t="n">
        <f aca="false" ca="true" dt2D="false" dtr="false" t="normal">SUBTOTAL(9, F106:T106)</f>
        <v>26145732.75</v>
      </c>
      <c r="F106" s="17" t="n"/>
      <c r="H106" s="195" t="n">
        <v>3146864.52</v>
      </c>
      <c r="I106" s="17" t="n">
        <v>2896787.04</v>
      </c>
      <c r="J106" s="17" t="n">
        <v>0</v>
      </c>
      <c r="K106" s="17" t="n"/>
      <c r="L106" s="17" t="n"/>
      <c r="M106" s="17" t="n">
        <v>0</v>
      </c>
      <c r="N106" s="17" t="n">
        <v>9859124.1</v>
      </c>
      <c r="O106" s="17" t="n">
        <v>0</v>
      </c>
      <c r="P106" s="17" t="n">
        <v>6508599.59</v>
      </c>
      <c r="Q106" s="17" t="n">
        <v>3276300</v>
      </c>
      <c r="R106" s="17" t="n">
        <v>434057.5</v>
      </c>
      <c r="S106" s="18" t="n">
        <v>24000</v>
      </c>
      <c r="T106" s="191" t="n"/>
    </row>
    <row outlineLevel="0" r="107">
      <c r="A107" s="331" t="n">
        <f aca="false" ca="false" dt2D="false" dtr="false" t="normal">+A106+1</f>
        <v>92</v>
      </c>
      <c r="B107" s="6" t="n">
        <f aca="false" ca="false" dt2D="false" dtr="false" t="normal">+B106+1</f>
        <v>92</v>
      </c>
      <c r="C107" s="138" t="s">
        <v>177</v>
      </c>
      <c r="D107" s="138" t="s">
        <v>285</v>
      </c>
      <c r="E107" s="27" t="n">
        <f aca="false" ca="true" dt2D="false" dtr="false" t="normal">SUBTOTAL(9, F107:T107)</f>
        <v>13931248.4422</v>
      </c>
      <c r="F107" s="17" t="n"/>
      <c r="H107" s="195" t="n">
        <v>2731732.82</v>
      </c>
      <c r="J107" s="17" t="n">
        <v>0</v>
      </c>
      <c r="K107" s="17" t="n"/>
      <c r="L107" s="17" t="n"/>
      <c r="M107" s="17" t="n">
        <v>0</v>
      </c>
      <c r="N107" s="17" t="n">
        <v>9356498.15</v>
      </c>
      <c r="O107" s="17" t="n">
        <v>0</v>
      </c>
      <c r="P107" s="17" t="n"/>
      <c r="Q107" s="17" t="n">
        <v>1381241.93</v>
      </c>
      <c r="R107" s="17" t="n">
        <v>311041.2811</v>
      </c>
      <c r="S107" s="18" t="n">
        <v>45051.6011</v>
      </c>
      <c r="T107" s="191" t="n">
        <f aca="false" ca="false" dt2D="false" dtr="false" t="normal">23622.51+70525+11535.15</f>
        <v>105682.65999999999</v>
      </c>
    </row>
    <row outlineLevel="0" r="108">
      <c r="A108" s="331" t="n">
        <f aca="false" ca="false" dt2D="false" dtr="false" t="normal">+A107+1</f>
        <v>93</v>
      </c>
      <c r="B108" s="6" t="n">
        <f aca="false" ca="false" dt2D="false" dtr="false" t="normal">+B107+1</f>
        <v>93</v>
      </c>
      <c r="C108" s="138" t="s">
        <v>177</v>
      </c>
      <c r="D108" s="138" t="s">
        <v>286</v>
      </c>
      <c r="E108" s="27" t="n">
        <f aca="false" ca="true" dt2D="false" dtr="false" t="normal">SUBTOTAL(9, F108:T108)</f>
        <v>1092667.3</v>
      </c>
      <c r="F108" s="17" t="n">
        <v>0</v>
      </c>
      <c r="G108" s="17" t="n">
        <v>0</v>
      </c>
      <c r="H108" s="195" t="n">
        <v>0</v>
      </c>
      <c r="I108" s="17" t="n">
        <v>0</v>
      </c>
      <c r="J108" s="17" t="n">
        <v>1092667.3</v>
      </c>
      <c r="K108" s="17" t="n"/>
      <c r="L108" s="17" t="n"/>
      <c r="M108" s="17" t="n">
        <v>0</v>
      </c>
      <c r="N108" s="17" t="n">
        <v>0</v>
      </c>
      <c r="O108" s="17" t="n">
        <v>0</v>
      </c>
      <c r="P108" s="17" t="n"/>
      <c r="Q108" s="17" t="n">
        <v>0</v>
      </c>
      <c r="R108" s="17" t="n"/>
      <c r="S108" s="18" t="n"/>
      <c r="T108" s="191" t="n"/>
    </row>
    <row outlineLevel="0" r="109">
      <c r="A109" s="331" t="n">
        <f aca="false" ca="false" dt2D="false" dtr="false" t="normal">+A108+1</f>
        <v>94</v>
      </c>
      <c r="B109" s="6" t="n">
        <f aca="false" ca="false" dt2D="false" dtr="false" t="normal">+B108+1</f>
        <v>94</v>
      </c>
      <c r="C109" s="138" t="s">
        <v>177</v>
      </c>
      <c r="D109" s="138" t="s">
        <v>288</v>
      </c>
      <c r="E109" s="27" t="n">
        <f aca="false" ca="true" dt2D="false" dtr="false" t="normal">SUBTOTAL(9, F109:T109)</f>
        <v>1966896.6600000001</v>
      </c>
      <c r="F109" s="17" t="n">
        <v>0</v>
      </c>
      <c r="G109" s="17" t="n">
        <v>0</v>
      </c>
      <c r="H109" s="195" t="n">
        <v>0</v>
      </c>
      <c r="I109" s="17" t="n">
        <v>0</v>
      </c>
      <c r="J109" s="17" t="n"/>
      <c r="K109" s="17" t="n"/>
      <c r="L109" s="17" t="n"/>
      <c r="M109" s="17" t="n">
        <v>0</v>
      </c>
      <c r="N109" s="17" t="n">
        <v>0</v>
      </c>
      <c r="O109" s="17" t="n">
        <v>0</v>
      </c>
      <c r="P109" s="17" t="n">
        <v>0</v>
      </c>
      <c r="Q109" s="17" t="n">
        <v>1937343.33</v>
      </c>
      <c r="R109" s="17" t="n"/>
      <c r="S109" s="18" t="n"/>
      <c r="T109" s="191" t="n">
        <f aca="false" ca="false" dt2D="false" dtr="false" t="normal">29553.33</f>
        <v>29553.33</v>
      </c>
    </row>
    <row outlineLevel="0" r="110">
      <c r="A110" s="331" t="n">
        <f aca="false" ca="false" dt2D="false" dtr="false" t="normal">+A109+1</f>
        <v>95</v>
      </c>
      <c r="B110" s="6" t="n">
        <f aca="false" ca="false" dt2D="false" dtr="false" t="normal">+B109+1</f>
        <v>95</v>
      </c>
      <c r="C110" s="138" t="s">
        <v>177</v>
      </c>
      <c r="D110" s="138" t="s">
        <v>290</v>
      </c>
      <c r="E110" s="27" t="n">
        <f aca="false" ca="true" dt2D="false" dtr="false" t="normal">SUBTOTAL(9, F110:T110)</f>
        <v>3410150.65</v>
      </c>
      <c r="F110" s="17" t="n">
        <v>0</v>
      </c>
      <c r="G110" s="17" t="n">
        <v>0</v>
      </c>
      <c r="H110" s="195" t="n">
        <v>0</v>
      </c>
      <c r="I110" s="17" t="n">
        <v>0</v>
      </c>
      <c r="J110" s="17" t="n">
        <v>0</v>
      </c>
      <c r="K110" s="17" t="n"/>
      <c r="L110" s="17" t="n"/>
      <c r="M110" s="17" t="n">
        <v>0</v>
      </c>
      <c r="N110" s="17" t="n">
        <v>3264065.71</v>
      </c>
      <c r="O110" s="17" t="n">
        <v>0</v>
      </c>
      <c r="P110" s="17" t="n">
        <v>0</v>
      </c>
      <c r="Q110" s="17" t="n">
        <v>0</v>
      </c>
      <c r="R110" s="17" t="n">
        <v>122084.94</v>
      </c>
      <c r="S110" s="17" t="n">
        <v>24000</v>
      </c>
      <c r="T110" s="191" t="n"/>
    </row>
    <row outlineLevel="0" r="111">
      <c r="A111" s="331" t="n">
        <f aca="false" ca="false" dt2D="false" dtr="false" t="normal">+A110+1</f>
        <v>96</v>
      </c>
      <c r="B111" s="6" t="n">
        <f aca="false" ca="false" dt2D="false" dtr="false" t="normal">+B110+1</f>
        <v>96</v>
      </c>
      <c r="C111" s="138" t="s">
        <v>177</v>
      </c>
      <c r="D111" s="138" t="s">
        <v>292</v>
      </c>
      <c r="E111" s="27" t="n">
        <f aca="false" ca="true" dt2D="false" dtr="false" t="normal">SUBTOTAL(9, F111:T111)</f>
        <v>8427335.0921</v>
      </c>
      <c r="F111" s="17" t="n">
        <v>0</v>
      </c>
      <c r="G111" s="17" t="n">
        <v>0</v>
      </c>
      <c r="H111" s="195" t="n">
        <v>0</v>
      </c>
      <c r="I111" s="17" t="n">
        <v>0</v>
      </c>
      <c r="J111" s="17" t="n">
        <v>0</v>
      </c>
      <c r="K111" s="17" t="n"/>
      <c r="L111" s="17" t="n"/>
      <c r="M111" s="17" t="n">
        <v>0</v>
      </c>
      <c r="N111" s="17" t="n">
        <v>7551202.7</v>
      </c>
      <c r="O111" s="17" t="n">
        <v>0</v>
      </c>
      <c r="P111" s="17" t="n">
        <v>0</v>
      </c>
      <c r="Q111" s="17" t="n">
        <v>0</v>
      </c>
      <c r="R111" s="17" t="n">
        <v>852132.3921</v>
      </c>
      <c r="S111" s="18" t="n">
        <v>24000</v>
      </c>
      <c r="T111" s="191" t="n"/>
    </row>
    <row outlineLevel="0" r="112">
      <c r="A112" s="331" t="n">
        <f aca="false" ca="false" dt2D="false" dtr="false" t="normal">+A111+1</f>
        <v>97</v>
      </c>
      <c r="B112" s="6" t="n">
        <f aca="false" ca="false" dt2D="false" dtr="false" t="normal">+B111+1</f>
        <v>97</v>
      </c>
      <c r="C112" s="138" t="s">
        <v>177</v>
      </c>
      <c r="D112" s="138" t="s">
        <v>294</v>
      </c>
      <c r="E112" s="27" t="n">
        <f aca="false" ca="true" dt2D="false" dtr="false" t="normal">SUBTOTAL(9, F112:T112)</f>
        <v>17704648.110600002</v>
      </c>
      <c r="G112" s="17" t="n"/>
      <c r="H112" s="201" t="n"/>
      <c r="J112" s="17" t="n"/>
      <c r="K112" s="17" t="n"/>
      <c r="L112" s="17" t="n"/>
      <c r="M112" s="17" t="n">
        <v>0</v>
      </c>
      <c r="N112" s="17" t="n">
        <v>12780973.57</v>
      </c>
      <c r="O112" s="17" t="n">
        <v>0</v>
      </c>
      <c r="P112" s="17" t="n"/>
      <c r="Q112" s="17" t="n"/>
      <c r="R112" s="17" t="n">
        <v>4341944.4309</v>
      </c>
      <c r="S112" s="18" t="n">
        <v>461523.4197</v>
      </c>
      <c r="T112" s="191" t="n">
        <v>120206.69</v>
      </c>
    </row>
    <row outlineLevel="0" r="113">
      <c r="A113" s="331" t="n">
        <f aca="false" ca="false" dt2D="false" dtr="false" t="normal">+A112+1</f>
        <v>98</v>
      </c>
      <c r="B113" s="6" t="n">
        <f aca="false" ca="false" dt2D="false" dtr="false" t="normal">+B112+1</f>
        <v>98</v>
      </c>
      <c r="C113" s="138" t="s">
        <v>177</v>
      </c>
      <c r="D113" s="138" t="s">
        <v>295</v>
      </c>
      <c r="E113" s="27" t="n">
        <f aca="false" ca="true" dt2D="false" dtr="false" t="normal">SUBTOTAL(9, F113:T113)</f>
        <v>23158024.849999998</v>
      </c>
      <c r="F113" s="17" t="n"/>
      <c r="G113" s="17" t="n"/>
      <c r="H113" s="195" t="n"/>
      <c r="I113" s="17" t="n"/>
      <c r="J113" s="17" t="n"/>
      <c r="K113" s="17" t="n"/>
      <c r="L113" s="17" t="n"/>
      <c r="M113" s="17" t="n"/>
      <c r="N113" s="17" t="n"/>
      <c r="O113" s="17" t="n">
        <v>0</v>
      </c>
      <c r="P113" s="17" t="n">
        <v>22920438.08</v>
      </c>
      <c r="Q113" s="17" t="n"/>
      <c r="R113" s="17" t="n">
        <v>237586.77</v>
      </c>
      <c r="S113" s="18" t="n"/>
      <c r="T113" s="191" t="n"/>
    </row>
    <row outlineLevel="0" r="114">
      <c r="A114" s="331" t="n">
        <f aca="false" ca="false" dt2D="false" dtr="false" t="normal">+A113+1</f>
        <v>99</v>
      </c>
      <c r="B114" s="6" t="n">
        <f aca="false" ca="false" dt2D="false" dtr="false" t="normal">+B113+1</f>
        <v>99</v>
      </c>
      <c r="C114" s="138" t="s">
        <v>177</v>
      </c>
      <c r="D114" s="138" t="s">
        <v>297</v>
      </c>
      <c r="E114" s="27" t="n">
        <f aca="false" ca="true" dt2D="false" dtr="false" t="normal">SUBTOTAL(9, F114:T114)</f>
        <v>23277496.14</v>
      </c>
      <c r="F114" s="17" t="n"/>
      <c r="G114" s="17" t="n"/>
      <c r="H114" s="195" t="n"/>
      <c r="I114" s="17" t="n"/>
      <c r="J114" s="17" t="n"/>
      <c r="K114" s="17" t="n"/>
      <c r="L114" s="17" t="n"/>
      <c r="M114" s="17" t="n"/>
      <c r="N114" s="17" t="n"/>
      <c r="O114" s="17" t="n">
        <v>0</v>
      </c>
      <c r="P114" s="17" t="n">
        <v>23040371.91</v>
      </c>
      <c r="Q114" s="17" t="n"/>
      <c r="R114" s="17" t="n">
        <v>237124.23</v>
      </c>
      <c r="S114" s="18" t="n"/>
      <c r="T114" s="191" t="n"/>
    </row>
    <row outlineLevel="0" r="115">
      <c r="A115" s="331" t="n">
        <f aca="false" ca="false" dt2D="false" dtr="false" t="normal">+A114+1</f>
        <v>100</v>
      </c>
      <c r="B115" s="6" t="n">
        <f aca="false" ca="false" dt2D="false" dtr="false" t="normal">+B114+1</f>
        <v>100</v>
      </c>
      <c r="C115" s="138" t="s">
        <v>177</v>
      </c>
      <c r="D115" s="138" t="s">
        <v>299</v>
      </c>
      <c r="E115" s="27" t="n">
        <f aca="false" ca="true" dt2D="false" dtr="false" t="normal">SUBTOTAL(9, F115:T115)</f>
        <v>671631.14</v>
      </c>
      <c r="F115" s="17" t="n"/>
      <c r="G115" s="17" t="n"/>
      <c r="H115" s="195" t="n">
        <v>655531.02</v>
      </c>
      <c r="I115" s="17" t="n"/>
      <c r="J115" s="17" t="n"/>
      <c r="K115" s="17" t="n"/>
      <c r="L115" s="17" t="n"/>
      <c r="M115" s="17" t="n"/>
      <c r="N115" s="17" t="n"/>
      <c r="O115" s="17" t="n"/>
      <c r="P115" s="17" t="n"/>
      <c r="R115" s="17" t="n"/>
      <c r="S115" s="18" t="n"/>
      <c r="T115" s="191" t="n">
        <v>16100.12</v>
      </c>
    </row>
    <row outlineLevel="0" r="116">
      <c r="A116" s="331" t="n">
        <f aca="false" ca="false" dt2D="false" dtr="false" t="normal">+A115+1</f>
        <v>101</v>
      </c>
      <c r="B116" s="6" t="n">
        <f aca="false" ca="false" dt2D="false" dtr="false" t="normal">+B115+1</f>
        <v>101</v>
      </c>
      <c r="C116" s="138" t="s">
        <v>177</v>
      </c>
      <c r="D116" s="138" t="s">
        <v>301</v>
      </c>
      <c r="E116" s="27" t="n">
        <f aca="false" ca="true" dt2D="false" dtr="false" t="normal">SUBTOTAL(9, F116:T116)</f>
        <v>8384626.2695</v>
      </c>
      <c r="F116" s="17" t="n"/>
      <c r="G116" s="17" t="n">
        <v>1337737.05</v>
      </c>
      <c r="H116" s="195" t="n">
        <v>613148.77</v>
      </c>
      <c r="I116" s="17" t="n">
        <v>943239.55</v>
      </c>
      <c r="J116" s="17" t="n"/>
      <c r="K116" s="17" t="n"/>
      <c r="L116" s="17" t="n"/>
      <c r="M116" s="17" t="n">
        <v>0</v>
      </c>
      <c r="N116" s="17" t="n">
        <v>3170792.72</v>
      </c>
      <c r="O116" s="17" t="n">
        <v>0</v>
      </c>
      <c r="P116" s="17" t="n">
        <v>0</v>
      </c>
      <c r="Q116" s="17" t="n">
        <v>0</v>
      </c>
      <c r="R116" s="17" t="n">
        <v>2090379.2509</v>
      </c>
      <c r="S116" s="18" t="n">
        <v>229328.9286</v>
      </c>
      <c r="T116" s="191" t="n"/>
    </row>
    <row outlineLevel="0" r="117">
      <c r="A117" s="331" t="n">
        <f aca="false" ca="false" dt2D="false" dtr="false" t="normal">+A116+1</f>
        <v>102</v>
      </c>
      <c r="B117" s="6" t="n">
        <f aca="false" ca="false" dt2D="false" dtr="false" t="normal">+B116+1</f>
        <v>102</v>
      </c>
      <c r="C117" s="138" t="s">
        <v>177</v>
      </c>
      <c r="D117" s="138" t="s">
        <v>303</v>
      </c>
      <c r="E117" s="27" t="n">
        <f aca="false" ca="true" dt2D="false" dtr="false" t="normal">SUBTOTAL(9, F117:T117)</f>
        <v>3582145.82</v>
      </c>
      <c r="F117" s="17" t="n">
        <v>2763321.73</v>
      </c>
      <c r="G117" s="17" t="n"/>
      <c r="H117" s="195" t="n"/>
      <c r="I117" s="17" t="n"/>
      <c r="J117" s="17" t="n"/>
      <c r="K117" s="17" t="n">
        <v>0</v>
      </c>
      <c r="L117" s="17" t="n"/>
      <c r="M117" s="17" t="n">
        <v>0</v>
      </c>
      <c r="N117" s="17" t="n">
        <v>0</v>
      </c>
      <c r="O117" s="17" t="n">
        <v>0</v>
      </c>
      <c r="P117" s="17" t="n">
        <v>0</v>
      </c>
      <c r="Q117" s="17" t="n">
        <v>0</v>
      </c>
      <c r="R117" s="17" t="n">
        <v>788750.73</v>
      </c>
      <c r="S117" s="18" t="n"/>
      <c r="T117" s="191" t="n">
        <v>30073.36</v>
      </c>
    </row>
    <row outlineLevel="0" r="118">
      <c r="A118" s="331" t="n">
        <f aca="false" ca="false" dt2D="false" dtr="false" t="normal">+A117+1</f>
        <v>103</v>
      </c>
      <c r="B118" s="6" t="n">
        <f aca="false" ca="false" dt2D="false" dtr="false" t="normal">+B117+1</f>
        <v>103</v>
      </c>
      <c r="C118" s="138" t="s">
        <v>177</v>
      </c>
      <c r="D118" s="138" t="s">
        <v>305</v>
      </c>
      <c r="E118" s="27" t="n">
        <f aca="false" ca="true" dt2D="false" dtr="false" t="normal">SUBTOTAL(9, F118:T118)</f>
        <v>1007223.29</v>
      </c>
      <c r="F118" s="17" t="n">
        <v>0</v>
      </c>
      <c r="G118" s="17" t="n">
        <v>0</v>
      </c>
      <c r="H118" s="195" t="n">
        <v>0</v>
      </c>
      <c r="I118" s="17" t="n">
        <v>0</v>
      </c>
      <c r="J118" s="17" t="n">
        <v>1007223.29</v>
      </c>
      <c r="K118" s="17" t="n"/>
      <c r="L118" s="17" t="n"/>
      <c r="M118" s="17" t="n">
        <v>0</v>
      </c>
      <c r="N118" s="17" t="n">
        <v>0</v>
      </c>
      <c r="O118" s="17" t="n">
        <v>0</v>
      </c>
      <c r="P118" s="17" t="n">
        <v>0</v>
      </c>
      <c r="Q118" s="17" t="n">
        <v>0</v>
      </c>
      <c r="R118" s="17" t="n"/>
      <c r="S118" s="18" t="n"/>
      <c r="T118" s="191" t="n"/>
    </row>
    <row outlineLevel="0" r="119">
      <c r="A119" s="331" t="n">
        <f aca="false" ca="false" dt2D="false" dtr="false" t="normal">+A118+1</f>
        <v>104</v>
      </c>
      <c r="B119" s="6" t="n">
        <f aca="false" ca="false" dt2D="false" dtr="false" t="normal">+B118+1</f>
        <v>104</v>
      </c>
      <c r="C119" s="138" t="s">
        <v>177</v>
      </c>
      <c r="D119" s="138" t="s">
        <v>307</v>
      </c>
      <c r="E119" s="27" t="n">
        <f aca="false" ca="true" dt2D="false" dtr="false" t="normal">SUBTOTAL(9, F119:T119)</f>
        <v>12165659.144399999</v>
      </c>
      <c r="F119" s="17" t="n">
        <v>3644506.14</v>
      </c>
      <c r="G119" s="17" t="n"/>
      <c r="H119" s="195" t="n">
        <v>914465.47</v>
      </c>
      <c r="I119" s="17" t="n"/>
      <c r="J119" s="17" t="n">
        <v>0</v>
      </c>
      <c r="K119" s="17" t="n"/>
      <c r="L119" s="17" t="n"/>
      <c r="M119" s="17" t="n">
        <v>0</v>
      </c>
      <c r="N119" s="17" t="n">
        <v>3794408.23</v>
      </c>
      <c r="O119" s="17" t="n">
        <v>0</v>
      </c>
      <c r="P119" s="17" t="n">
        <v>0</v>
      </c>
      <c r="Q119" s="17" t="n">
        <v>3615223.51</v>
      </c>
      <c r="R119" s="17" t="n">
        <v>160007.0122</v>
      </c>
      <c r="S119" s="18" t="n">
        <v>37048.7822</v>
      </c>
      <c r="T119" s="191" t="n"/>
    </row>
    <row outlineLevel="0" r="120">
      <c r="A120" s="331" t="n">
        <f aca="false" ca="false" dt2D="false" dtr="false" t="normal">+A119+1</f>
        <v>105</v>
      </c>
      <c r="B120" s="6" t="n">
        <f aca="false" ca="false" dt2D="false" dtr="false" t="normal">+B119+1</f>
        <v>105</v>
      </c>
      <c r="C120" s="138" t="s">
        <v>177</v>
      </c>
      <c r="D120" s="138" t="s">
        <v>310</v>
      </c>
      <c r="E120" s="27" t="n">
        <f aca="false" ca="true" dt2D="false" dtr="false" t="normal">SUBTOTAL(9, F120:T120)</f>
        <v>54428541.629999995</v>
      </c>
      <c r="F120" s="17" t="n"/>
      <c r="G120" s="17" t="n"/>
      <c r="H120" s="201" t="n"/>
      <c r="I120" s="17" t="n"/>
      <c r="J120" s="17" t="n"/>
      <c r="K120" s="17" t="n"/>
      <c r="L120" s="17" t="n"/>
      <c r="M120" s="17" t="n"/>
      <c r="N120" s="17" t="n">
        <v>14003938.84</v>
      </c>
      <c r="O120" s="17" t="n"/>
      <c r="P120" s="17" t="n">
        <v>32173395.46</v>
      </c>
      <c r="Q120" s="17" t="n">
        <v>8022917.03</v>
      </c>
      <c r="R120" s="17" t="n">
        <v>228290.3</v>
      </c>
      <c r="S120" s="18" t="n"/>
      <c r="T120" s="191" t="n"/>
    </row>
    <row outlineLevel="0" r="121">
      <c r="A121" s="331" t="n">
        <f aca="false" ca="false" dt2D="false" dtr="false" t="normal">+A120+1</f>
        <v>106</v>
      </c>
      <c r="B121" s="6" t="n">
        <f aca="false" ca="false" dt2D="false" dtr="false" t="normal">+B120+1</f>
        <v>106</v>
      </c>
      <c r="C121" s="138" t="s">
        <v>177</v>
      </c>
      <c r="D121" s="138" t="s">
        <v>314</v>
      </c>
      <c r="E121" s="27" t="n">
        <f aca="false" ca="true" dt2D="false" dtr="false" t="normal">SUBTOTAL(9, F121:T121)</f>
        <v>26737671.150000002</v>
      </c>
      <c r="F121" s="17" t="n">
        <v>6509238.77</v>
      </c>
      <c r="G121" s="17" t="n">
        <v>2319400.21</v>
      </c>
      <c r="H121" s="195" t="n">
        <v>3775889.5</v>
      </c>
      <c r="I121" s="17" t="n">
        <v>1790627.54</v>
      </c>
      <c r="J121" s="17" t="n"/>
      <c r="K121" s="17" t="n"/>
      <c r="L121" s="17" t="n"/>
      <c r="M121" s="17" t="n">
        <v>0</v>
      </c>
      <c r="N121" s="17" t="n">
        <v>4646956.9</v>
      </c>
      <c r="O121" s="17" t="n">
        <v>0</v>
      </c>
      <c r="P121" s="17" t="n">
        <v>5003516.4</v>
      </c>
      <c r="Q121" s="17" t="n">
        <v>2513954.87</v>
      </c>
      <c r="R121" s="17" t="n"/>
      <c r="S121" s="18" t="n"/>
      <c r="T121" s="191" t="n">
        <f aca="false" ca="false" dt2D="false" dtr="false" t="normal">54318.24+26212.3+17900.83+13102.42+28632.26+18587.41+19333.5</f>
        <v>178086.96</v>
      </c>
    </row>
    <row outlineLevel="0" r="122">
      <c r="A122" s="331" t="n">
        <f aca="false" ca="false" dt2D="false" dtr="false" t="normal">+A121+1</f>
        <v>107</v>
      </c>
      <c r="B122" s="6" t="n">
        <f aca="false" ca="false" dt2D="false" dtr="false" t="normal">+B121+1</f>
        <v>107</v>
      </c>
      <c r="C122" s="138" t="s">
        <v>177</v>
      </c>
      <c r="D122" s="138" t="s">
        <v>316</v>
      </c>
      <c r="E122" s="27" t="n">
        <f aca="false" ca="true" dt2D="false" dtr="false" t="normal">SUBTOTAL(9, F122:T122)</f>
        <v>8153307.600000001</v>
      </c>
      <c r="F122" s="17" t="n">
        <v>0</v>
      </c>
      <c r="G122" s="17" t="n">
        <v>0</v>
      </c>
      <c r="H122" s="195" t="n">
        <v>0</v>
      </c>
      <c r="I122" s="17" t="n">
        <v>0</v>
      </c>
      <c r="J122" s="17" t="n">
        <v>0</v>
      </c>
      <c r="K122" s="17" t="n"/>
      <c r="L122" s="17" t="n"/>
      <c r="M122" s="17" t="n">
        <v>0</v>
      </c>
      <c r="N122" s="17" t="n">
        <v>6528558.99</v>
      </c>
      <c r="O122" s="17" t="n">
        <v>0</v>
      </c>
      <c r="P122" s="17" t="n">
        <v>0</v>
      </c>
      <c r="Q122" s="17" t="n">
        <v>0</v>
      </c>
      <c r="R122" s="17" t="n">
        <v>1523817.88</v>
      </c>
      <c r="S122" s="18" t="n"/>
      <c r="T122" s="191" t="n">
        <v>100930.73</v>
      </c>
    </row>
    <row outlineLevel="0" r="123">
      <c r="A123" s="331" t="n">
        <f aca="false" ca="false" dt2D="false" dtr="false" t="normal">+A122+1</f>
        <v>108</v>
      </c>
      <c r="B123" s="6" t="n">
        <f aca="false" ca="false" dt2D="false" dtr="false" t="normal">+B122+1</f>
        <v>108</v>
      </c>
      <c r="C123" s="138" t="s">
        <v>177</v>
      </c>
      <c r="D123" s="138" t="s">
        <v>317</v>
      </c>
      <c r="E123" s="27" t="n">
        <f aca="false" ca="true" dt2D="false" dtr="false" t="normal">SUBTOTAL(9, F123:T123)</f>
        <v>7908665.25</v>
      </c>
      <c r="F123" s="17" t="n">
        <v>0</v>
      </c>
      <c r="G123" s="17" t="n">
        <v>0</v>
      </c>
      <c r="H123" s="195" t="n">
        <v>0</v>
      </c>
      <c r="I123" s="17" t="n">
        <v>0</v>
      </c>
      <c r="J123" s="17" t="n">
        <v>0</v>
      </c>
      <c r="K123" s="17" t="n"/>
      <c r="L123" s="17" t="n"/>
      <c r="M123" s="17" t="n">
        <v>0</v>
      </c>
      <c r="N123" s="17" t="n">
        <v>6264359.76</v>
      </c>
      <c r="O123" s="17" t="n">
        <v>0</v>
      </c>
      <c r="P123" s="17" t="n">
        <v>0</v>
      </c>
      <c r="Q123" s="17" t="n">
        <v>0</v>
      </c>
      <c r="R123" s="17" t="n">
        <v>1547459.25</v>
      </c>
      <c r="S123" s="18" t="n"/>
      <c r="T123" s="191" t="n">
        <v>96846.24</v>
      </c>
    </row>
    <row outlineLevel="0" r="124">
      <c r="A124" s="331" t="n">
        <f aca="false" ca="false" dt2D="false" dtr="false" t="normal">+A123+1</f>
        <v>109</v>
      </c>
      <c r="B124" s="6" t="n">
        <f aca="false" ca="false" dt2D="false" dtr="false" t="normal">+B123+1</f>
        <v>109</v>
      </c>
      <c r="C124" s="138" t="s">
        <v>177</v>
      </c>
      <c r="D124" s="138" t="s">
        <v>319</v>
      </c>
      <c r="E124" s="27" t="n">
        <f aca="false" ca="true" dt2D="false" dtr="false" t="normal">SUBTOTAL(9, F124:T124)</f>
        <v>435458</v>
      </c>
      <c r="F124" s="17" t="n">
        <v>0</v>
      </c>
      <c r="G124" s="17" t="n">
        <v>0</v>
      </c>
      <c r="H124" s="195" t="n">
        <v>0</v>
      </c>
      <c r="I124" s="17" t="n">
        <v>0</v>
      </c>
      <c r="J124" s="17" t="n">
        <v>435458</v>
      </c>
      <c r="K124" s="17" t="n"/>
      <c r="L124" s="17" t="n"/>
      <c r="M124" s="17" t="n">
        <v>0</v>
      </c>
      <c r="N124" s="17" t="n">
        <v>0</v>
      </c>
      <c r="O124" s="17" t="n">
        <v>0</v>
      </c>
      <c r="P124" s="17" t="n">
        <v>0</v>
      </c>
      <c r="Q124" s="17" t="n">
        <v>0</v>
      </c>
      <c r="R124" s="17" t="n"/>
      <c r="S124" s="18" t="n"/>
      <c r="T124" s="191" t="n"/>
    </row>
    <row outlineLevel="0" r="125">
      <c r="A125" s="331" t="n">
        <f aca="false" ca="false" dt2D="false" dtr="false" t="normal">+A124+1</f>
        <v>110</v>
      </c>
      <c r="B125" s="6" t="n">
        <f aca="false" ca="false" dt2D="false" dtr="false" t="normal">+B124+1</f>
        <v>110</v>
      </c>
      <c r="C125" s="138" t="s">
        <v>177</v>
      </c>
      <c r="D125" s="138" t="s">
        <v>320</v>
      </c>
      <c r="E125" s="27" t="n">
        <f aca="false" ca="true" dt2D="false" dtr="false" t="normal">SUBTOTAL(9, F125:T125)</f>
        <v>1097504.5</v>
      </c>
      <c r="F125" s="17" t="n">
        <v>0</v>
      </c>
      <c r="G125" s="17" t="n"/>
      <c r="H125" s="195" t="n">
        <v>0</v>
      </c>
      <c r="J125" s="17" t="n">
        <v>1097504.5</v>
      </c>
      <c r="K125" s="17" t="n"/>
      <c r="L125" s="17" t="n"/>
      <c r="M125" s="17" t="n">
        <v>0</v>
      </c>
      <c r="N125" s="17" t="n">
        <v>0</v>
      </c>
      <c r="O125" s="17" t="n">
        <v>0</v>
      </c>
      <c r="P125" s="17" t="n">
        <v>0</v>
      </c>
      <c r="Q125" s="17" t="n">
        <v>0</v>
      </c>
      <c r="R125" s="17" t="n"/>
      <c r="S125" s="17" t="n"/>
      <c r="T125" s="191" t="n"/>
    </row>
    <row outlineLevel="0" r="126">
      <c r="A126" s="331" t="n">
        <f aca="false" ca="false" dt2D="false" dtr="false" t="normal">+A125+1</f>
        <v>111</v>
      </c>
      <c r="B126" s="6" t="n">
        <f aca="false" ca="false" dt2D="false" dtr="false" t="normal">+B125+1</f>
        <v>111</v>
      </c>
      <c r="C126" s="138" t="s">
        <v>177</v>
      </c>
      <c r="D126" s="138" t="s">
        <v>324</v>
      </c>
      <c r="E126" s="27" t="n">
        <f aca="false" ca="true" dt2D="false" dtr="false" t="normal">SUBTOTAL(9, F126:T126)</f>
        <v>500183.41</v>
      </c>
      <c r="F126" s="17" t="n"/>
      <c r="G126" s="17" t="n"/>
      <c r="H126" s="195" t="n"/>
      <c r="I126" s="17" t="n"/>
      <c r="J126" s="17" t="n">
        <v>500183.41</v>
      </c>
      <c r="K126" s="17" t="n"/>
      <c r="L126" s="17" t="n"/>
      <c r="M126" s="17" t="n">
        <v>0</v>
      </c>
      <c r="N126" s="17" t="n">
        <v>0</v>
      </c>
      <c r="O126" s="17" t="n">
        <v>0</v>
      </c>
      <c r="P126" s="17" t="n"/>
      <c r="Q126" s="17" t="n">
        <v>0</v>
      </c>
      <c r="R126" s="17" t="n"/>
      <c r="S126" s="18" t="n"/>
      <c r="T126" s="191" t="n"/>
    </row>
    <row outlineLevel="0" r="127">
      <c r="A127" s="331" t="n">
        <f aca="false" ca="false" dt2D="false" dtr="false" t="normal">+A126+1</f>
        <v>112</v>
      </c>
      <c r="B127" s="6" t="n">
        <f aca="false" ca="false" dt2D="false" dtr="false" t="normal">+B126+1</f>
        <v>112</v>
      </c>
      <c r="C127" s="138" t="s">
        <v>177</v>
      </c>
      <c r="D127" s="138" t="s">
        <v>325</v>
      </c>
      <c r="E127" s="27" t="n">
        <f aca="false" ca="true" dt2D="false" dtr="false" t="normal">SUBTOTAL(9, F127:T127)</f>
        <v>994811.65</v>
      </c>
      <c r="F127" s="17" t="n">
        <v>0</v>
      </c>
      <c r="G127" s="17" t="n">
        <v>0</v>
      </c>
      <c r="H127" s="195" t="n">
        <v>0</v>
      </c>
      <c r="I127" s="17" t="n">
        <v>0</v>
      </c>
      <c r="J127" s="17" t="n">
        <v>994811.65</v>
      </c>
      <c r="K127" s="17" t="n"/>
      <c r="L127" s="17" t="n"/>
      <c r="M127" s="17" t="n">
        <v>0</v>
      </c>
      <c r="N127" s="17" t="n">
        <v>0</v>
      </c>
      <c r="O127" s="17" t="n">
        <v>0</v>
      </c>
      <c r="P127" s="17" t="n">
        <v>0</v>
      </c>
      <c r="Q127" s="17" t="n">
        <v>0</v>
      </c>
      <c r="R127" s="17" t="n"/>
      <c r="S127" s="18" t="n"/>
      <c r="T127" s="191" t="n"/>
    </row>
    <row outlineLevel="0" r="128">
      <c r="A128" s="331" t="n">
        <f aca="false" ca="false" dt2D="false" dtr="false" t="normal">+A127+1</f>
        <v>113</v>
      </c>
      <c r="B128" s="6" t="n">
        <f aca="false" ca="false" dt2D="false" dtr="false" t="normal">+B127+1</f>
        <v>113</v>
      </c>
      <c r="C128" s="138" t="s">
        <v>177</v>
      </c>
      <c r="D128" s="138" t="s">
        <v>327</v>
      </c>
      <c r="E128" s="27" t="n">
        <f aca="false" ca="true" dt2D="false" dtr="false" t="normal">SUBTOTAL(9, F128:T128)</f>
        <v>2131641.8200000003</v>
      </c>
      <c r="F128" s="17" t="n"/>
      <c r="G128" s="17" t="n"/>
      <c r="H128" s="195" t="n"/>
      <c r="I128" s="17" t="n"/>
      <c r="J128" s="17" t="n">
        <v>2104784.68</v>
      </c>
      <c r="K128" s="17" t="n"/>
      <c r="L128" s="17" t="n"/>
      <c r="M128" s="17" t="n">
        <v>0</v>
      </c>
      <c r="N128" s="17" t="n">
        <v>0</v>
      </c>
      <c r="O128" s="17" t="n"/>
      <c r="P128" s="17" t="n"/>
      <c r="Q128" s="17" t="n"/>
      <c r="R128" s="17" t="n">
        <v>2857.14</v>
      </c>
      <c r="S128" s="18" t="n">
        <v>24000</v>
      </c>
      <c r="T128" s="191" t="n"/>
    </row>
    <row outlineLevel="0" r="129">
      <c r="A129" s="331" t="n">
        <f aca="false" ca="false" dt2D="false" dtr="false" t="normal">+A128+1</f>
        <v>114</v>
      </c>
      <c r="B129" s="6" t="n">
        <f aca="false" ca="false" dt2D="false" dtr="false" t="normal">+B128+1</f>
        <v>114</v>
      </c>
      <c r="C129" s="138" t="s">
        <v>177</v>
      </c>
      <c r="D129" s="138" t="s">
        <v>328</v>
      </c>
      <c r="E129" s="27" t="n">
        <f aca="false" ca="true" dt2D="false" dtr="false" t="normal">SUBTOTAL(9, F129:T129)</f>
        <v>21811970.419999998</v>
      </c>
      <c r="F129" s="17" t="n"/>
      <c r="G129" s="17" t="n"/>
      <c r="H129" s="195" t="n"/>
      <c r="I129" s="17" t="n"/>
      <c r="J129" s="17" t="n"/>
      <c r="K129" s="17" t="n"/>
      <c r="L129" s="17" t="n"/>
      <c r="M129" s="17" t="n">
        <v>0</v>
      </c>
      <c r="N129" s="17" t="n"/>
      <c r="O129" s="17" t="n">
        <v>0</v>
      </c>
      <c r="P129" s="17" t="n">
        <v>21575728.45</v>
      </c>
      <c r="Q129" s="17" t="n"/>
      <c r="R129" s="17" t="n"/>
      <c r="S129" s="18" t="n"/>
      <c r="T129" s="191" t="n">
        <v>236241.97</v>
      </c>
    </row>
    <row outlineLevel="0" r="130">
      <c r="A130" s="331" t="n">
        <f aca="false" ca="false" dt2D="false" dtr="false" t="normal">+A129+1</f>
        <v>115</v>
      </c>
      <c r="B130" s="6" t="n">
        <f aca="false" ca="false" dt2D="false" dtr="false" t="normal">+B129+1</f>
        <v>115</v>
      </c>
      <c r="C130" s="138" t="s">
        <v>177</v>
      </c>
      <c r="D130" s="138" t="s">
        <v>329</v>
      </c>
      <c r="E130" s="27" t="n">
        <f aca="false" ca="true" dt2D="false" dtr="false" t="normal">SUBTOTAL(9, F130:T130)</f>
        <v>23119997.939999998</v>
      </c>
      <c r="F130" s="17" t="n">
        <v>5305996.59</v>
      </c>
      <c r="H130" s="201" t="n"/>
      <c r="J130" s="17" t="n"/>
      <c r="K130" s="17" t="n"/>
      <c r="L130" s="17" t="n"/>
      <c r="M130" s="17" t="n">
        <v>0</v>
      </c>
      <c r="N130" s="17" t="n">
        <v>4125438.85</v>
      </c>
      <c r="O130" s="17" t="n">
        <v>0</v>
      </c>
      <c r="P130" s="17" t="n">
        <v>13688562.5</v>
      </c>
      <c r="Q130" s="17" t="n"/>
      <c r="R130" s="17" t="n"/>
      <c r="S130" s="18" t="n"/>
      <c r="T130" s="191" t="n"/>
    </row>
    <row outlineLevel="0" r="131">
      <c r="A131" s="331" t="n">
        <f aca="false" ca="false" dt2D="false" dtr="false" t="normal">+A130+1</f>
        <v>116</v>
      </c>
      <c r="B131" s="6" t="n">
        <f aca="false" ca="false" dt2D="false" dtr="false" t="normal">+B130+1</f>
        <v>116</v>
      </c>
      <c r="C131" s="138" t="s">
        <v>177</v>
      </c>
      <c r="D131" s="138" t="s">
        <v>330</v>
      </c>
      <c r="E131" s="27" t="n">
        <f aca="false" ca="true" dt2D="false" dtr="false" t="normal">SUBTOTAL(9, F131:T131)</f>
        <v>1661665.99</v>
      </c>
      <c r="F131" s="17" t="n"/>
      <c r="G131" s="17" t="n"/>
      <c r="H131" s="195" t="n">
        <v>707768.48</v>
      </c>
      <c r="I131" s="17" t="n">
        <v>953897.51</v>
      </c>
      <c r="J131" s="17" t="n"/>
      <c r="K131" s="17" t="n"/>
      <c r="L131" s="17" t="n"/>
      <c r="M131" s="17" t="n">
        <v>0</v>
      </c>
      <c r="N131" s="17" t="n">
        <v>0</v>
      </c>
      <c r="O131" s="17" t="n">
        <v>0</v>
      </c>
      <c r="P131" s="17" t="n"/>
      <c r="Q131" s="17" t="n">
        <v>0</v>
      </c>
      <c r="R131" s="17" t="n"/>
      <c r="S131" s="18" t="n"/>
      <c r="T131" s="191" t="n"/>
    </row>
    <row outlineLevel="0" r="132">
      <c r="A132" s="331" t="n">
        <f aca="false" ca="false" dt2D="false" dtr="false" t="normal">+A131+1</f>
        <v>117</v>
      </c>
      <c r="B132" s="6" t="n">
        <f aca="false" ca="false" dt2D="false" dtr="false" t="normal">+B131+1</f>
        <v>117</v>
      </c>
      <c r="C132" s="138" t="s">
        <v>331</v>
      </c>
      <c r="D132" s="138" t="s">
        <v>332</v>
      </c>
      <c r="E132" s="27" t="n">
        <f aca="false" ca="true" dt2D="false" dtr="false" t="normal">SUBTOTAL(9, F132:T132)</f>
        <v>9447493.22</v>
      </c>
      <c r="F132" s="17" t="n">
        <v>0</v>
      </c>
      <c r="G132" s="17" t="n">
        <v>0</v>
      </c>
      <c r="H132" s="195" t="n">
        <v>0</v>
      </c>
      <c r="I132" s="17" t="n">
        <v>0</v>
      </c>
      <c r="J132" s="17" t="n">
        <v>0</v>
      </c>
      <c r="K132" s="17" t="n"/>
      <c r="L132" s="17" t="n"/>
      <c r="M132" s="17" t="n">
        <v>0</v>
      </c>
      <c r="N132" s="17" t="n">
        <v>9447493.22</v>
      </c>
      <c r="O132" s="17" t="n">
        <v>0</v>
      </c>
      <c r="P132" s="17" t="n"/>
      <c r="Q132" s="17" t="n"/>
      <c r="R132" s="17" t="n"/>
      <c r="S132" s="18" t="n"/>
      <c r="T132" s="191" t="n"/>
    </row>
    <row outlineLevel="0" r="133">
      <c r="A133" s="331" t="n">
        <f aca="false" ca="false" dt2D="false" dtr="false" t="normal">+A132+1</f>
        <v>118</v>
      </c>
      <c r="B133" s="6" t="n">
        <f aca="false" ca="false" dt2D="false" dtr="false" t="normal">+B132+1</f>
        <v>118</v>
      </c>
      <c r="C133" s="138" t="s">
        <v>331</v>
      </c>
      <c r="D133" s="138" t="s">
        <v>333</v>
      </c>
      <c r="E133" s="27" t="n">
        <f aca="false" ca="true" dt2D="false" dtr="false" t="normal">SUBTOTAL(9, F133:T133)</f>
        <v>459932.97</v>
      </c>
      <c r="F133" s="17" t="n">
        <v>0</v>
      </c>
      <c r="G133" s="17" t="n">
        <v>0</v>
      </c>
      <c r="H133" s="195" t="n">
        <v>0</v>
      </c>
      <c r="I133" s="17" t="n">
        <v>0</v>
      </c>
      <c r="J133" s="17" t="n">
        <v>459932.97</v>
      </c>
      <c r="K133" s="17" t="n"/>
      <c r="L133" s="17" t="n"/>
      <c r="M133" s="17" t="n">
        <v>0</v>
      </c>
      <c r="N133" s="17" t="n">
        <v>0</v>
      </c>
      <c r="O133" s="17" t="n">
        <v>0</v>
      </c>
      <c r="P133" s="17" t="n">
        <v>0</v>
      </c>
      <c r="Q133" s="17" t="n">
        <v>0</v>
      </c>
      <c r="R133" s="17" t="n"/>
      <c r="S133" s="18" t="n"/>
      <c r="T133" s="191" t="n"/>
    </row>
    <row outlineLevel="0" r="134">
      <c r="A134" s="331" t="n">
        <f aca="false" ca="false" dt2D="false" dtr="false" t="normal">+A133+1</f>
        <v>119</v>
      </c>
      <c r="B134" s="6" t="n">
        <f aca="false" ca="false" dt2D="false" dtr="false" t="normal">+B133+1</f>
        <v>119</v>
      </c>
      <c r="C134" s="138" t="s">
        <v>331</v>
      </c>
      <c r="D134" s="138" t="s">
        <v>335</v>
      </c>
      <c r="E134" s="27" t="n">
        <f aca="false" ca="true" dt2D="false" dtr="false" t="normal">SUBTOTAL(9, F134:T134)</f>
        <v>7262692.2310999995</v>
      </c>
      <c r="F134" s="17" t="n"/>
      <c r="G134" s="17" t="n"/>
      <c r="H134" s="195" t="n"/>
      <c r="I134" s="17" t="n"/>
      <c r="J134" s="17" t="n"/>
      <c r="K134" s="17" t="n"/>
      <c r="L134" s="17" t="n"/>
      <c r="M134" s="17" t="n"/>
      <c r="N134" s="17" t="n"/>
      <c r="O134" s="17" t="n"/>
      <c r="P134" s="17" t="n"/>
      <c r="Q134" s="17" t="n">
        <v>6404791.89</v>
      </c>
      <c r="R134" s="17" t="n">
        <v>779909.401</v>
      </c>
      <c r="S134" s="18" t="n">
        <v>77990.9401</v>
      </c>
      <c r="T134" s="191" t="n"/>
    </row>
    <row outlineLevel="0" r="135">
      <c r="A135" s="331" t="n">
        <f aca="false" ca="false" dt2D="false" dtr="false" t="normal">+A134+1</f>
        <v>120</v>
      </c>
      <c r="B135" s="6" t="n">
        <f aca="false" ca="false" dt2D="false" dtr="false" t="normal">+B134+1</f>
        <v>120</v>
      </c>
      <c r="C135" s="138" t="s">
        <v>331</v>
      </c>
      <c r="D135" s="138" t="s">
        <v>337</v>
      </c>
      <c r="E135" s="27" t="n">
        <f aca="false" ca="true" dt2D="false" dtr="false" t="normal">SUBTOTAL(9, F135:T135)</f>
        <v>1308608.9229000001</v>
      </c>
      <c r="F135" s="17" t="n">
        <v>0</v>
      </c>
      <c r="G135" s="17" t="n"/>
      <c r="H135" s="195" t="n">
        <v>1005861.31</v>
      </c>
      <c r="I135" s="17" t="n">
        <v>0</v>
      </c>
      <c r="J135" s="17" t="n"/>
      <c r="K135" s="17" t="n"/>
      <c r="L135" s="17" t="n"/>
      <c r="M135" s="17" t="n">
        <v>0</v>
      </c>
      <c r="N135" s="17" t="n">
        <v>0</v>
      </c>
      <c r="O135" s="17" t="n">
        <v>0</v>
      </c>
      <c r="P135" s="17" t="n">
        <v>0</v>
      </c>
      <c r="Q135" s="17" t="n">
        <v>0</v>
      </c>
      <c r="R135" s="17" t="n">
        <v>268460.939</v>
      </c>
      <c r="S135" s="18" t="n">
        <v>26846.0939</v>
      </c>
      <c r="T135" s="191" t="n">
        <v>7440.58</v>
      </c>
    </row>
    <row outlineLevel="0" r="136">
      <c r="A136" s="331" t="n">
        <f aca="false" ca="false" dt2D="false" dtr="false" t="normal">+A135+1</f>
        <v>121</v>
      </c>
      <c r="B136" s="6" t="n">
        <f aca="false" ca="false" dt2D="false" dtr="false" t="normal">+B135+1</f>
        <v>121</v>
      </c>
      <c r="C136" s="138" t="s">
        <v>331</v>
      </c>
      <c r="D136" s="138" t="s">
        <v>338</v>
      </c>
      <c r="E136" s="27" t="n">
        <f aca="false" ca="true" dt2D="false" dtr="false" t="normal">SUBTOTAL(9, F136:T136)</f>
        <v>2408460.1</v>
      </c>
      <c r="F136" s="17" t="n">
        <v>0</v>
      </c>
      <c r="G136" s="17" t="n"/>
      <c r="H136" s="195" t="n"/>
      <c r="I136" s="17" t="n"/>
      <c r="J136" s="17" t="n">
        <v>0</v>
      </c>
      <c r="K136" s="17" t="n"/>
      <c r="L136" s="17" t="n"/>
      <c r="M136" s="17" t="n">
        <v>0</v>
      </c>
      <c r="N136" s="17" t="n">
        <v>2408460.1</v>
      </c>
      <c r="O136" s="17" t="n">
        <v>0</v>
      </c>
      <c r="P136" s="17" t="n">
        <v>0</v>
      </c>
      <c r="Q136" s="17" t="n">
        <v>0</v>
      </c>
      <c r="R136" s="17" t="n"/>
      <c r="S136" s="18" t="n"/>
      <c r="T136" s="191" t="n"/>
    </row>
    <row outlineLevel="0" r="137">
      <c r="A137" s="331" t="n">
        <f aca="false" ca="false" dt2D="false" dtr="false" t="normal">+A136+1</f>
        <v>122</v>
      </c>
      <c r="B137" s="6" t="n">
        <f aca="false" ca="false" dt2D="false" dtr="false" t="normal">+B136+1</f>
        <v>122</v>
      </c>
      <c r="C137" s="138" t="s">
        <v>42</v>
      </c>
      <c r="D137" s="138" t="s">
        <v>341</v>
      </c>
      <c r="E137" s="27" t="n">
        <f aca="false" ca="true" dt2D="false" dtr="false" t="normal">SUBTOTAL(9, F137:T137)</f>
        <v>918312.05</v>
      </c>
      <c r="F137" s="17" t="n">
        <v>918312.05</v>
      </c>
      <c r="G137" s="17" t="n"/>
      <c r="H137" s="195" t="n"/>
      <c r="I137" s="17" t="n"/>
      <c r="J137" s="17" t="n">
        <v>0</v>
      </c>
      <c r="K137" s="17" t="n"/>
      <c r="L137" s="17" t="n"/>
      <c r="M137" s="17" t="n">
        <v>0</v>
      </c>
      <c r="N137" s="17" t="n">
        <v>0</v>
      </c>
      <c r="O137" s="17" t="n">
        <v>0</v>
      </c>
      <c r="P137" s="17" t="n">
        <v>0</v>
      </c>
      <c r="Q137" s="17" t="n">
        <v>0</v>
      </c>
      <c r="R137" s="17" t="n"/>
      <c r="S137" s="18" t="n"/>
      <c r="T137" s="191" t="n"/>
    </row>
    <row outlineLevel="0" r="138">
      <c r="A138" s="331" t="n">
        <f aca="false" ca="false" dt2D="false" dtr="false" t="normal">+A137+1</f>
        <v>123</v>
      </c>
      <c r="B138" s="6" t="n">
        <f aca="false" ca="false" dt2D="false" dtr="false" t="normal">+B137+1</f>
        <v>123</v>
      </c>
      <c r="C138" s="138" t="s">
        <v>68</v>
      </c>
      <c r="D138" s="138" t="s">
        <v>77</v>
      </c>
      <c r="E138" s="27" t="n">
        <f aca="false" ca="true" dt2D="false" dtr="false" t="normal">SUBTOTAL(9, F138:T138)</f>
        <v>5233450.9559</v>
      </c>
      <c r="F138" s="17" t="n"/>
      <c r="G138" s="17" t="n"/>
      <c r="H138" s="195" t="n">
        <v>0</v>
      </c>
      <c r="I138" s="17" t="n"/>
      <c r="J138" s="17" t="n"/>
      <c r="K138" s="17" t="n"/>
      <c r="L138" s="17" t="n"/>
      <c r="M138" s="17" t="n">
        <v>0</v>
      </c>
      <c r="N138" s="17" t="n">
        <v>0</v>
      </c>
      <c r="P138" s="17" t="n">
        <v>0</v>
      </c>
      <c r="Q138" s="17" t="n">
        <v>3924912.66</v>
      </c>
      <c r="R138" s="17" t="n">
        <v>1200305.659</v>
      </c>
      <c r="S138" s="18" t="n">
        <v>108232.6369</v>
      </c>
      <c r="T138" s="191" t="n"/>
    </row>
    <row outlineLevel="0" r="139">
      <c r="A139" s="331" t="n">
        <f aca="false" ca="false" dt2D="false" dtr="false" t="normal">+A138+1</f>
        <v>124</v>
      </c>
      <c r="B139" s="6" t="n">
        <f aca="false" ca="false" dt2D="false" dtr="false" t="normal">+B138+1</f>
        <v>124</v>
      </c>
      <c r="C139" s="138" t="s">
        <v>68</v>
      </c>
      <c r="D139" s="138" t="s">
        <v>69</v>
      </c>
      <c r="E139" s="27" t="n">
        <f aca="false" ca="true" dt2D="false" dtr="false" t="normal">SUBTOTAL(9, F139:T139)</f>
        <v>5139530.48</v>
      </c>
      <c r="F139" s="17" t="n">
        <v>0</v>
      </c>
      <c r="G139" s="17" t="n"/>
      <c r="H139" s="195" t="n"/>
      <c r="I139" s="17" t="n"/>
      <c r="J139" s="17" t="n">
        <v>0</v>
      </c>
      <c r="K139" s="17" t="n"/>
      <c r="L139" s="17" t="n"/>
      <c r="M139" s="17" t="n">
        <v>0</v>
      </c>
      <c r="N139" s="17" t="n">
        <v>4903240.65</v>
      </c>
      <c r="O139" s="17" t="n">
        <v>0</v>
      </c>
      <c r="P139" s="17" t="n">
        <v>0</v>
      </c>
      <c r="Q139" s="17" t="n">
        <v>0</v>
      </c>
      <c r="R139" s="17" t="n">
        <v>229623.17</v>
      </c>
      <c r="S139" s="18" t="n">
        <v>6666.66</v>
      </c>
      <c r="T139" s="191" t="n"/>
    </row>
    <row outlineLevel="0" r="140">
      <c r="A140" s="331" t="n">
        <f aca="false" ca="false" dt2D="false" dtr="false" t="normal">+A139+1</f>
        <v>125</v>
      </c>
      <c r="B140" s="6" t="n">
        <f aca="false" ca="false" dt2D="false" dtr="false" t="normal">+B139+1</f>
        <v>125</v>
      </c>
      <c r="C140" s="138" t="s">
        <v>68</v>
      </c>
      <c r="D140" s="138" t="s">
        <v>78</v>
      </c>
      <c r="E140" s="27" t="n">
        <f aca="false" ca="true" dt2D="false" dtr="false" t="normal">SUBTOTAL(9, F140:T140)</f>
        <v>4936660.8187</v>
      </c>
      <c r="F140" s="17" t="n"/>
      <c r="G140" s="17" t="n"/>
      <c r="H140" s="195" t="n"/>
      <c r="I140" s="17" t="n"/>
      <c r="J140" s="17" t="n"/>
      <c r="K140" s="17" t="n"/>
      <c r="L140" s="17" t="n"/>
      <c r="M140" s="17" t="n">
        <v>0</v>
      </c>
      <c r="N140" s="17" t="n">
        <v>0</v>
      </c>
      <c r="P140" s="17" t="n">
        <v>0</v>
      </c>
      <c r="Q140" s="17" t="n">
        <v>3209479.43</v>
      </c>
      <c r="R140" s="17" t="n">
        <v>1575434.3365</v>
      </c>
      <c r="S140" s="18" t="n">
        <v>151747.0522</v>
      </c>
      <c r="T140" s="191" t="n"/>
    </row>
    <row outlineLevel="0" r="141">
      <c r="A141" s="331" t="n">
        <f aca="false" ca="false" dt2D="false" dtr="false" t="normal">+A140+1</f>
        <v>126</v>
      </c>
      <c r="B141" s="6" t="n">
        <f aca="false" ca="false" dt2D="false" dtr="false" t="normal">+B140+1</f>
        <v>126</v>
      </c>
      <c r="C141" s="138" t="s">
        <v>68</v>
      </c>
      <c r="D141" s="138" t="s">
        <v>79</v>
      </c>
      <c r="E141" s="27" t="n">
        <f aca="false" ca="true" dt2D="false" dtr="false" t="normal">SUBTOTAL(9, F141:T141)</f>
        <v>5491535.523</v>
      </c>
      <c r="F141" s="17" t="n"/>
      <c r="G141" s="17" t="n"/>
      <c r="H141" s="195" t="n"/>
      <c r="I141" s="17" t="n"/>
      <c r="J141" s="17" t="n"/>
      <c r="K141" s="17" t="n"/>
      <c r="L141" s="17" t="n"/>
      <c r="M141" s="17" t="n">
        <v>0</v>
      </c>
      <c r="N141" s="17" t="n">
        <v>0</v>
      </c>
      <c r="P141" s="17" t="n">
        <v>0</v>
      </c>
      <c r="Q141" s="17" t="n">
        <v>4230200.7</v>
      </c>
      <c r="R141" s="17" t="n">
        <v>1151371.1733</v>
      </c>
      <c r="S141" s="18" t="n">
        <v>109963.6497</v>
      </c>
      <c r="T141" s="191" t="n"/>
    </row>
    <row outlineLevel="0" r="142">
      <c r="A142" s="331" t="n">
        <f aca="false" ca="false" dt2D="false" dtr="false" t="normal">+A141+1</f>
        <v>127</v>
      </c>
      <c r="B142" s="6" t="n">
        <f aca="false" ca="false" dt2D="false" dtr="false" t="normal">+B141+1</f>
        <v>127</v>
      </c>
      <c r="C142" s="138" t="s">
        <v>68</v>
      </c>
      <c r="D142" s="138" t="s">
        <v>70</v>
      </c>
      <c r="E142" s="27" t="n">
        <f aca="false" ca="true" dt2D="false" dtr="false" t="normal">SUBTOTAL(9, F142:T142)</f>
        <v>5720057.6</v>
      </c>
      <c r="F142" s="17" t="n">
        <v>0</v>
      </c>
      <c r="G142" s="17" t="n"/>
      <c r="H142" s="195" t="n"/>
      <c r="I142" s="17" t="n"/>
      <c r="J142" s="17" t="n">
        <v>0</v>
      </c>
      <c r="K142" s="17" t="n"/>
      <c r="L142" s="17" t="n"/>
      <c r="M142" s="17" t="n">
        <v>0</v>
      </c>
      <c r="N142" s="17" t="n">
        <v>5484086.39</v>
      </c>
      <c r="O142" s="17" t="n">
        <v>0</v>
      </c>
      <c r="P142" s="17" t="n">
        <v>0</v>
      </c>
      <c r="Q142" s="17" t="n">
        <v>0</v>
      </c>
      <c r="R142" s="17" t="n">
        <v>229304.55</v>
      </c>
      <c r="S142" s="18" t="n">
        <v>6666.66</v>
      </c>
      <c r="T142" s="191" t="n"/>
    </row>
    <row outlineLevel="0" r="143">
      <c r="A143" s="331" t="n">
        <f aca="false" ca="false" dt2D="false" dtr="false" t="normal">+A142+1</f>
        <v>128</v>
      </c>
      <c r="B143" s="6" t="n">
        <f aca="false" ca="false" dt2D="false" dtr="false" t="normal">+B142+1</f>
        <v>128</v>
      </c>
      <c r="C143" s="138" t="s">
        <v>350</v>
      </c>
      <c r="D143" s="138" t="s">
        <v>351</v>
      </c>
      <c r="E143" s="27" t="n">
        <f aca="false" ca="true" dt2D="false" dtr="false" t="normal">SUBTOTAL(9, F143:T143)</f>
        <v>6702155.61</v>
      </c>
      <c r="H143" s="201" t="n"/>
      <c r="J143" s="17" t="n">
        <v>0</v>
      </c>
      <c r="K143" s="17" t="n"/>
      <c r="L143" s="17" t="n"/>
      <c r="M143" s="17" t="n">
        <v>0</v>
      </c>
      <c r="N143" s="17" t="n">
        <v>6665001.53</v>
      </c>
      <c r="O143" s="17" t="n">
        <v>0</v>
      </c>
      <c r="P143" s="17" t="n"/>
      <c r="Q143" s="17" t="n"/>
      <c r="R143" s="17" t="n"/>
      <c r="S143" s="18" t="n"/>
      <c r="T143" s="191" t="n">
        <v>37154.08</v>
      </c>
    </row>
    <row outlineLevel="0" r="144">
      <c r="A144" s="331" t="n">
        <f aca="false" ca="false" dt2D="false" dtr="false" t="normal">+A143+1</f>
        <v>129</v>
      </c>
      <c r="B144" s="6" t="n">
        <f aca="false" ca="false" dt2D="false" dtr="false" t="normal">+B143+1</f>
        <v>129</v>
      </c>
      <c r="C144" s="138" t="s">
        <v>90</v>
      </c>
      <c r="D144" s="138" t="s">
        <v>354</v>
      </c>
      <c r="E144" s="27" t="n">
        <f aca="false" ca="true" dt2D="false" dtr="false" t="normal">SUBTOTAL(9, F144:T144)</f>
        <v>7493912.15</v>
      </c>
      <c r="F144" s="17" t="n">
        <v>5331233.07</v>
      </c>
      <c r="G144" s="17" t="n"/>
      <c r="H144" s="195" t="n"/>
      <c r="I144" s="17" t="n">
        <v>2162679.08</v>
      </c>
      <c r="J144" s="17" t="n">
        <v>0</v>
      </c>
      <c r="K144" s="17" t="n"/>
      <c r="L144" s="17" t="n"/>
      <c r="M144" s="17" t="n">
        <v>0</v>
      </c>
      <c r="N144" s="17" t="n"/>
      <c r="O144" s="17" t="n">
        <v>0</v>
      </c>
      <c r="P144" s="17" t="n"/>
      <c r="R144" s="17" t="n"/>
      <c r="S144" s="17" t="n"/>
      <c r="T144" s="191" t="n"/>
    </row>
    <row outlineLevel="0" r="145">
      <c r="A145" s="331" t="n">
        <f aca="false" ca="false" dt2D="false" dtr="false" t="normal">+A144+1</f>
        <v>130</v>
      </c>
      <c r="B145" s="6" t="n">
        <f aca="false" ca="false" dt2D="false" dtr="false" t="normal">+B144+1</f>
        <v>130</v>
      </c>
      <c r="C145" s="138" t="s">
        <v>90</v>
      </c>
      <c r="D145" s="138" t="s">
        <v>355</v>
      </c>
      <c r="E145" s="27" t="n">
        <f aca="false" ca="true" dt2D="false" dtr="false" t="normal">SUBTOTAL(9, F145:T145)</f>
        <v>12568038.82</v>
      </c>
      <c r="F145" s="17" t="n">
        <v>0</v>
      </c>
      <c r="G145" s="17" t="n">
        <v>0</v>
      </c>
      <c r="H145" s="195" t="n"/>
      <c r="I145" s="17" t="n">
        <v>0</v>
      </c>
      <c r="J145" s="17" t="n">
        <v>0</v>
      </c>
      <c r="K145" s="17" t="n"/>
      <c r="L145" s="17" t="n"/>
      <c r="M145" s="17" t="n">
        <v>0</v>
      </c>
      <c r="N145" s="17" t="n">
        <v>0</v>
      </c>
      <c r="O145" s="17" t="n">
        <v>0</v>
      </c>
      <c r="P145" s="17" t="n">
        <v>12568038.82</v>
      </c>
      <c r="Q145" s="17" t="n">
        <v>0</v>
      </c>
      <c r="R145" s="17" t="n"/>
      <c r="S145" s="18" t="n"/>
      <c r="T145" s="191" t="n"/>
    </row>
    <row outlineLevel="0" r="146">
      <c r="A146" s="331" t="n">
        <f aca="false" ca="false" dt2D="false" dtr="false" t="normal">+A145+1</f>
        <v>131</v>
      </c>
      <c r="B146" s="6" t="n">
        <f aca="false" ca="false" dt2D="false" dtr="false" t="normal">+B145+1</f>
        <v>131</v>
      </c>
      <c r="C146" s="138" t="s">
        <v>356</v>
      </c>
      <c r="D146" s="138" t="s">
        <v>357</v>
      </c>
      <c r="E146" s="27" t="n">
        <f aca="false" ca="true" dt2D="false" dtr="false" t="normal">SUBTOTAL(9, F146:T146)</f>
        <v>275546.21</v>
      </c>
      <c r="F146" s="17" t="n">
        <v>0</v>
      </c>
      <c r="G146" s="17" t="n">
        <v>0</v>
      </c>
      <c r="H146" s="195" t="n">
        <v>0</v>
      </c>
      <c r="I146" s="17" t="n">
        <v>0</v>
      </c>
      <c r="J146" s="17" t="n">
        <v>0</v>
      </c>
      <c r="K146" s="17" t="n"/>
      <c r="L146" s="17" t="n"/>
      <c r="M146" s="17" t="n">
        <v>0</v>
      </c>
      <c r="N146" s="17" t="n">
        <v>0</v>
      </c>
      <c r="O146" s="17" t="n">
        <v>0</v>
      </c>
      <c r="P146" s="17" t="n">
        <v>0</v>
      </c>
      <c r="Q146" s="17" t="n">
        <v>275546.21</v>
      </c>
      <c r="R146" s="17" t="n"/>
      <c r="S146" s="18" t="n"/>
      <c r="T146" s="191" t="n"/>
    </row>
    <row outlineLevel="0" r="147">
      <c r="A147" s="331" t="n">
        <f aca="false" ca="false" dt2D="false" dtr="false" t="normal">+A146+1</f>
        <v>132</v>
      </c>
      <c r="B147" s="6" t="n">
        <f aca="false" ca="false" dt2D="false" dtr="false" t="normal">+B146+1</f>
        <v>132</v>
      </c>
      <c r="C147" s="138" t="s">
        <v>356</v>
      </c>
      <c r="D147" s="138" t="s">
        <v>359</v>
      </c>
      <c r="E147" s="27" t="n">
        <f aca="false" ca="true" dt2D="false" dtr="false" t="normal">SUBTOTAL(9, F147:T147)</f>
        <v>2485206.75</v>
      </c>
      <c r="F147" s="17" t="n">
        <v>0</v>
      </c>
      <c r="G147" s="17" t="n">
        <v>0</v>
      </c>
      <c r="H147" s="195" t="n">
        <v>0</v>
      </c>
      <c r="I147" s="17" t="n">
        <v>0</v>
      </c>
      <c r="J147" s="17" t="n">
        <v>0</v>
      </c>
      <c r="K147" s="17" t="n"/>
      <c r="L147" s="17" t="n"/>
      <c r="M147" s="17" t="n">
        <v>0</v>
      </c>
      <c r="N147" s="17" t="n">
        <v>1968122.34</v>
      </c>
      <c r="O147" s="17" t="n">
        <v>0</v>
      </c>
      <c r="P147" s="17" t="n">
        <v>0</v>
      </c>
      <c r="Q147" s="17" t="n">
        <v>517084.41</v>
      </c>
      <c r="R147" s="17" t="n"/>
      <c r="S147" s="18" t="n"/>
      <c r="T147" s="191" t="n"/>
    </row>
    <row outlineLevel="0" r="148">
      <c r="A148" s="331" t="n">
        <f aca="false" ca="false" dt2D="false" dtr="false" t="normal">+A147+1</f>
        <v>133</v>
      </c>
      <c r="B148" s="6" t="n">
        <f aca="false" ca="false" dt2D="false" dtr="false" t="normal">+B147+1</f>
        <v>133</v>
      </c>
      <c r="C148" s="138" t="s">
        <v>356</v>
      </c>
      <c r="D148" s="138" t="s">
        <v>360</v>
      </c>
      <c r="E148" s="27" t="n">
        <f aca="false" ca="true" dt2D="false" dtr="false" t="normal">SUBTOTAL(9, F148:T148)</f>
        <v>942327.92</v>
      </c>
      <c r="F148" s="17" t="n"/>
      <c r="G148" s="17" t="n">
        <v>624846.18</v>
      </c>
      <c r="H148" s="195" t="n"/>
      <c r="I148" s="17" t="n">
        <v>317481.74</v>
      </c>
      <c r="J148" s="17" t="n">
        <v>0</v>
      </c>
      <c r="K148" s="17" t="n"/>
      <c r="L148" s="17" t="n"/>
      <c r="M148" s="17" t="n">
        <v>0</v>
      </c>
      <c r="N148" s="17" t="n"/>
      <c r="O148" s="17" t="n">
        <v>0</v>
      </c>
      <c r="P148" s="17" t="n"/>
      <c r="Q148" s="17" t="n"/>
      <c r="R148" s="17" t="n"/>
      <c r="S148" s="18" t="n"/>
      <c r="T148" s="191" t="n"/>
    </row>
    <row outlineLevel="0" r="149">
      <c r="A149" s="331" t="n">
        <f aca="false" ca="false" dt2D="false" dtr="false" t="normal">+A148+1</f>
        <v>134</v>
      </c>
      <c r="B149" s="6" t="n">
        <f aca="false" ca="false" dt2D="false" dtr="false" t="normal">+B148+1</f>
        <v>134</v>
      </c>
      <c r="C149" s="138" t="s">
        <v>356</v>
      </c>
      <c r="D149" s="138" t="s">
        <v>362</v>
      </c>
      <c r="E149" s="27" t="n">
        <f aca="false" ca="true" dt2D="false" dtr="false" t="normal">SUBTOTAL(9, F149:T149)</f>
        <v>1065818.07</v>
      </c>
      <c r="F149" s="17" t="n"/>
      <c r="G149" s="17" t="n">
        <v>691727.99</v>
      </c>
      <c r="H149" s="195" t="n"/>
      <c r="I149" s="17" t="n">
        <v>374090.08</v>
      </c>
      <c r="J149" s="17" t="n">
        <v>0</v>
      </c>
      <c r="K149" s="17" t="n"/>
      <c r="L149" s="17" t="n"/>
      <c r="M149" s="17" t="n">
        <v>0</v>
      </c>
      <c r="N149" s="17" t="n"/>
      <c r="O149" s="17" t="n"/>
      <c r="P149" s="17" t="n"/>
      <c r="R149" s="17" t="n"/>
      <c r="S149" s="18" t="n"/>
      <c r="T149" s="191" t="n"/>
    </row>
    <row outlineLevel="0" r="150">
      <c r="A150" s="331" t="n">
        <f aca="false" ca="false" dt2D="false" dtr="false" t="normal">+A149+1</f>
        <v>135</v>
      </c>
      <c r="B150" s="6" t="n">
        <f aca="false" ca="false" dt2D="false" dtr="false" t="normal">+B149+1</f>
        <v>135</v>
      </c>
      <c r="C150" s="138" t="s">
        <v>356</v>
      </c>
      <c r="D150" s="138" t="s">
        <v>364</v>
      </c>
      <c r="E150" s="27" t="n">
        <f aca="false" ca="true" dt2D="false" dtr="false" t="normal">SUBTOTAL(9, F150:T150)</f>
        <v>849666.3400000001</v>
      </c>
      <c r="F150" s="17" t="n"/>
      <c r="G150" s="17" t="n">
        <v>552436.8</v>
      </c>
      <c r="H150" s="195" t="n"/>
      <c r="I150" s="17" t="n">
        <v>297229.54</v>
      </c>
      <c r="J150" s="17" t="n">
        <v>0</v>
      </c>
      <c r="K150" s="17" t="n"/>
      <c r="L150" s="17" t="n"/>
      <c r="M150" s="17" t="n">
        <v>0</v>
      </c>
      <c r="N150" s="17" t="n"/>
      <c r="O150" s="17" t="n">
        <v>0</v>
      </c>
      <c r="P150" s="17" t="n"/>
      <c r="R150" s="17" t="n"/>
      <c r="S150" s="18" t="n"/>
      <c r="T150" s="191" t="n"/>
    </row>
    <row outlineLevel="0" r="151">
      <c r="A151" s="331" t="n">
        <f aca="false" ca="false" dt2D="false" dtr="false" t="normal">+A150+1</f>
        <v>136</v>
      </c>
      <c r="B151" s="6" t="n">
        <f aca="false" ca="false" dt2D="false" dtr="false" t="normal">+B150+1</f>
        <v>136</v>
      </c>
      <c r="C151" s="138" t="s">
        <v>93</v>
      </c>
      <c r="D151" s="138" t="s">
        <v>366</v>
      </c>
      <c r="E151" s="27" t="n">
        <f aca="false" ca="true" dt2D="false" dtr="false" t="normal">SUBTOTAL(9, F151:T151)</f>
        <v>2592439.69</v>
      </c>
      <c r="F151" s="17" t="n">
        <v>2562577.02</v>
      </c>
      <c r="G151" s="17" t="n">
        <v>0</v>
      </c>
      <c r="H151" s="195" t="n"/>
      <c r="I151" s="17" t="n">
        <v>0</v>
      </c>
      <c r="J151" s="17" t="n">
        <v>0</v>
      </c>
      <c r="K151" s="17" t="n"/>
      <c r="L151" s="17" t="n"/>
      <c r="M151" s="17" t="n">
        <v>0</v>
      </c>
      <c r="N151" s="17" t="n">
        <v>0</v>
      </c>
      <c r="O151" s="17" t="n">
        <v>0</v>
      </c>
      <c r="P151" s="17" t="n"/>
      <c r="Q151" s="17" t="n">
        <v>0</v>
      </c>
      <c r="R151" s="17" t="n"/>
      <c r="S151" s="18" t="n"/>
      <c r="T151" s="191" t="n">
        <v>29862.67</v>
      </c>
    </row>
    <row outlineLevel="0" r="152">
      <c r="A152" s="331" t="n">
        <f aca="false" ca="false" dt2D="false" dtr="false" t="normal">+A151+1</f>
        <v>137</v>
      </c>
      <c r="B152" s="6" t="n">
        <f aca="false" ca="false" dt2D="false" dtr="false" t="normal">+B151+1</f>
        <v>137</v>
      </c>
      <c r="C152" s="138" t="s">
        <v>93</v>
      </c>
      <c r="D152" s="138" t="s">
        <v>96</v>
      </c>
      <c r="E152" s="27" t="n">
        <f aca="false" ca="true" dt2D="false" dtr="false" t="normal">SUBTOTAL(9, F152:T152)</f>
        <v>46987316.400000006</v>
      </c>
      <c r="F152" s="17" t="n"/>
      <c r="G152" s="17" t="n">
        <v>8054732.7</v>
      </c>
      <c r="H152" s="195" t="n">
        <v>3326392.27</v>
      </c>
      <c r="I152" s="17" t="n"/>
      <c r="J152" s="17" t="n"/>
      <c r="K152" s="17" t="n"/>
      <c r="L152" s="17" t="n"/>
      <c r="M152" s="17" t="n"/>
      <c r="N152" s="17" t="n">
        <v>6383560.56</v>
      </c>
      <c r="O152" s="17" t="n">
        <v>0</v>
      </c>
      <c r="P152" s="17" t="n">
        <v>14384597.8</v>
      </c>
      <c r="Q152" s="17" t="n">
        <v>14838033.07</v>
      </c>
      <c r="R152" s="17" t="n"/>
      <c r="S152" s="18" t="n"/>
      <c r="T152" s="191" t="n"/>
    </row>
    <row outlineLevel="0" r="153">
      <c r="A153" s="331" t="n">
        <f aca="false" ca="false" dt2D="false" dtr="false" t="normal">+A152+1</f>
        <v>138</v>
      </c>
      <c r="B153" s="6" t="n">
        <f aca="false" ca="false" dt2D="false" dtr="false" t="normal">+B152+1</f>
        <v>138</v>
      </c>
      <c r="C153" s="138" t="s">
        <v>93</v>
      </c>
      <c r="D153" s="138" t="s">
        <v>368</v>
      </c>
      <c r="E153" s="27" t="n">
        <f aca="false" ca="true" dt2D="false" dtr="false" t="normal">SUBTOTAL(9, F153:T153)</f>
        <v>2998415.7590784</v>
      </c>
      <c r="F153" s="17" t="n"/>
      <c r="G153" s="17" t="n"/>
      <c r="H153" s="195" t="n"/>
      <c r="I153" s="17" t="n"/>
      <c r="J153" s="17" t="n"/>
      <c r="K153" s="17" t="n"/>
      <c r="L153" s="17" t="n"/>
      <c r="M153" s="17" t="n">
        <v>2869496.64</v>
      </c>
      <c r="N153" s="17" t="n"/>
      <c r="O153" s="17" t="n"/>
      <c r="P153" s="17" t="n"/>
      <c r="Q153" s="17" t="n"/>
      <c r="R153" s="17" t="n">
        <v>104919.1190784</v>
      </c>
      <c r="S153" s="18" t="n">
        <v>24000</v>
      </c>
      <c r="T153" s="191" t="n"/>
    </row>
    <row outlineLevel="0" r="154">
      <c r="A154" s="331" t="n">
        <f aca="false" ca="false" dt2D="false" dtr="false" t="normal">+A153+1</f>
        <v>139</v>
      </c>
      <c r="B154" s="6" t="n">
        <f aca="false" ca="false" dt2D="false" dtr="false" t="normal">+B153+1</f>
        <v>139</v>
      </c>
      <c r="C154" s="138" t="s">
        <v>93</v>
      </c>
      <c r="D154" s="138" t="s">
        <v>370</v>
      </c>
      <c r="E154" s="27" t="n">
        <f aca="false" ca="true" dt2D="false" dtr="false" t="normal">SUBTOTAL(9, F154:T154)</f>
        <v>2998377.8434528</v>
      </c>
      <c r="F154" s="17" t="n"/>
      <c r="G154" s="17" t="n"/>
      <c r="H154" s="195" t="n"/>
      <c r="I154" s="17" t="n"/>
      <c r="J154" s="17" t="n"/>
      <c r="K154" s="17" t="n"/>
      <c r="L154" s="17" t="n"/>
      <c r="M154" s="17" t="n">
        <v>2869496.65</v>
      </c>
      <c r="N154" s="17" t="n"/>
      <c r="O154" s="17" t="n"/>
      <c r="P154" s="17" t="n"/>
      <c r="Q154" s="17" t="n"/>
      <c r="R154" s="17" t="n">
        <v>104881.1934528</v>
      </c>
      <c r="S154" s="18" t="n">
        <v>24000</v>
      </c>
      <c r="T154" s="191" t="n"/>
    </row>
    <row outlineLevel="0" r="155">
      <c r="A155" s="331" t="n">
        <f aca="false" ca="false" dt2D="false" dtr="false" t="normal">+A154+1</f>
        <v>140</v>
      </c>
      <c r="B155" s="6" t="n">
        <f aca="false" ca="false" dt2D="false" dtr="false" t="normal">+B154+1</f>
        <v>140</v>
      </c>
      <c r="C155" s="138" t="s">
        <v>93</v>
      </c>
      <c r="D155" s="138" t="s">
        <v>372</v>
      </c>
      <c r="E155" s="27" t="n">
        <f aca="false" ca="true" dt2D="false" dtr="false" t="normal">SUBTOTAL(9, F155:T155)</f>
        <v>2998746.0699072</v>
      </c>
      <c r="F155" s="17" t="n"/>
      <c r="G155" s="17" t="n"/>
      <c r="H155" s="195" t="n"/>
      <c r="I155" s="17" t="n"/>
      <c r="J155" s="17" t="n"/>
      <c r="K155" s="17" t="n"/>
      <c r="L155" s="17" t="n"/>
      <c r="M155" s="17" t="n">
        <v>2869496.64</v>
      </c>
      <c r="N155" s="17" t="n"/>
      <c r="O155" s="17" t="n"/>
      <c r="P155" s="17" t="n"/>
      <c r="Q155" s="17" t="n"/>
      <c r="R155" s="17" t="n">
        <v>105249.4299072</v>
      </c>
      <c r="S155" s="18" t="n">
        <v>24000</v>
      </c>
      <c r="T155" s="191" t="n"/>
    </row>
    <row outlineLevel="0" r="156">
      <c r="A156" s="331" t="n">
        <f aca="false" ca="false" dt2D="false" dtr="false" t="normal">+A155+1</f>
        <v>141</v>
      </c>
      <c r="B156" s="6" t="n">
        <f aca="false" ca="false" dt2D="false" dtr="false" t="normal">+B155+1</f>
        <v>141</v>
      </c>
      <c r="C156" s="138" t="s">
        <v>93</v>
      </c>
      <c r="D156" s="138" t="s">
        <v>375</v>
      </c>
      <c r="E156" s="27" t="n">
        <f aca="false" ca="true" dt2D="false" dtr="false" t="normal">SUBTOTAL(9, F156:T156)</f>
        <v>6006663.62</v>
      </c>
      <c r="F156" s="17" t="n">
        <v>3826027.56</v>
      </c>
      <c r="G156" s="17" t="n">
        <v>0</v>
      </c>
      <c r="H156" s="195" t="n">
        <v>0</v>
      </c>
      <c r="I156" s="17" t="n">
        <v>2180636.06</v>
      </c>
      <c r="J156" s="17" t="n">
        <v>0</v>
      </c>
      <c r="K156" s="17" t="n"/>
      <c r="L156" s="17" t="n"/>
      <c r="M156" s="17" t="n">
        <v>0</v>
      </c>
      <c r="N156" s="17" t="n">
        <v>0</v>
      </c>
      <c r="O156" s="17" t="n">
        <v>0</v>
      </c>
      <c r="P156" s="17" t="n">
        <v>0</v>
      </c>
      <c r="Q156" s="17" t="n">
        <v>0</v>
      </c>
      <c r="R156" s="17" t="n"/>
      <c r="S156" s="18" t="n"/>
      <c r="T156" s="191" t="n"/>
    </row>
    <row outlineLevel="0" r="157">
      <c r="A157" s="331" t="n">
        <f aca="false" ca="false" dt2D="false" dtr="false" t="normal">+A156+1</f>
        <v>142</v>
      </c>
      <c r="B157" s="6" t="n">
        <f aca="false" ca="false" dt2D="false" dtr="false" t="normal">+B156+1</f>
        <v>142</v>
      </c>
      <c r="C157" s="138" t="s">
        <v>93</v>
      </c>
      <c r="D157" s="138" t="s">
        <v>377</v>
      </c>
      <c r="E157" s="27" t="n">
        <f aca="false" ca="true" dt2D="false" dtr="false" t="normal">SUBTOTAL(9, F157:T157)</f>
        <v>791011.4199999999</v>
      </c>
      <c r="F157" s="17" t="n">
        <v>0</v>
      </c>
      <c r="G157" s="17" t="n">
        <v>0</v>
      </c>
      <c r="H157" s="195" t="n">
        <v>782900.97</v>
      </c>
      <c r="I157" s="17" t="n"/>
      <c r="J157" s="17" t="n">
        <v>0</v>
      </c>
      <c r="K157" s="17" t="n"/>
      <c r="L157" s="17" t="n"/>
      <c r="M157" s="17" t="n">
        <v>0</v>
      </c>
      <c r="N157" s="17" t="n">
        <v>0</v>
      </c>
      <c r="O157" s="17" t="n">
        <v>0</v>
      </c>
      <c r="P157" s="17" t="n">
        <v>0</v>
      </c>
      <c r="Q157" s="17" t="n">
        <v>0</v>
      </c>
      <c r="R157" s="17" t="n"/>
      <c r="S157" s="18" t="n"/>
      <c r="T157" s="191" t="n">
        <v>8110.45</v>
      </c>
    </row>
    <row outlineLevel="0" r="158">
      <c r="A158" s="331" t="n">
        <f aca="false" ca="false" dt2D="false" dtr="false" t="normal">+A157+1</f>
        <v>143</v>
      </c>
      <c r="B158" s="6" t="n">
        <f aca="false" ca="false" dt2D="false" dtr="false" t="normal">+B157+1</f>
        <v>143</v>
      </c>
      <c r="C158" s="138" t="s">
        <v>93</v>
      </c>
      <c r="D158" s="138" t="s">
        <v>379</v>
      </c>
      <c r="E158" s="27" t="n">
        <f aca="false" ca="true" dt2D="false" dtr="false" t="normal">SUBTOTAL(9, F158:T158)</f>
        <v>11170211.87</v>
      </c>
      <c r="F158" s="17" t="n">
        <v>3735913.84</v>
      </c>
      <c r="G158" s="17" t="n">
        <v>627030.85</v>
      </c>
      <c r="H158" s="195" t="n">
        <v>1443652.49</v>
      </c>
      <c r="I158" s="17" t="n">
        <v>1126366.88</v>
      </c>
      <c r="J158" s="17" t="n">
        <v>0</v>
      </c>
      <c r="K158" s="17" t="n"/>
      <c r="L158" s="17" t="n"/>
      <c r="M158" s="17" t="n">
        <v>0</v>
      </c>
      <c r="N158" s="17" t="n">
        <v>0</v>
      </c>
      <c r="O158" s="17" t="n">
        <v>0</v>
      </c>
      <c r="P158" s="17" t="n">
        <v>0</v>
      </c>
      <c r="Q158" s="17" t="n">
        <v>4237247.81</v>
      </c>
      <c r="R158" s="17" t="n"/>
      <c r="S158" s="18" t="n"/>
      <c r="T158" s="191" t="n"/>
    </row>
    <row outlineLevel="0" r="159">
      <c r="A159" s="331" t="n">
        <f aca="false" ca="false" dt2D="false" dtr="false" t="normal">+A158+1</f>
        <v>144</v>
      </c>
      <c r="B159" s="6" t="n">
        <f aca="false" ca="false" dt2D="false" dtr="false" t="normal">+B158+1</f>
        <v>144</v>
      </c>
      <c r="C159" s="138" t="s">
        <v>93</v>
      </c>
      <c r="D159" s="138" t="s">
        <v>381</v>
      </c>
      <c r="E159" s="27" t="n">
        <f aca="false" ca="true" dt2D="false" dtr="false" t="normal">SUBTOTAL(9, F159:T159)</f>
        <v>681605.38</v>
      </c>
      <c r="F159" s="17" t="n">
        <v>0</v>
      </c>
      <c r="G159" s="17" t="n"/>
      <c r="H159" s="195" t="n">
        <v>681605.38</v>
      </c>
      <c r="I159" s="17" t="n">
        <v>0</v>
      </c>
      <c r="J159" s="17" t="n">
        <v>0</v>
      </c>
      <c r="K159" s="17" t="n"/>
      <c r="L159" s="17" t="n"/>
      <c r="M159" s="17" t="n">
        <v>0</v>
      </c>
      <c r="N159" s="17" t="n"/>
      <c r="O159" s="17" t="n">
        <v>0</v>
      </c>
      <c r="P159" s="17" t="n"/>
      <c r="Q159" s="17" t="n"/>
      <c r="R159" s="17" t="n"/>
      <c r="S159" s="18" t="n"/>
      <c r="T159" s="191" t="n"/>
    </row>
    <row outlineLevel="0" r="160">
      <c r="A160" s="331" t="n">
        <f aca="false" ca="false" dt2D="false" dtr="false" t="normal">+A159+1</f>
        <v>145</v>
      </c>
      <c r="B160" s="6" t="n">
        <f aca="false" ca="false" dt2D="false" dtr="false" t="normal">+B159+1</f>
        <v>145</v>
      </c>
      <c r="C160" s="138" t="s">
        <v>93</v>
      </c>
      <c r="D160" s="138" t="s">
        <v>384</v>
      </c>
      <c r="E160" s="27" t="n">
        <f aca="false" ca="true" dt2D="false" dtr="false" t="normal">SUBTOTAL(9, F160:T160)</f>
        <v>2689617.46</v>
      </c>
      <c r="F160" s="17" t="n">
        <v>0</v>
      </c>
      <c r="G160" s="17" t="n">
        <v>0</v>
      </c>
      <c r="H160" s="195" t="n">
        <v>2689617.46</v>
      </c>
      <c r="I160" s="17" t="n">
        <v>0</v>
      </c>
      <c r="J160" s="17" t="n">
        <v>0</v>
      </c>
      <c r="K160" s="17" t="n"/>
      <c r="L160" s="17" t="n"/>
      <c r="M160" s="17" t="n">
        <v>0</v>
      </c>
      <c r="N160" s="17" t="n">
        <v>0</v>
      </c>
      <c r="O160" s="17" t="n">
        <v>0</v>
      </c>
      <c r="P160" s="17" t="n">
        <v>0</v>
      </c>
      <c r="Q160" s="17" t="n">
        <v>0</v>
      </c>
      <c r="R160" s="17" t="n"/>
      <c r="S160" s="18" t="n"/>
      <c r="T160" s="191" t="n"/>
    </row>
    <row outlineLevel="0" r="161">
      <c r="A161" s="331" t="n">
        <f aca="false" ca="false" dt2D="false" dtr="false" t="normal">+A160+1</f>
        <v>146</v>
      </c>
      <c r="B161" s="6" t="n">
        <f aca="false" ca="false" dt2D="false" dtr="false" t="normal">+B160+1</f>
        <v>146</v>
      </c>
      <c r="C161" s="138" t="s">
        <v>93</v>
      </c>
      <c r="D161" s="138" t="s">
        <v>386</v>
      </c>
      <c r="E161" s="27" t="n">
        <f aca="false" ca="true" dt2D="false" dtr="false" t="normal">SUBTOTAL(9, F161:T161)</f>
        <v>25727773.27</v>
      </c>
      <c r="F161" s="17" t="n"/>
      <c r="G161" s="17" t="n">
        <v>3182426.63</v>
      </c>
      <c r="H161" s="195" t="n"/>
      <c r="I161" s="17" t="n"/>
      <c r="J161" s="17" t="n">
        <v>0</v>
      </c>
      <c r="K161" s="17" t="n"/>
      <c r="L161" s="17" t="n"/>
      <c r="M161" s="17" t="n">
        <v>0</v>
      </c>
      <c r="N161" s="17" t="n">
        <v>0</v>
      </c>
      <c r="O161" s="17" t="n">
        <v>0</v>
      </c>
      <c r="P161" s="17" t="n">
        <v>0</v>
      </c>
      <c r="Q161" s="17" t="n">
        <v>22545346.64</v>
      </c>
      <c r="R161" s="17" t="n"/>
      <c r="S161" s="18" t="n"/>
      <c r="T161" s="191" t="n"/>
    </row>
    <row outlineLevel="0" r="162">
      <c r="A162" s="331" t="n">
        <f aca="false" ca="false" dt2D="false" dtr="false" t="normal">+A161+1</f>
        <v>147</v>
      </c>
      <c r="B162" s="6" t="n">
        <f aca="false" ca="false" dt2D="false" dtr="false" t="normal">+B161+1</f>
        <v>147</v>
      </c>
      <c r="C162" s="138" t="s">
        <v>93</v>
      </c>
      <c r="D162" s="138" t="s">
        <v>387</v>
      </c>
      <c r="E162" s="27" t="n">
        <f aca="false" ca="true" dt2D="false" dtr="false" t="normal">SUBTOTAL(9, F162:T162)</f>
        <v>9722924.29</v>
      </c>
      <c r="F162" s="17" t="n"/>
      <c r="G162" s="17" t="n">
        <v>7323917.46</v>
      </c>
      <c r="H162" s="195" t="n"/>
      <c r="I162" s="17" t="n">
        <v>2315022.9</v>
      </c>
      <c r="J162" s="17" t="n">
        <v>0</v>
      </c>
      <c r="K162" s="17" t="n"/>
      <c r="L162" s="17" t="n"/>
      <c r="M162" s="17" t="n">
        <v>0</v>
      </c>
      <c r="N162" s="17" t="n">
        <v>0</v>
      </c>
      <c r="O162" s="17" t="n">
        <v>0</v>
      </c>
      <c r="P162" s="17" t="n">
        <v>0</v>
      </c>
      <c r="Q162" s="17" t="n"/>
      <c r="R162" s="17" t="n"/>
      <c r="S162" s="18" t="n"/>
      <c r="T162" s="191" t="n">
        <f aca="false" ca="false" dt2D="false" dtr="false" t="normal">53840.63+30143.3</f>
        <v>83983.93</v>
      </c>
    </row>
    <row outlineLevel="0" r="163">
      <c r="A163" s="331" t="n">
        <f aca="false" ca="false" dt2D="false" dtr="false" t="normal">+A162+1</f>
        <v>148</v>
      </c>
      <c r="B163" s="6" t="n">
        <f aca="false" ca="false" dt2D="false" dtr="false" t="normal">+B162+1</f>
        <v>148</v>
      </c>
      <c r="C163" s="138" t="s">
        <v>93</v>
      </c>
      <c r="D163" s="138" t="s">
        <v>388</v>
      </c>
      <c r="E163" s="27" t="n">
        <f aca="false" ca="true" dt2D="false" dtr="false" t="normal">SUBTOTAL(9, F163:T163)</f>
        <v>50864072.46000001</v>
      </c>
      <c r="F163" s="17" t="n">
        <v>5141989.9</v>
      </c>
      <c r="G163" s="17" t="n"/>
      <c r="H163" s="195" t="n">
        <v>2714177.72</v>
      </c>
      <c r="I163" s="17" t="n"/>
      <c r="J163" s="17" t="n">
        <v>0</v>
      </c>
      <c r="K163" s="17" t="n"/>
      <c r="L163" s="17" t="n"/>
      <c r="M163" s="17" t="n">
        <v>0</v>
      </c>
      <c r="N163" s="17" t="n">
        <v>0</v>
      </c>
      <c r="O163" s="17" t="n">
        <v>0</v>
      </c>
      <c r="P163" s="17" t="n">
        <f aca="false" ca="false" dt2D="false" dtr="false" t="normal">37030869.74+5977035.1</f>
        <v>43007904.84</v>
      </c>
      <c r="Q163" s="17" t="n"/>
      <c r="R163" s="17" t="n"/>
      <c r="S163" s="18" t="n"/>
      <c r="T163" s="191" t="n"/>
    </row>
    <row outlineLevel="0" r="164">
      <c r="A164" s="331" t="n">
        <f aca="false" ca="false" dt2D="false" dtr="false" t="normal">+A163+1</f>
        <v>149</v>
      </c>
      <c r="B164" s="6" t="n">
        <f aca="false" ca="false" dt2D="false" dtr="false" t="normal">+B163+1</f>
        <v>149</v>
      </c>
      <c r="C164" s="138" t="s">
        <v>93</v>
      </c>
      <c r="D164" s="138" t="s">
        <v>390</v>
      </c>
      <c r="E164" s="27" t="n">
        <f aca="false" ca="true" dt2D="false" dtr="false" t="normal">SUBTOTAL(9, F164:T164)</f>
        <v>15646094.829999998</v>
      </c>
      <c r="F164" s="17" t="n">
        <v>3172690.78</v>
      </c>
      <c r="G164" s="17" t="n">
        <v>0</v>
      </c>
      <c r="H164" s="195" t="n">
        <v>0</v>
      </c>
      <c r="I164" s="17" t="n"/>
      <c r="J164" s="17" t="n">
        <v>0</v>
      </c>
      <c r="K164" s="17" t="n"/>
      <c r="L164" s="17" t="n"/>
      <c r="M164" s="17" t="n">
        <v>0</v>
      </c>
      <c r="N164" s="17" t="n">
        <v>5090700.49</v>
      </c>
      <c r="O164" s="17" t="n">
        <v>0</v>
      </c>
      <c r="P164" s="17" t="n">
        <v>7382703.56</v>
      </c>
      <c r="Q164" s="17" t="n"/>
      <c r="R164" s="17" t="n"/>
      <c r="S164" s="18" t="n"/>
      <c r="T164" s="191" t="n"/>
    </row>
    <row outlineLevel="0" r="165">
      <c r="A165" s="331" t="n">
        <f aca="false" ca="false" dt2D="false" dtr="false" t="normal">+A164+1</f>
        <v>150</v>
      </c>
      <c r="B165" s="6" t="n">
        <f aca="false" ca="false" dt2D="false" dtr="false" t="normal">+B164+1</f>
        <v>150</v>
      </c>
      <c r="C165" s="138" t="s">
        <v>93</v>
      </c>
      <c r="D165" s="138" t="s">
        <v>112</v>
      </c>
      <c r="E165" s="27" t="n">
        <f aca="false" ca="true" dt2D="false" dtr="false" t="normal">SUBTOTAL(9, F165:T165)</f>
        <v>580989.24</v>
      </c>
      <c r="F165" s="17" t="n"/>
      <c r="G165" s="17" t="n"/>
      <c r="H165" s="195" t="n"/>
      <c r="I165" s="17" t="n"/>
      <c r="J165" s="17" t="n"/>
      <c r="K165" s="17" t="n"/>
      <c r="L165" s="17" t="n"/>
      <c r="M165" s="17" t="n">
        <v>0</v>
      </c>
      <c r="N165" s="17" t="n">
        <v>0</v>
      </c>
      <c r="O165" s="17" t="n">
        <v>0</v>
      </c>
      <c r="P165" s="17" t="n"/>
      <c r="Q165" s="17" t="n">
        <v>580989.24</v>
      </c>
      <c r="R165" s="17" t="n"/>
      <c r="S165" s="18" t="n"/>
      <c r="T165" s="191" t="n"/>
    </row>
    <row outlineLevel="0" r="166">
      <c r="A166" s="331" t="n">
        <f aca="false" ca="false" dt2D="false" dtr="false" t="normal">+A165+1</f>
        <v>151</v>
      </c>
      <c r="B166" s="6" t="n">
        <f aca="false" ca="false" dt2D="false" dtr="false" t="normal">+B165+1</f>
        <v>151</v>
      </c>
      <c r="C166" s="138" t="s">
        <v>93</v>
      </c>
      <c r="D166" s="138" t="s">
        <v>109</v>
      </c>
      <c r="E166" s="27" t="n">
        <f aca="false" ca="true" dt2D="false" dtr="false" t="normal">SUBTOTAL(9, F166:T166)</f>
        <v>7632409.283</v>
      </c>
      <c r="F166" s="17" t="n"/>
      <c r="G166" s="17" t="n"/>
      <c r="H166" s="195" t="n">
        <v>3648621.62</v>
      </c>
      <c r="I166" s="17" t="n">
        <v>3268542.62</v>
      </c>
      <c r="J166" s="17" t="n">
        <v>0</v>
      </c>
      <c r="K166" s="17" t="n"/>
      <c r="L166" s="17" t="n"/>
      <c r="M166" s="17" t="n">
        <v>0</v>
      </c>
      <c r="N166" s="17" t="n">
        <v>0</v>
      </c>
      <c r="O166" s="17" t="n">
        <v>0</v>
      </c>
      <c r="P166" s="17" t="n">
        <v>0</v>
      </c>
      <c r="Q166" s="17" t="n">
        <v>0</v>
      </c>
      <c r="R166" s="17" t="n">
        <v>630230.4777</v>
      </c>
      <c r="S166" s="18" t="n">
        <v>85014.5653</v>
      </c>
      <c r="T166" s="191" t="n"/>
    </row>
    <row outlineLevel="0" r="167">
      <c r="A167" s="331" t="n">
        <f aca="false" ca="false" dt2D="false" dtr="false" t="normal">+A166+1</f>
        <v>152</v>
      </c>
      <c r="B167" s="6" t="n">
        <f aca="false" ca="false" dt2D="false" dtr="false" t="normal">+B166+1</f>
        <v>152</v>
      </c>
      <c r="C167" s="138" t="s">
        <v>114</v>
      </c>
      <c r="D167" s="138" t="s">
        <v>393</v>
      </c>
      <c r="E167" s="27" t="n">
        <f aca="false" ca="true" dt2D="false" dtr="false" t="normal">SUBTOTAL(9, F167:T167)</f>
        <v>9398785.45</v>
      </c>
      <c r="F167" s="17" t="n"/>
      <c r="G167" s="17" t="n"/>
      <c r="H167" s="195" t="n">
        <v>0</v>
      </c>
      <c r="I167" s="17" t="n">
        <v>0</v>
      </c>
      <c r="J167" s="17" t="n">
        <v>0</v>
      </c>
      <c r="K167" s="17" t="n"/>
      <c r="L167" s="17" t="n"/>
      <c r="M167" s="17" t="n">
        <v>0</v>
      </c>
      <c r="N167" s="17" t="n">
        <v>9398785.45</v>
      </c>
      <c r="O167" s="17" t="n">
        <v>0</v>
      </c>
      <c r="P167" s="17" t="n">
        <v>0</v>
      </c>
      <c r="Q167" s="17" t="n">
        <v>0</v>
      </c>
      <c r="R167" s="17" t="n"/>
      <c r="S167" s="18" t="n"/>
      <c r="T167" s="191" t="n"/>
    </row>
    <row outlineLevel="0" r="168">
      <c r="A168" s="331" t="n">
        <f aca="false" ca="false" dt2D="false" dtr="false" t="normal">+A167+1</f>
        <v>153</v>
      </c>
      <c r="B168" s="6" t="n">
        <f aca="false" ca="false" dt2D="false" dtr="false" t="normal">+B167+1</f>
        <v>153</v>
      </c>
      <c r="C168" s="138" t="s">
        <v>114</v>
      </c>
      <c r="D168" s="138" t="s">
        <v>395</v>
      </c>
      <c r="E168" s="27" t="n">
        <f aca="false" ca="true" dt2D="false" dtr="false" t="normal">SUBTOTAL(9, F168:T168)</f>
        <v>9546866.397</v>
      </c>
      <c r="F168" s="17" t="n"/>
      <c r="G168" s="17" t="n"/>
      <c r="H168" s="195" t="n"/>
      <c r="I168" s="17" t="n">
        <v>0</v>
      </c>
      <c r="J168" s="17" t="n">
        <v>0</v>
      </c>
      <c r="K168" s="17" t="n"/>
      <c r="L168" s="17" t="n"/>
      <c r="M168" s="17" t="n">
        <v>0</v>
      </c>
      <c r="N168" s="17" t="n">
        <v>9546866.397</v>
      </c>
      <c r="O168" s="17" t="n">
        <v>0</v>
      </c>
      <c r="P168" s="17" t="n">
        <v>0</v>
      </c>
      <c r="Q168" s="17" t="n">
        <v>0</v>
      </c>
      <c r="R168" s="17" t="n"/>
      <c r="S168" s="18" t="n"/>
      <c r="T168" s="191" t="n"/>
    </row>
    <row outlineLevel="0" r="169">
      <c r="A169" s="331" t="n">
        <f aca="false" ca="false" dt2D="false" dtr="false" t="normal">+A168+1</f>
        <v>154</v>
      </c>
      <c r="B169" s="6" t="n">
        <f aca="false" ca="false" dt2D="false" dtr="false" t="normal">+B168+1</f>
        <v>154</v>
      </c>
      <c r="C169" s="138" t="s">
        <v>114</v>
      </c>
      <c r="D169" s="138" t="s">
        <v>117</v>
      </c>
      <c r="E169" s="27" t="n">
        <f aca="false" ca="true" dt2D="false" dtr="false" t="normal">SUBTOTAL(9, F169:T169)</f>
        <v>16106664.95</v>
      </c>
      <c r="F169" s="17" t="n"/>
      <c r="G169" s="17" t="n"/>
      <c r="H169" s="195" t="n">
        <v>0</v>
      </c>
      <c r="I169" s="17" t="n">
        <v>0</v>
      </c>
      <c r="J169" s="17" t="n">
        <v>0</v>
      </c>
      <c r="K169" s="17" t="n"/>
      <c r="L169" s="17" t="n"/>
      <c r="M169" s="17" t="n">
        <v>0</v>
      </c>
      <c r="N169" s="17" t="n">
        <v>16106664.95</v>
      </c>
      <c r="O169" s="17" t="n">
        <v>0</v>
      </c>
      <c r="P169" s="17" t="n">
        <v>0</v>
      </c>
      <c r="Q169" s="17" t="n">
        <v>0</v>
      </c>
      <c r="R169" s="17" t="n"/>
      <c r="S169" s="18" t="n"/>
      <c r="T169" s="191" t="n"/>
    </row>
    <row outlineLevel="0" r="170">
      <c r="A170" s="331" t="n">
        <f aca="false" ca="false" dt2D="false" dtr="false" t="normal">+A169+1</f>
        <v>155</v>
      </c>
      <c r="B170" s="6" t="n">
        <f aca="false" ca="false" dt2D="false" dtr="false" t="normal">+B169+1</f>
        <v>155</v>
      </c>
      <c r="C170" s="138" t="s">
        <v>397</v>
      </c>
      <c r="D170" s="138" t="s">
        <v>398</v>
      </c>
      <c r="E170" s="27" t="n">
        <f aca="false" ca="true" dt2D="false" dtr="false" t="normal">SUBTOTAL(9, F170:T170)</f>
        <v>638349.5900000001</v>
      </c>
      <c r="F170" s="17" t="n">
        <v>0</v>
      </c>
      <c r="G170" s="17" t="n">
        <v>0</v>
      </c>
      <c r="H170" s="195" t="n">
        <v>0</v>
      </c>
      <c r="I170" s="17" t="n">
        <v>0</v>
      </c>
      <c r="J170" s="17" t="n">
        <v>579887.3</v>
      </c>
      <c r="K170" s="17" t="n"/>
      <c r="L170" s="17" t="n"/>
      <c r="M170" s="17" t="n">
        <v>0</v>
      </c>
      <c r="N170" s="17" t="n">
        <v>0</v>
      </c>
      <c r="O170" s="17" t="n">
        <v>0</v>
      </c>
      <c r="P170" s="17" t="n">
        <v>0</v>
      </c>
      <c r="Q170" s="17" t="n">
        <v>0</v>
      </c>
      <c r="R170" s="17" t="n">
        <v>58462.29</v>
      </c>
      <c r="S170" s="17" t="n"/>
      <c r="T170" s="191" t="n"/>
    </row>
    <row outlineLevel="0" r="171">
      <c r="A171" s="331" t="n">
        <f aca="false" ca="false" dt2D="false" dtr="false" t="normal">+A170+1</f>
        <v>156</v>
      </c>
      <c r="B171" s="6" t="n">
        <f aca="false" ca="false" dt2D="false" dtr="false" t="normal">+B170+1</f>
        <v>156</v>
      </c>
      <c r="C171" s="138" t="s">
        <v>119</v>
      </c>
      <c r="D171" s="138" t="s">
        <v>120</v>
      </c>
      <c r="E171" s="27" t="n">
        <f aca="false" ca="true" dt2D="false" dtr="false" t="normal">SUBTOTAL(9, F171:T171)</f>
        <v>3752714.61</v>
      </c>
      <c r="F171" s="17" t="n"/>
      <c r="G171" s="17" t="n"/>
      <c r="H171" s="195" t="n"/>
      <c r="I171" s="17" t="n"/>
      <c r="J171" s="17" t="n"/>
      <c r="K171" s="17" t="n"/>
      <c r="L171" s="17" t="n"/>
      <c r="M171" s="17" t="n"/>
      <c r="N171" s="17" t="n">
        <v>1229943.21</v>
      </c>
      <c r="O171" s="17" t="n"/>
      <c r="P171" s="17" t="n"/>
      <c r="Q171" s="17" t="n">
        <v>2522771.4</v>
      </c>
      <c r="R171" s="17" t="n"/>
      <c r="S171" s="18" t="n"/>
      <c r="T171" s="191" t="n"/>
    </row>
    <row outlineLevel="0" r="172">
      <c r="A172" s="331" t="n">
        <f aca="false" ca="false" dt2D="false" dtr="false" t="normal">+A171+1</f>
        <v>157</v>
      </c>
      <c r="B172" s="6" t="n">
        <f aca="false" ca="false" dt2D="false" dtr="false" t="normal">+B171+1</f>
        <v>157</v>
      </c>
      <c r="C172" s="138" t="s">
        <v>119</v>
      </c>
      <c r="D172" s="138" t="s">
        <v>125</v>
      </c>
      <c r="E172" s="27" t="n">
        <f aca="false" ca="true" dt2D="false" dtr="false" t="normal">SUBTOTAL(9, F172:T172)</f>
        <v>2093523.54</v>
      </c>
      <c r="F172" s="17" t="n">
        <v>0</v>
      </c>
      <c r="G172" s="17" t="n">
        <v>0</v>
      </c>
      <c r="H172" s="195" t="n"/>
      <c r="I172" s="17" t="n"/>
      <c r="J172" s="17" t="n"/>
      <c r="K172" s="17" t="n"/>
      <c r="L172" s="17" t="n"/>
      <c r="M172" s="17" t="n"/>
      <c r="N172" s="17" t="n">
        <v>2093523.54</v>
      </c>
      <c r="O172" s="17" t="n"/>
      <c r="P172" s="17" t="n"/>
      <c r="Q172" s="17" t="n"/>
      <c r="R172" s="17" t="n"/>
      <c r="S172" s="18" t="n"/>
      <c r="T172" s="191" t="n"/>
    </row>
    <row outlineLevel="0" r="173">
      <c r="A173" s="331" t="n">
        <f aca="false" ca="false" dt2D="false" dtr="false" t="normal">+A172+1</f>
        <v>158</v>
      </c>
      <c r="B173" s="6" t="n">
        <f aca="false" ca="false" dt2D="false" dtr="false" t="normal">+B172+1</f>
        <v>158</v>
      </c>
      <c r="C173" s="138" t="s">
        <v>119</v>
      </c>
      <c r="D173" s="138" t="s">
        <v>121</v>
      </c>
      <c r="E173" s="27" t="n">
        <f aca="false" ca="true" dt2D="false" dtr="false" t="normal">SUBTOTAL(9, F173:T173)</f>
        <v>539462.39</v>
      </c>
      <c r="F173" s="17" t="n">
        <v>0</v>
      </c>
      <c r="G173" s="17" t="n">
        <v>0</v>
      </c>
      <c r="H173" s="195" t="n"/>
      <c r="I173" s="17" t="n"/>
      <c r="J173" s="17" t="n"/>
      <c r="K173" s="17" t="n"/>
      <c r="L173" s="17" t="n"/>
      <c r="M173" s="17" t="n"/>
      <c r="N173" s="17" t="n"/>
      <c r="O173" s="17" t="n"/>
      <c r="P173" s="17" t="n">
        <v>0</v>
      </c>
      <c r="Q173" s="17" t="n">
        <v>539462.39</v>
      </c>
      <c r="R173" s="17" t="n"/>
      <c r="S173" s="18" t="n"/>
      <c r="T173" s="191" t="n"/>
    </row>
    <row outlineLevel="0" r="174">
      <c r="A174" s="331" t="n">
        <f aca="false" ca="false" dt2D="false" dtr="false" t="normal">+A173+1</f>
        <v>159</v>
      </c>
      <c r="B174" s="6" t="n">
        <f aca="false" ca="false" dt2D="false" dtr="false" t="normal">+B173+1</f>
        <v>159</v>
      </c>
      <c r="C174" s="138" t="s">
        <v>403</v>
      </c>
      <c r="D174" s="138" t="s">
        <v>404</v>
      </c>
      <c r="E174" s="27" t="n">
        <f aca="false" ca="true" dt2D="false" dtr="false" t="normal">SUBTOTAL(9, F174:T174)</f>
        <v>14480496.2</v>
      </c>
      <c r="F174" s="17" t="n">
        <v>3185792.78</v>
      </c>
      <c r="G174" s="17" t="n">
        <v>811520.58</v>
      </c>
      <c r="H174" s="195" t="n">
        <v>739091.37</v>
      </c>
      <c r="I174" s="17" t="n"/>
      <c r="J174" s="17" t="n">
        <v>0</v>
      </c>
      <c r="K174" s="17" t="n"/>
      <c r="L174" s="17" t="n"/>
      <c r="M174" s="17" t="n">
        <v>0</v>
      </c>
      <c r="N174" s="17" t="n">
        <v>5126751.94</v>
      </c>
      <c r="O174" s="17" t="n">
        <v>0</v>
      </c>
      <c r="P174" s="17" t="n"/>
      <c r="Q174" s="17" t="n">
        <v>4617339.53</v>
      </c>
      <c r="R174" s="17" t="n"/>
      <c r="S174" s="18" t="n"/>
      <c r="T174" s="191" t="n"/>
    </row>
    <row outlineLevel="0" r="175">
      <c r="A175" s="331" t="n">
        <f aca="false" ca="false" dt2D="false" dtr="false" t="normal">+A174+1</f>
        <v>160</v>
      </c>
      <c r="B175" s="6" t="n">
        <f aca="false" ca="false" dt2D="false" dtr="false" t="normal">+B174+1</f>
        <v>160</v>
      </c>
      <c r="C175" s="138" t="s">
        <v>405</v>
      </c>
      <c r="D175" s="138" t="s">
        <v>406</v>
      </c>
      <c r="E175" s="27" t="n">
        <f aca="false" ca="true" dt2D="false" dtr="false" t="normal">SUBTOTAL(9, F175:T175)</f>
        <v>3997136.3000000003</v>
      </c>
      <c r="F175" s="17" t="n">
        <v>0</v>
      </c>
      <c r="G175" s="17" t="n">
        <v>0</v>
      </c>
      <c r="H175" s="195" t="n">
        <v>0</v>
      </c>
      <c r="I175" s="17" t="n">
        <v>0</v>
      </c>
      <c r="J175" s="17" t="n">
        <v>0</v>
      </c>
      <c r="K175" s="17" t="n"/>
      <c r="L175" s="17" t="n"/>
      <c r="M175" s="17" t="n">
        <v>0</v>
      </c>
      <c r="N175" s="17" t="n">
        <v>0</v>
      </c>
      <c r="O175" s="17" t="n">
        <v>0</v>
      </c>
      <c r="P175" s="17" t="n">
        <v>0</v>
      </c>
      <c r="Q175" s="17" t="n">
        <v>3880712.95</v>
      </c>
      <c r="R175" s="17" t="n">
        <v>63874.52</v>
      </c>
      <c r="S175" s="18" t="n">
        <v>52548.83</v>
      </c>
      <c r="T175" s="191" t="n"/>
    </row>
    <row outlineLevel="0" r="176">
      <c r="A176" s="331" t="n">
        <f aca="false" ca="false" dt2D="false" dtr="false" t="normal">+A175+1</f>
        <v>161</v>
      </c>
      <c r="B176" s="6" t="n">
        <f aca="false" ca="false" dt2D="false" dtr="false" t="normal">+B175+1</f>
        <v>161</v>
      </c>
      <c r="C176" s="138" t="s">
        <v>405</v>
      </c>
      <c r="D176" s="138" t="s">
        <v>408</v>
      </c>
      <c r="E176" s="27" t="n">
        <f aca="false" ca="true" dt2D="false" dtr="false" t="normal">SUBTOTAL(9, F176:T176)</f>
        <v>6696808.97</v>
      </c>
      <c r="F176" s="17" t="n">
        <v>0</v>
      </c>
      <c r="G176" s="17" t="n">
        <v>0</v>
      </c>
      <c r="H176" s="195" t="n">
        <v>0</v>
      </c>
      <c r="I176" s="17" t="n">
        <v>0</v>
      </c>
      <c r="J176" s="17" t="n">
        <v>0</v>
      </c>
      <c r="K176" s="17" t="n"/>
      <c r="L176" s="17" t="n"/>
      <c r="M176" s="17" t="n">
        <v>0</v>
      </c>
      <c r="N176" s="17" t="n">
        <v>6406790.68</v>
      </c>
      <c r="O176" s="17" t="n">
        <v>0</v>
      </c>
      <c r="P176" s="17" t="n">
        <v>0</v>
      </c>
      <c r="Q176" s="17" t="n"/>
      <c r="R176" s="17" t="n">
        <v>228114.94</v>
      </c>
      <c r="S176" s="18" t="n">
        <v>61903.35</v>
      </c>
      <c r="T176" s="191" t="n"/>
    </row>
    <row outlineLevel="0" r="177">
      <c r="A177" s="331" t="n">
        <f aca="false" ca="false" dt2D="false" dtr="false" t="normal">+A176+1</f>
        <v>162</v>
      </c>
      <c r="B177" s="6" t="n">
        <f aca="false" ca="false" dt2D="false" dtr="false" t="normal">+B176+1</f>
        <v>162</v>
      </c>
      <c r="C177" s="138" t="s">
        <v>405</v>
      </c>
      <c r="D177" s="138" t="s">
        <v>410</v>
      </c>
      <c r="E177" s="27" t="n">
        <f aca="false" ca="true" dt2D="false" dtr="false" t="normal">SUBTOTAL(9, F177:T177)</f>
        <v>4893604.36</v>
      </c>
      <c r="F177" s="17" t="n">
        <v>0</v>
      </c>
      <c r="G177" s="17" t="n">
        <v>0</v>
      </c>
      <c r="H177" s="195" t="n">
        <v>0</v>
      </c>
      <c r="I177" s="17" t="n">
        <v>0</v>
      </c>
      <c r="J177" s="17" t="n">
        <v>0</v>
      </c>
      <c r="K177" s="17" t="n"/>
      <c r="L177" s="17" t="n"/>
      <c r="M177" s="17" t="n">
        <v>0</v>
      </c>
      <c r="N177" s="17" t="n">
        <v>4786076.94</v>
      </c>
      <c r="O177" s="17" t="n">
        <v>0</v>
      </c>
      <c r="P177" s="17" t="n">
        <v>0</v>
      </c>
      <c r="Q177" s="17" t="n">
        <v>0</v>
      </c>
      <c r="R177" s="17" t="n">
        <v>92267.42</v>
      </c>
      <c r="S177" s="18" t="n">
        <v>15260</v>
      </c>
      <c r="T177" s="191" t="n"/>
    </row>
    <row outlineLevel="0" r="178">
      <c r="A178" s="331" t="n">
        <f aca="false" ca="false" dt2D="false" dtr="false" t="normal">+A177+1</f>
        <v>163</v>
      </c>
      <c r="B178" s="6" t="n">
        <f aca="false" ca="false" dt2D="false" dtr="false" t="normal">+B177+1</f>
        <v>163</v>
      </c>
      <c r="C178" s="138" t="s">
        <v>751</v>
      </c>
      <c r="D178" s="138" t="s">
        <v>412</v>
      </c>
      <c r="E178" s="27" t="n">
        <f aca="false" ca="true" dt2D="false" dtr="false" t="normal">SUBTOTAL(9, F178:T178)</f>
        <v>5464157.29</v>
      </c>
      <c r="F178" s="17" t="n">
        <v>5464157.29</v>
      </c>
      <c r="G178" s="17" t="n">
        <v>0</v>
      </c>
      <c r="H178" s="195" t="n"/>
      <c r="I178" s="17" t="n"/>
      <c r="J178" s="17" t="n">
        <v>0</v>
      </c>
      <c r="K178" s="17" t="n"/>
      <c r="L178" s="17" t="n"/>
      <c r="M178" s="17" t="n">
        <v>0</v>
      </c>
      <c r="N178" s="17" t="n">
        <v>0</v>
      </c>
      <c r="O178" s="17" t="n">
        <v>0</v>
      </c>
      <c r="P178" s="17" t="n">
        <v>0</v>
      </c>
      <c r="Q178" s="17" t="n">
        <v>0</v>
      </c>
      <c r="R178" s="17" t="n"/>
      <c r="S178" s="18" t="n"/>
      <c r="T178" s="191" t="n"/>
    </row>
    <row outlineLevel="0" r="179">
      <c r="A179" s="331" t="n">
        <f aca="false" ca="false" dt2D="false" dtr="false" t="normal">+A178+1</f>
        <v>164</v>
      </c>
      <c r="B179" s="6" t="n">
        <f aca="false" ca="false" dt2D="false" dtr="false" t="normal">+B178+1</f>
        <v>164</v>
      </c>
      <c r="C179" s="138" t="s">
        <v>751</v>
      </c>
      <c r="D179" s="138" t="s">
        <v>415</v>
      </c>
      <c r="E179" s="27" t="n">
        <f aca="false" ca="true" dt2D="false" dtr="false" t="normal">SUBTOTAL(9, F179:T179)</f>
        <v>28411164.88</v>
      </c>
      <c r="F179" s="17" t="n">
        <v>8079212.4</v>
      </c>
      <c r="G179" s="17" t="n"/>
      <c r="H179" s="195" t="n">
        <v>3039831.6</v>
      </c>
      <c r="I179" s="17" t="n">
        <v>2344507</v>
      </c>
      <c r="J179" s="17" t="n"/>
      <c r="K179" s="17" t="n"/>
      <c r="L179" s="17" t="n"/>
      <c r="M179" s="17" t="n"/>
      <c r="N179" s="17" t="n">
        <v>14009282.4</v>
      </c>
      <c r="O179" s="17" t="n"/>
      <c r="P179" s="17" t="n"/>
      <c r="Q179" s="17" t="n"/>
      <c r="R179" s="17" t="n">
        <v>700984.03</v>
      </c>
      <c r="S179" s="18" t="n">
        <v>24000</v>
      </c>
      <c r="T179" s="191" t="n">
        <v>213347.45</v>
      </c>
    </row>
    <row outlineLevel="0" r="180">
      <c r="A180" s="331" t="n">
        <f aca="false" ca="false" dt2D="false" dtr="false" t="normal">+A179+1</f>
        <v>165</v>
      </c>
      <c r="B180" s="6" t="n">
        <f aca="false" ca="false" dt2D="false" dtr="false" t="normal">+B179+1</f>
        <v>165</v>
      </c>
      <c r="C180" s="138" t="s">
        <v>751</v>
      </c>
      <c r="D180" s="138" t="s">
        <v>417</v>
      </c>
      <c r="E180" s="27" t="n">
        <f aca="false" ca="true" dt2D="false" dtr="false" t="normal">SUBTOTAL(9, F180:T180)</f>
        <v>19924186.37</v>
      </c>
      <c r="F180" s="17" t="n"/>
      <c r="G180" s="17" t="n"/>
      <c r="H180" s="195" t="n">
        <v>3153436.8</v>
      </c>
      <c r="I180" s="17" t="n">
        <v>2158646.4</v>
      </c>
      <c r="J180" s="17" t="n"/>
      <c r="K180" s="17" t="n"/>
      <c r="L180" s="17" t="n"/>
      <c r="M180" s="17" t="n"/>
      <c r="N180" s="17" t="n">
        <v>13939516.8</v>
      </c>
      <c r="O180" s="17" t="n"/>
      <c r="P180" s="17" t="n"/>
      <c r="Q180" s="17" t="n"/>
      <c r="R180" s="17" t="n">
        <v>495096.03</v>
      </c>
      <c r="S180" s="18" t="n">
        <v>24000</v>
      </c>
      <c r="T180" s="191" t="n">
        <v>153490.34</v>
      </c>
    </row>
    <row outlineLevel="0" r="181">
      <c r="A181" s="331" t="n">
        <f aca="false" ca="false" dt2D="false" dtr="false" t="normal">+A180+1</f>
        <v>166</v>
      </c>
      <c r="B181" s="6" t="n">
        <f aca="false" ca="false" dt2D="false" dtr="false" t="normal">+B180+1</f>
        <v>166</v>
      </c>
      <c r="C181" s="138" t="s">
        <v>751</v>
      </c>
      <c r="D181" s="138" t="s">
        <v>419</v>
      </c>
      <c r="E181" s="27" t="n">
        <f aca="false" ca="true" dt2D="false" dtr="false" t="normal">SUBTOTAL(9, F181:T181)</f>
        <v>9802331.11</v>
      </c>
      <c r="F181" s="17" t="n">
        <v>0</v>
      </c>
      <c r="G181" s="17" t="n">
        <v>0</v>
      </c>
      <c r="H181" s="195" t="n">
        <v>0</v>
      </c>
      <c r="I181" s="17" t="n">
        <v>0</v>
      </c>
      <c r="J181" s="17" t="n">
        <v>0</v>
      </c>
      <c r="K181" s="17" t="n"/>
      <c r="L181" s="17" t="n"/>
      <c r="M181" s="17" t="n">
        <v>0</v>
      </c>
      <c r="N181" s="17" t="n">
        <v>9802331.11</v>
      </c>
      <c r="O181" s="17" t="n">
        <v>0</v>
      </c>
      <c r="P181" s="17" t="n">
        <v>0</v>
      </c>
      <c r="Q181" s="17" t="n">
        <v>0</v>
      </c>
      <c r="R181" s="17" t="n"/>
      <c r="S181" s="18" t="n"/>
      <c r="T181" s="191" t="n"/>
    </row>
    <row outlineLevel="0" r="182">
      <c r="A182" s="331" t="n">
        <f aca="false" ca="false" dt2D="false" dtr="false" t="normal">+A181+1</f>
        <v>167</v>
      </c>
      <c r="B182" s="6" t="n">
        <f aca="false" ca="false" dt2D="false" dtr="false" t="normal">+B181+1</f>
        <v>167</v>
      </c>
      <c r="C182" s="138" t="s">
        <v>751</v>
      </c>
      <c r="D182" s="138" t="s">
        <v>422</v>
      </c>
      <c r="E182" s="27" t="n">
        <f aca="false" ca="true" dt2D="false" dtr="false" t="normal">SUBTOTAL(9, F182:T182)</f>
        <v>16952691.299999997</v>
      </c>
      <c r="F182" s="17" t="n">
        <v>7939864.5</v>
      </c>
      <c r="G182" s="17" t="n"/>
      <c r="H182" s="195" t="n">
        <v>4681160.4</v>
      </c>
      <c r="I182" s="17" t="n">
        <v>3537004.8</v>
      </c>
      <c r="J182" s="17" t="n"/>
      <c r="K182" s="17" t="n"/>
      <c r="L182" s="17" t="n"/>
      <c r="M182" s="17" t="n"/>
      <c r="N182" s="17" t="n"/>
      <c r="O182" s="17" t="n"/>
      <c r="P182" s="17" t="n"/>
      <c r="Q182" s="17" t="n"/>
      <c r="R182" s="17" t="n">
        <v>634398.13</v>
      </c>
      <c r="S182" s="18" t="n">
        <v>24000</v>
      </c>
      <c r="T182" s="191" t="n">
        <v>136263.47</v>
      </c>
    </row>
    <row outlineLevel="0" r="183">
      <c r="A183" s="331" t="n">
        <f aca="false" ca="false" dt2D="false" dtr="false" t="normal">+A182+1</f>
        <v>168</v>
      </c>
      <c r="B183" s="6" t="n">
        <f aca="false" ca="false" dt2D="false" dtr="false" t="normal">+B182+1</f>
        <v>168</v>
      </c>
      <c r="C183" s="138" t="s">
        <v>751</v>
      </c>
      <c r="D183" s="138" t="s">
        <v>423</v>
      </c>
      <c r="E183" s="27" t="n">
        <f aca="false" ca="true" dt2D="false" dtr="false" t="normal">SUBTOTAL(9, F183:T183)</f>
        <v>11455370.009999998</v>
      </c>
      <c r="F183" s="17" t="n">
        <v>5903245.2</v>
      </c>
      <c r="G183" s="17" t="n"/>
      <c r="H183" s="195" t="n">
        <v>3002210.4</v>
      </c>
      <c r="I183" s="17" t="n">
        <v>1923324</v>
      </c>
      <c r="J183" s="17" t="n"/>
      <c r="K183" s="17" t="n"/>
      <c r="L183" s="17" t="n"/>
      <c r="M183" s="17" t="n"/>
      <c r="N183" s="17" t="n"/>
      <c r="O183" s="17" t="n"/>
      <c r="P183" s="17" t="n"/>
      <c r="Q183" s="17" t="n"/>
      <c r="R183" s="17" t="n">
        <v>516618.54</v>
      </c>
      <c r="S183" s="18" t="n">
        <v>24000</v>
      </c>
      <c r="T183" s="191" t="n">
        <v>85971.87</v>
      </c>
    </row>
    <row outlineLevel="0" r="184">
      <c r="A184" s="331" t="n">
        <f aca="false" ca="false" dt2D="false" dtr="false" t="normal">+A183+1</f>
        <v>169</v>
      </c>
      <c r="B184" s="6" t="n">
        <f aca="false" ca="false" dt2D="false" dtr="false" t="normal">+B183+1</f>
        <v>169</v>
      </c>
      <c r="C184" s="138" t="s">
        <v>751</v>
      </c>
      <c r="D184" s="138" t="s">
        <v>425</v>
      </c>
      <c r="E184" s="27" t="n">
        <f aca="false" ca="true" dt2D="false" dtr="false" t="normal">SUBTOTAL(9, F184:T184)</f>
        <v>21555121.63</v>
      </c>
      <c r="F184" s="17" t="n">
        <v>11356723.2</v>
      </c>
      <c r="G184" s="17" t="n"/>
      <c r="H184" s="195" t="n">
        <v>5611190.4</v>
      </c>
      <c r="I184" s="17" t="n">
        <v>3761995.2</v>
      </c>
      <c r="J184" s="17" t="n"/>
      <c r="K184" s="17" t="n"/>
      <c r="L184" s="17" t="n"/>
      <c r="M184" s="17" t="n"/>
      <c r="N184" s="17" t="n"/>
      <c r="O184" s="17" t="n"/>
      <c r="P184" s="17" t="n"/>
      <c r="Q184" s="17" t="n"/>
      <c r="R184" s="17" t="n">
        <v>634436.54</v>
      </c>
      <c r="S184" s="18" t="n">
        <v>24000</v>
      </c>
      <c r="T184" s="191" t="n">
        <v>166776.29</v>
      </c>
    </row>
    <row outlineLevel="0" r="185">
      <c r="A185" s="331" t="n">
        <f aca="false" ca="false" dt2D="false" dtr="false" t="normal">+A184+1</f>
        <v>170</v>
      </c>
      <c r="B185" s="6" t="n">
        <f aca="false" ca="false" dt2D="false" dtr="false" t="normal">+B184+1</f>
        <v>170</v>
      </c>
      <c r="C185" s="138" t="s">
        <v>751</v>
      </c>
      <c r="D185" s="138" t="s">
        <v>428</v>
      </c>
      <c r="E185" s="27" t="n">
        <f aca="false" ca="true" dt2D="false" dtr="false" t="normal">SUBTOTAL(9, F185:T185)</f>
        <v>21555080.01</v>
      </c>
      <c r="F185" s="17" t="n">
        <v>11356723.2</v>
      </c>
      <c r="G185" s="17" t="n"/>
      <c r="H185" s="195" t="n">
        <v>5611190.4</v>
      </c>
      <c r="I185" s="17" t="n">
        <v>3761995.2</v>
      </c>
      <c r="J185" s="17" t="n"/>
      <c r="K185" s="17" t="n"/>
      <c r="L185" s="17" t="n"/>
      <c r="M185" s="17" t="n"/>
      <c r="N185" s="17" t="n"/>
      <c r="O185" s="17" t="n"/>
      <c r="P185" s="17" t="n"/>
      <c r="Q185" s="17" t="n"/>
      <c r="R185" s="17" t="n">
        <v>634394.92</v>
      </c>
      <c r="S185" s="18" t="n">
        <v>24000</v>
      </c>
      <c r="T185" s="191" t="n">
        <v>166776.29</v>
      </c>
    </row>
    <row outlineLevel="0" r="186">
      <c r="A186" s="331" t="n">
        <f aca="false" ca="false" dt2D="false" dtr="false" t="normal">+A185+1</f>
        <v>171</v>
      </c>
      <c r="B186" s="6" t="n">
        <f aca="false" ca="false" dt2D="false" dtr="false" t="normal">+B185+1</f>
        <v>171</v>
      </c>
      <c r="C186" s="138" t="s">
        <v>751</v>
      </c>
      <c r="D186" s="138" t="s">
        <v>430</v>
      </c>
      <c r="E186" s="27" t="n">
        <f aca="false" ca="true" dt2D="false" dtr="false" t="normal">SUBTOTAL(9, F186:T186)</f>
        <v>3733979.02</v>
      </c>
      <c r="F186" s="17" t="n">
        <v>3733979.02</v>
      </c>
      <c r="G186" s="17" t="n">
        <v>0</v>
      </c>
      <c r="H186" s="195" t="n">
        <v>0</v>
      </c>
      <c r="I186" s="17" t="n">
        <v>0</v>
      </c>
      <c r="J186" s="17" t="n">
        <v>0</v>
      </c>
      <c r="K186" s="17" t="n"/>
      <c r="L186" s="17" t="n"/>
      <c r="M186" s="17" t="n">
        <v>0</v>
      </c>
      <c r="N186" s="17" t="n">
        <v>0</v>
      </c>
      <c r="O186" s="17" t="n">
        <v>0</v>
      </c>
      <c r="P186" s="17" t="n">
        <v>0</v>
      </c>
      <c r="Q186" s="17" t="n">
        <v>0</v>
      </c>
      <c r="R186" s="17" t="n"/>
      <c r="S186" s="18" t="n"/>
      <c r="T186" s="191" t="n">
        <v>0</v>
      </c>
    </row>
    <row outlineLevel="0" r="187">
      <c r="A187" s="331" t="n">
        <f aca="false" ca="false" dt2D="false" dtr="false" t="normal">+A186+1</f>
        <v>172</v>
      </c>
      <c r="B187" s="6" t="n">
        <f aca="false" ca="false" dt2D="false" dtr="false" t="normal">+B186+1</f>
        <v>172</v>
      </c>
      <c r="C187" s="138" t="s">
        <v>751</v>
      </c>
      <c r="D187" s="138" t="s">
        <v>431</v>
      </c>
      <c r="E187" s="27" t="n">
        <f aca="false" ca="true" dt2D="false" dtr="false" t="normal">SUBTOTAL(9, F187:T187)</f>
        <v>5044368.49</v>
      </c>
      <c r="F187" s="17" t="n">
        <v>0</v>
      </c>
      <c r="G187" s="17" t="n">
        <v>0</v>
      </c>
      <c r="H187" s="195" t="n">
        <v>0</v>
      </c>
      <c r="I187" s="17" t="n">
        <v>0</v>
      </c>
      <c r="J187" s="17" t="n">
        <v>0</v>
      </c>
      <c r="K187" s="17" t="n"/>
      <c r="L187" s="17" t="n"/>
      <c r="M187" s="17" t="n">
        <v>0</v>
      </c>
      <c r="N187" s="17" t="n">
        <v>5044368.49</v>
      </c>
      <c r="O187" s="17" t="n">
        <v>0</v>
      </c>
      <c r="P187" s="17" t="n">
        <v>0</v>
      </c>
      <c r="Q187" s="17" t="n">
        <v>0</v>
      </c>
      <c r="R187" s="17" t="n"/>
      <c r="S187" s="18" t="n"/>
      <c r="T187" s="191" t="n"/>
    </row>
    <row outlineLevel="0" r="188">
      <c r="A188" s="331" t="n">
        <f aca="false" ca="false" dt2D="false" dtr="false" t="normal">+A187+1</f>
        <v>173</v>
      </c>
      <c r="B188" s="6" t="n">
        <f aca="false" ca="false" dt2D="false" dtr="false" t="normal">+B187+1</f>
        <v>173</v>
      </c>
      <c r="C188" s="138" t="s">
        <v>138</v>
      </c>
      <c r="D188" s="138" t="s">
        <v>432</v>
      </c>
      <c r="E188" s="27" t="n">
        <f aca="false" ca="true" dt2D="false" dtr="false" t="normal">SUBTOTAL(9, F188:T188)</f>
        <v>8528765.64</v>
      </c>
      <c r="F188" s="17" t="n">
        <v>0</v>
      </c>
      <c r="G188" s="17" t="n">
        <v>0</v>
      </c>
      <c r="H188" s="195" t="n">
        <v>1011024.23</v>
      </c>
      <c r="I188" s="17" t="n">
        <v>0</v>
      </c>
      <c r="J188" s="17" t="n"/>
      <c r="K188" s="17" t="n"/>
      <c r="L188" s="17" t="n"/>
      <c r="M188" s="17" t="n">
        <v>0</v>
      </c>
      <c r="N188" s="17" t="n">
        <v>0</v>
      </c>
      <c r="O188" s="17" t="n">
        <v>0</v>
      </c>
      <c r="P188" s="17" t="n">
        <v>4376437.43</v>
      </c>
      <c r="Q188" s="17" t="n">
        <v>3141303.98</v>
      </c>
      <c r="R188" s="17" t="n"/>
      <c r="S188" s="18" t="n"/>
      <c r="T188" s="191" t="n"/>
    </row>
    <row outlineLevel="0" r="189">
      <c r="A189" s="331" t="n">
        <f aca="false" ca="false" dt2D="false" dtr="false" t="normal">+A188+1</f>
        <v>174</v>
      </c>
      <c r="B189" s="6" t="n">
        <f aca="false" ca="false" dt2D="false" dtr="false" t="normal">+B188+1</f>
        <v>174</v>
      </c>
      <c r="C189" s="138" t="s">
        <v>138</v>
      </c>
      <c r="D189" s="138" t="s">
        <v>433</v>
      </c>
      <c r="E189" s="27" t="n">
        <f aca="false" ca="true" dt2D="false" dtr="false" t="normal">SUBTOTAL(9, F189:T189)</f>
        <v>1463481.27</v>
      </c>
      <c r="F189" s="17" t="n">
        <v>0</v>
      </c>
      <c r="G189" s="17" t="n">
        <v>0</v>
      </c>
      <c r="H189" s="195" t="n">
        <v>256799.44</v>
      </c>
      <c r="I189" s="17" t="n">
        <v>0</v>
      </c>
      <c r="J189" s="17" t="n">
        <v>0</v>
      </c>
      <c r="K189" s="17" t="n"/>
      <c r="L189" s="17" t="n"/>
      <c r="M189" s="17" t="n">
        <v>0</v>
      </c>
      <c r="N189" s="17" t="n">
        <v>0</v>
      </c>
      <c r="O189" s="17" t="n">
        <v>0</v>
      </c>
      <c r="P189" s="17" t="n">
        <v>0</v>
      </c>
      <c r="Q189" s="17" t="n">
        <v>1206681.83</v>
      </c>
      <c r="R189" s="17" t="n"/>
      <c r="S189" s="18" t="n"/>
      <c r="T189" s="191" t="n"/>
    </row>
    <row outlineLevel="0" r="190">
      <c r="A190" s="331" t="n">
        <f aca="false" ca="false" dt2D="false" dtr="false" t="normal">+A189+1</f>
        <v>175</v>
      </c>
      <c r="B190" s="6" t="n">
        <f aca="false" ca="false" dt2D="false" dtr="false" t="normal">+B189+1</f>
        <v>175</v>
      </c>
      <c r="C190" s="138" t="s">
        <v>141</v>
      </c>
      <c r="D190" s="138" t="s">
        <v>435</v>
      </c>
      <c r="E190" s="27" t="n">
        <f aca="false" ca="true" dt2D="false" dtr="false" t="normal">SUBTOTAL(9, F190:T190)</f>
        <v>749666.3940999999</v>
      </c>
      <c r="F190" s="17" t="n">
        <v>0</v>
      </c>
      <c r="G190" s="17" t="n">
        <v>0</v>
      </c>
      <c r="H190" s="195" t="n">
        <v>664753.07</v>
      </c>
      <c r="I190" s="17" t="n"/>
      <c r="J190" s="17" t="n">
        <v>0</v>
      </c>
      <c r="K190" s="17" t="n"/>
      <c r="L190" s="17" t="n"/>
      <c r="M190" s="17" t="n">
        <v>0</v>
      </c>
      <c r="N190" s="17" t="n">
        <v>0</v>
      </c>
      <c r="O190" s="17" t="n">
        <v>0</v>
      </c>
      <c r="P190" s="17" t="n">
        <v>0</v>
      </c>
      <c r="Q190" s="17" t="n">
        <v>0</v>
      </c>
      <c r="R190" s="17" t="n">
        <v>77193.931</v>
      </c>
      <c r="S190" s="18" t="n">
        <v>7719.3931</v>
      </c>
      <c r="T190" s="191" t="n"/>
    </row>
    <row outlineLevel="0" r="191">
      <c r="A191" s="331" t="n">
        <f aca="false" ca="false" dt2D="false" dtr="false" t="normal">+A190+1</f>
        <v>176</v>
      </c>
      <c r="B191" s="6" t="n">
        <f aca="false" ca="false" dt2D="false" dtr="false" t="normal">+B190+1</f>
        <v>176</v>
      </c>
      <c r="C191" s="138" t="s">
        <v>141</v>
      </c>
      <c r="D191" s="138" t="s">
        <v>437</v>
      </c>
      <c r="E191" s="27" t="n">
        <f aca="false" ca="true" dt2D="false" dtr="false" t="normal">SUBTOTAL(9, F191:T191)</f>
        <v>346555.42</v>
      </c>
      <c r="F191" s="17" t="n">
        <v>0</v>
      </c>
      <c r="G191" s="17" t="n">
        <v>0</v>
      </c>
      <c r="H191" s="195" t="n">
        <v>0</v>
      </c>
      <c r="I191" s="17" t="n">
        <v>346555.42</v>
      </c>
      <c r="J191" s="17" t="n"/>
      <c r="K191" s="17" t="n"/>
      <c r="L191" s="17" t="n"/>
      <c r="M191" s="17" t="n">
        <v>0</v>
      </c>
      <c r="N191" s="17" t="n">
        <v>0</v>
      </c>
      <c r="O191" s="17" t="n">
        <v>0</v>
      </c>
      <c r="P191" s="17" t="n">
        <v>0</v>
      </c>
      <c r="Q191" s="17" t="n">
        <v>0</v>
      </c>
      <c r="R191" s="17" t="n"/>
      <c r="S191" s="18" t="n"/>
      <c r="T191" s="191" t="n"/>
    </row>
    <row outlineLevel="0" r="192">
      <c r="A192" s="331" t="n">
        <f aca="false" ca="false" dt2D="false" dtr="false" t="normal">+A191+1</f>
        <v>177</v>
      </c>
      <c r="B192" s="6" t="n">
        <f aca="false" ca="false" dt2D="false" dtr="false" t="normal">+B191+1</f>
        <v>177</v>
      </c>
      <c r="C192" s="138" t="s">
        <v>141</v>
      </c>
      <c r="D192" s="138" t="s">
        <v>439</v>
      </c>
      <c r="E192" s="27" t="n">
        <f aca="false" ca="true" dt2D="false" dtr="false" t="normal">SUBTOTAL(9, F192:T192)</f>
        <v>8345806.4</v>
      </c>
      <c r="F192" s="17" t="n">
        <v>0</v>
      </c>
      <c r="G192" s="17" t="n">
        <v>0</v>
      </c>
      <c r="H192" s="195" t="n">
        <v>0</v>
      </c>
      <c r="I192" s="17" t="n"/>
      <c r="J192" s="17" t="n">
        <v>0</v>
      </c>
      <c r="K192" s="17" t="n"/>
      <c r="L192" s="17" t="n"/>
      <c r="M192" s="17" t="n">
        <v>0</v>
      </c>
      <c r="N192" s="17" t="n">
        <v>8345806.4</v>
      </c>
      <c r="O192" s="17" t="n">
        <v>0</v>
      </c>
      <c r="P192" s="17" t="n">
        <v>0</v>
      </c>
      <c r="Q192" s="17" t="n">
        <v>0</v>
      </c>
      <c r="R192" s="17" t="n"/>
      <c r="S192" s="18" t="n"/>
      <c r="T192" s="191" t="n"/>
    </row>
    <row outlineLevel="0" r="193">
      <c r="A193" s="331" t="n">
        <f aca="false" ca="false" dt2D="false" dtr="false" t="normal">+A192+1</f>
        <v>178</v>
      </c>
      <c r="B193" s="6" t="n">
        <f aca="false" ca="false" dt2D="false" dtr="false" t="normal">+B192+1</f>
        <v>178</v>
      </c>
      <c r="C193" s="138" t="s">
        <v>141</v>
      </c>
      <c r="D193" s="138" t="s">
        <v>441</v>
      </c>
      <c r="E193" s="27" t="n">
        <f aca="false" ca="true" dt2D="false" dtr="false" t="normal">SUBTOTAL(9, F193:T193)</f>
        <v>363946.04</v>
      </c>
      <c r="F193" s="17" t="n"/>
      <c r="G193" s="17" t="n">
        <v>0</v>
      </c>
      <c r="H193" s="195" t="n"/>
      <c r="I193" s="17" t="n">
        <v>363946.04</v>
      </c>
      <c r="J193" s="17" t="n">
        <v>0</v>
      </c>
      <c r="K193" s="17" t="n"/>
      <c r="L193" s="17" t="n"/>
      <c r="M193" s="17" t="n">
        <v>0</v>
      </c>
      <c r="N193" s="17" t="n">
        <v>0</v>
      </c>
      <c r="O193" s="17" t="n">
        <v>0</v>
      </c>
      <c r="P193" s="17" t="n">
        <v>0</v>
      </c>
      <c r="Q193" s="17" t="n">
        <v>0</v>
      </c>
      <c r="R193" s="17" t="n"/>
      <c r="S193" s="18" t="n"/>
      <c r="T193" s="191" t="n"/>
    </row>
    <row outlineLevel="0" r="194">
      <c r="A194" s="331" t="n">
        <f aca="false" ca="false" dt2D="false" dtr="false" t="normal">+A193+1</f>
        <v>179</v>
      </c>
      <c r="B194" s="6" t="n">
        <f aca="false" ca="false" dt2D="false" dtr="false" t="normal">+B193+1</f>
        <v>179</v>
      </c>
      <c r="C194" s="138" t="s">
        <v>141</v>
      </c>
      <c r="D194" s="138" t="s">
        <v>443</v>
      </c>
      <c r="E194" s="27" t="n">
        <f aca="false" ca="true" dt2D="false" dtr="false" t="normal">SUBTOTAL(9, F194:T194)</f>
        <v>1321350.85</v>
      </c>
      <c r="F194" s="17" t="n">
        <v>0</v>
      </c>
      <c r="G194" s="17" t="n">
        <v>0</v>
      </c>
      <c r="H194" s="195" t="n">
        <v>0</v>
      </c>
      <c r="I194" s="17" t="n">
        <v>1321350.85</v>
      </c>
      <c r="J194" s="17" t="n"/>
      <c r="K194" s="17" t="n"/>
      <c r="L194" s="17" t="n"/>
      <c r="M194" s="17" t="n">
        <v>0</v>
      </c>
      <c r="N194" s="17" t="n">
        <v>0</v>
      </c>
      <c r="O194" s="17" t="n">
        <v>0</v>
      </c>
      <c r="P194" s="17" t="n">
        <v>0</v>
      </c>
      <c r="Q194" s="17" t="n">
        <v>0</v>
      </c>
      <c r="R194" s="17" t="n"/>
      <c r="S194" s="18" t="n"/>
      <c r="T194" s="191" t="n"/>
    </row>
    <row outlineLevel="0" r="195">
      <c r="A195" s="331" t="n">
        <f aca="false" ca="false" dt2D="false" dtr="false" t="normal">+A194+1</f>
        <v>180</v>
      </c>
      <c r="B195" s="6" t="n">
        <f aca="false" ca="false" dt2D="false" dtr="false" t="normal">+B194+1</f>
        <v>180</v>
      </c>
      <c r="C195" s="138" t="s">
        <v>141</v>
      </c>
      <c r="D195" s="138" t="s">
        <v>445</v>
      </c>
      <c r="E195" s="27" t="n">
        <f aca="false" ca="true" dt2D="false" dtr="false" t="normal">SUBTOTAL(9, F195:T195)</f>
        <v>3253286.45</v>
      </c>
      <c r="F195" s="17" t="n"/>
      <c r="G195" s="17" t="n">
        <v>0</v>
      </c>
      <c r="H195" s="195" t="n">
        <v>0</v>
      </c>
      <c r="I195" s="17" t="n">
        <v>0</v>
      </c>
      <c r="J195" s="17" t="n"/>
      <c r="K195" s="17" t="n"/>
      <c r="L195" s="17" t="n"/>
      <c r="M195" s="17" t="n">
        <v>0</v>
      </c>
      <c r="N195" s="17" t="n">
        <v>0</v>
      </c>
      <c r="O195" s="17" t="n">
        <v>0</v>
      </c>
      <c r="P195" s="17" t="n"/>
      <c r="Q195" s="17" t="n">
        <v>3253286.45</v>
      </c>
      <c r="R195" s="17" t="n"/>
      <c r="S195" s="18" t="n"/>
      <c r="T195" s="191" t="n"/>
    </row>
    <row outlineLevel="0" r="196">
      <c r="A196" s="331" t="n">
        <f aca="false" ca="false" dt2D="false" dtr="false" t="normal">+A195+1</f>
        <v>181</v>
      </c>
      <c r="B196" s="6" t="n">
        <f aca="false" ca="false" dt2D="false" dtr="false" t="normal">+B195+1</f>
        <v>181</v>
      </c>
      <c r="C196" s="138" t="s">
        <v>141</v>
      </c>
      <c r="D196" s="138" t="s">
        <v>446</v>
      </c>
      <c r="E196" s="27" t="n">
        <f aca="false" ca="true" dt2D="false" dtr="false" t="normal">SUBTOTAL(9, F196:T196)</f>
        <v>1159407.59</v>
      </c>
      <c r="F196" s="17" t="n"/>
      <c r="G196" s="17" t="n"/>
      <c r="H196" s="195" t="n">
        <v>667653.5</v>
      </c>
      <c r="I196" s="17" t="n">
        <v>491754.09</v>
      </c>
      <c r="J196" s="17" t="n"/>
      <c r="K196" s="17" t="n"/>
      <c r="L196" s="17" t="n"/>
      <c r="M196" s="17" t="n">
        <v>0</v>
      </c>
      <c r="N196" s="17" t="n">
        <v>0</v>
      </c>
      <c r="O196" s="17" t="n">
        <v>0</v>
      </c>
      <c r="P196" s="17" t="n">
        <v>0</v>
      </c>
      <c r="Q196" s="17" t="n">
        <v>0</v>
      </c>
      <c r="R196" s="17" t="n"/>
      <c r="S196" s="18" t="n"/>
      <c r="T196" s="191" t="n"/>
    </row>
    <row outlineLevel="0" r="197">
      <c r="A197" s="331" t="n">
        <f aca="false" ca="false" dt2D="false" dtr="false" t="normal">+A196+1</f>
        <v>182</v>
      </c>
      <c r="B197" s="6" t="n">
        <f aca="false" ca="false" dt2D="false" dtr="false" t="normal">+B196+1</f>
        <v>182</v>
      </c>
      <c r="C197" s="138" t="s">
        <v>141</v>
      </c>
      <c r="D197" s="138" t="s">
        <v>447</v>
      </c>
      <c r="E197" s="27" t="n">
        <f aca="false" ca="true" dt2D="false" dtr="false" t="normal">SUBTOTAL(9, F197:T197)</f>
        <v>1990765.32</v>
      </c>
      <c r="F197" s="17" t="n">
        <v>0</v>
      </c>
      <c r="G197" s="17" t="n">
        <v>0</v>
      </c>
      <c r="H197" s="195" t="n"/>
      <c r="I197" s="17" t="n">
        <v>1990765.32</v>
      </c>
      <c r="J197" s="17" t="n"/>
      <c r="K197" s="17" t="n"/>
      <c r="L197" s="17" t="n"/>
      <c r="M197" s="17" t="n">
        <v>0</v>
      </c>
      <c r="N197" s="17" t="n">
        <v>0</v>
      </c>
      <c r="O197" s="17" t="n">
        <v>0</v>
      </c>
      <c r="P197" s="17" t="n">
        <v>0</v>
      </c>
      <c r="Q197" s="17" t="n">
        <v>0</v>
      </c>
      <c r="R197" s="17" t="n"/>
      <c r="S197" s="18" t="n"/>
      <c r="T197" s="191" t="n"/>
    </row>
    <row outlineLevel="0" r="198">
      <c r="A198" s="331" t="n">
        <f aca="false" ca="false" dt2D="false" dtr="false" t="normal">+A197+1</f>
        <v>183</v>
      </c>
      <c r="B198" s="6" t="n">
        <f aca="false" ca="false" dt2D="false" dtr="false" t="normal">+B197+1</f>
        <v>183</v>
      </c>
      <c r="C198" s="138" t="s">
        <v>141</v>
      </c>
      <c r="D198" s="138" t="s">
        <v>448</v>
      </c>
      <c r="E198" s="27" t="n">
        <f aca="false" ca="true" dt2D="false" dtr="false" t="normal">SUBTOTAL(9, F198:T198)</f>
        <v>6113601.88</v>
      </c>
      <c r="F198" s="17" t="n">
        <v>0</v>
      </c>
      <c r="G198" s="17" t="n">
        <v>0</v>
      </c>
      <c r="H198" s="195" t="n">
        <v>0</v>
      </c>
      <c r="I198" s="17" t="n">
        <v>0</v>
      </c>
      <c r="J198" s="17" t="n"/>
      <c r="K198" s="17" t="n"/>
      <c r="L198" s="17" t="n"/>
      <c r="M198" s="17" t="n">
        <v>0</v>
      </c>
      <c r="N198" s="17" t="n">
        <v>0</v>
      </c>
      <c r="O198" s="17" t="n">
        <v>0</v>
      </c>
      <c r="P198" s="17" t="n">
        <v>6113601.88</v>
      </c>
      <c r="Q198" s="17" t="n"/>
      <c r="R198" s="17" t="n"/>
      <c r="S198" s="18" t="n"/>
      <c r="T198" s="191" t="n"/>
    </row>
    <row outlineLevel="0" r="199">
      <c r="A199" s="331" t="n">
        <f aca="false" ca="false" dt2D="false" dtr="false" t="normal">+A198+1</f>
        <v>184</v>
      </c>
      <c r="B199" s="6" t="n">
        <f aca="false" ca="false" dt2D="false" dtr="false" t="normal">+B198+1</f>
        <v>184</v>
      </c>
      <c r="C199" s="138" t="s">
        <v>141</v>
      </c>
      <c r="D199" s="138" t="s">
        <v>449</v>
      </c>
      <c r="E199" s="27" t="n">
        <f aca="false" ca="true" dt2D="false" dtr="false" t="normal">SUBTOTAL(9, F199:T199)</f>
        <v>18044694.39</v>
      </c>
      <c r="F199" s="17" t="n">
        <v>4878537.09</v>
      </c>
      <c r="G199" s="17" t="n">
        <v>0</v>
      </c>
      <c r="H199" s="195" t="n">
        <v>0</v>
      </c>
      <c r="I199" s="17" t="n">
        <v>0</v>
      </c>
      <c r="J199" s="17" t="n"/>
      <c r="K199" s="17" t="n"/>
      <c r="L199" s="17" t="n"/>
      <c r="M199" s="17" t="n">
        <v>0</v>
      </c>
      <c r="N199" s="17" t="n">
        <v>0</v>
      </c>
      <c r="O199" s="17" t="n">
        <v>0</v>
      </c>
      <c r="P199" s="17" t="n">
        <v>5994057.42</v>
      </c>
      <c r="Q199" s="17" t="n">
        <v>7172099.88</v>
      </c>
      <c r="R199" s="17" t="n"/>
      <c r="S199" s="18" t="n"/>
      <c r="T199" s="191" t="n"/>
      <c r="U199" s="0" t="n"/>
      <c r="V199" s="333" t="n"/>
      <c r="W199" s="0" t="n"/>
      <c r="X199" s="0" t="n"/>
      <c r="Y199" s="0" t="n"/>
      <c r="Z199" s="0" t="n"/>
      <c r="AA199" s="0" t="n"/>
      <c r="AB199" s="0" t="n"/>
      <c r="AC199" s="0" t="n"/>
      <c r="AD199" s="0" t="n"/>
      <c r="AE199" s="0" t="n"/>
      <c r="AF199" s="0" t="n"/>
      <c r="AG199" s="0" t="n"/>
      <c r="AH199" s="0" t="n"/>
      <c r="AI199" s="0" t="n"/>
      <c r="AJ199" s="0" t="n"/>
      <c r="AK199" s="0" t="n"/>
      <c r="AL199" s="0" t="n"/>
      <c r="AM199" s="0" t="n"/>
      <c r="AN199" s="0" t="n"/>
      <c r="AO199" s="0" t="n"/>
      <c r="AP199" s="0" t="n"/>
      <c r="AQ199" s="0" t="n"/>
      <c r="AR199" s="0" t="n"/>
      <c r="AS199" s="0" t="n"/>
      <c r="AT199" s="0" t="n"/>
      <c r="AU199" s="0" t="n"/>
      <c r="AV199" s="0" t="n"/>
      <c r="AW199" s="0" t="n"/>
      <c r="AX199" s="0" t="n"/>
      <c r="AY199" s="0" t="n"/>
      <c r="AZ199" s="0" t="n"/>
      <c r="BA199" s="0" t="n"/>
      <c r="BB199" s="0" t="n"/>
      <c r="BC199" s="0" t="n"/>
      <c r="BD199" s="0" t="n"/>
      <c r="BE199" s="0" t="n"/>
      <c r="BF199" s="0" t="n"/>
      <c r="BG199" s="0" t="n"/>
      <c r="BH199" s="0" t="n"/>
      <c r="BI199" s="0" t="n"/>
      <c r="BJ199" s="0" t="n"/>
      <c r="BK199" s="0" t="n"/>
      <c r="BL199" s="0" t="n"/>
      <c r="BM199" s="0" t="n"/>
      <c r="BN199" s="0" t="n"/>
      <c r="BO199" s="0" t="n"/>
      <c r="BP199" s="0" t="n"/>
    </row>
    <row outlineLevel="0" r="200">
      <c r="A200" s="331" t="n">
        <f aca="false" ca="false" dt2D="false" dtr="false" t="normal">+A199+1</f>
        <v>185</v>
      </c>
      <c r="B200" s="6" t="n">
        <f aca="false" ca="false" dt2D="false" dtr="false" t="normal">+B199+1</f>
        <v>185</v>
      </c>
      <c r="C200" s="138" t="s">
        <v>141</v>
      </c>
      <c r="D200" s="138" t="s">
        <v>451</v>
      </c>
      <c r="E200" s="27" t="n">
        <f aca="false" ca="true" dt2D="false" dtr="false" t="normal">SUBTOTAL(9, F200:T200)</f>
        <v>1207654.75</v>
      </c>
      <c r="F200" s="17" t="n">
        <v>0</v>
      </c>
      <c r="G200" s="17" t="n">
        <v>0</v>
      </c>
      <c r="H200" s="195" t="n">
        <v>1207654.75</v>
      </c>
      <c r="I200" s="17" t="n">
        <v>0</v>
      </c>
      <c r="J200" s="17" t="n">
        <v>0</v>
      </c>
      <c r="K200" s="17" t="n"/>
      <c r="L200" s="17" t="n"/>
      <c r="M200" s="17" t="n">
        <v>0</v>
      </c>
      <c r="N200" s="17" t="n">
        <v>0</v>
      </c>
      <c r="O200" s="17" t="n">
        <v>0</v>
      </c>
      <c r="P200" s="17" t="n">
        <v>0</v>
      </c>
      <c r="Q200" s="17" t="n">
        <v>0</v>
      </c>
      <c r="R200" s="17" t="n"/>
      <c r="S200" s="18" t="n"/>
      <c r="T200" s="191" t="n"/>
      <c r="U200" s="0" t="n"/>
      <c r="V200" s="333" t="n"/>
      <c r="W200" s="0" t="n"/>
      <c r="X200" s="0" t="n"/>
      <c r="Y200" s="0" t="n"/>
      <c r="Z200" s="0" t="n"/>
      <c r="AA200" s="0" t="n"/>
      <c r="AB200" s="0" t="n"/>
      <c r="AC200" s="0" t="n"/>
      <c r="AD200" s="0" t="n"/>
      <c r="AE200" s="0" t="n"/>
      <c r="AF200" s="0" t="n"/>
      <c r="AG200" s="0" t="n"/>
      <c r="AH200" s="0" t="n"/>
      <c r="AI200" s="0" t="n"/>
      <c r="AJ200" s="0" t="n"/>
      <c r="AK200" s="0" t="n"/>
      <c r="AL200" s="0" t="n"/>
      <c r="AM200" s="0" t="n"/>
      <c r="AN200" s="0" t="n"/>
      <c r="AO200" s="0" t="n"/>
      <c r="AP200" s="0" t="n"/>
      <c r="AQ200" s="0" t="n"/>
      <c r="AR200" s="0" t="n"/>
      <c r="AS200" s="0" t="n"/>
      <c r="AT200" s="0" t="n"/>
      <c r="AU200" s="0" t="n"/>
      <c r="AV200" s="0" t="n"/>
      <c r="AW200" s="0" t="n"/>
      <c r="AX200" s="0" t="n"/>
      <c r="AY200" s="0" t="n"/>
      <c r="AZ200" s="0" t="n"/>
      <c r="BA200" s="0" t="n"/>
      <c r="BB200" s="0" t="n"/>
      <c r="BC200" s="0" t="n"/>
      <c r="BD200" s="0" t="n"/>
      <c r="BE200" s="0" t="n"/>
      <c r="BF200" s="0" t="n"/>
      <c r="BG200" s="0" t="n"/>
      <c r="BH200" s="0" t="n"/>
      <c r="BI200" s="0" t="n"/>
      <c r="BJ200" s="0" t="n"/>
      <c r="BK200" s="0" t="n"/>
      <c r="BL200" s="0" t="n"/>
      <c r="BM200" s="0" t="n"/>
      <c r="BN200" s="0" t="n"/>
      <c r="BO200" s="0" t="n"/>
      <c r="BP200" s="0" t="n"/>
    </row>
    <row outlineLevel="0" r="201">
      <c r="A201" s="331" t="n">
        <f aca="false" ca="false" dt2D="false" dtr="false" t="normal">+A200+1</f>
        <v>186</v>
      </c>
      <c r="B201" s="6" t="n">
        <f aca="false" ca="false" dt2D="false" dtr="false" t="normal">+B200+1</f>
        <v>186</v>
      </c>
      <c r="C201" s="138" t="s">
        <v>177</v>
      </c>
      <c r="D201" s="138" t="s">
        <v>752</v>
      </c>
      <c r="E201" s="27" t="n">
        <f aca="false" ca="true" dt2D="false" dtr="false" t="normal">SUBTOTAL(9, F201:T201)</f>
        <v>4254086.16</v>
      </c>
      <c r="F201" s="17" t="n"/>
      <c r="G201" s="17" t="n"/>
      <c r="H201" s="195" t="n"/>
      <c r="I201" s="17" t="n"/>
      <c r="J201" s="17" t="n"/>
      <c r="K201" s="17" t="n"/>
      <c r="L201" s="17" t="n"/>
      <c r="M201" s="17" t="n"/>
      <c r="N201" s="17" t="n">
        <v>4254086.16</v>
      </c>
      <c r="O201" s="17" t="n"/>
      <c r="P201" s="17" t="n"/>
      <c r="Q201" s="17" t="n"/>
      <c r="R201" s="17" t="n"/>
      <c r="S201" s="17" t="n"/>
      <c r="T201" s="17" t="n"/>
      <c r="U201" s="0" t="n"/>
      <c r="V201" s="333" t="n"/>
      <c r="W201" s="0" t="n"/>
      <c r="X201" s="0" t="n"/>
      <c r="Y201" s="0" t="n"/>
      <c r="Z201" s="0" t="n"/>
      <c r="AA201" s="0" t="n"/>
      <c r="AB201" s="0" t="n"/>
      <c r="AC201" s="0" t="n"/>
      <c r="AD201" s="0" t="n"/>
      <c r="AE201" s="0" t="n"/>
      <c r="AF201" s="0" t="n"/>
      <c r="AG201" s="0" t="n"/>
      <c r="AH201" s="0" t="n"/>
      <c r="AI201" s="0" t="n"/>
      <c r="AJ201" s="0" t="n"/>
      <c r="AK201" s="0" t="n"/>
      <c r="AL201" s="0" t="n"/>
      <c r="AM201" s="0" t="n"/>
      <c r="AN201" s="0" t="n"/>
      <c r="AO201" s="0" t="n"/>
      <c r="AP201" s="0" t="n"/>
      <c r="AQ201" s="0" t="n"/>
      <c r="AR201" s="0" t="n"/>
      <c r="AS201" s="0" t="n"/>
      <c r="AT201" s="0" t="n"/>
      <c r="AU201" s="0" t="n"/>
      <c r="AV201" s="0" t="n"/>
      <c r="AW201" s="0" t="n"/>
      <c r="AX201" s="0" t="n"/>
      <c r="AY201" s="0" t="n"/>
      <c r="AZ201" s="0" t="n"/>
      <c r="BA201" s="0" t="n"/>
      <c r="BB201" s="0" t="n"/>
      <c r="BC201" s="0" t="n"/>
      <c r="BD201" s="0" t="n"/>
      <c r="BE201" s="0" t="n"/>
      <c r="BF201" s="0" t="n"/>
      <c r="BG201" s="0" t="n"/>
      <c r="BH201" s="0" t="n"/>
      <c r="BI201" s="0" t="n"/>
      <c r="BJ201" s="0" t="n"/>
      <c r="BK201" s="0" t="n"/>
      <c r="BL201" s="0" t="n"/>
      <c r="BM201" s="0" t="n"/>
      <c r="BN201" s="0" t="n"/>
      <c r="BO201" s="0" t="n"/>
      <c r="BP201" s="0" t="n"/>
    </row>
    <row outlineLevel="0" r="202">
      <c r="A202" s="331" t="n">
        <f aca="false" ca="false" dt2D="false" dtr="false" t="normal">+A201+1</f>
        <v>187</v>
      </c>
      <c r="B202" s="6" t="n">
        <f aca="false" ca="false" dt2D="false" dtr="false" t="normal">+B201+1</f>
        <v>187</v>
      </c>
      <c r="C202" s="1" t="s">
        <v>753</v>
      </c>
      <c r="D202" s="138" t="s">
        <v>455</v>
      </c>
      <c r="E202" s="27" t="n">
        <f aca="false" ca="true" dt2D="false" dtr="false" t="normal">SUBTOTAL(9, F202:T202)</f>
        <v>566057.97</v>
      </c>
      <c r="F202" s="17" t="n"/>
      <c r="G202" s="17" t="n"/>
      <c r="H202" s="195" t="n"/>
      <c r="I202" s="17" t="n"/>
      <c r="J202" s="17" t="n"/>
      <c r="K202" s="17" t="n"/>
      <c r="L202" s="17" t="n"/>
      <c r="M202" s="17" t="n"/>
      <c r="N202" s="17" t="n">
        <v>194953.44</v>
      </c>
      <c r="O202" s="17" t="n"/>
      <c r="P202" s="17" t="n">
        <v>371104.53</v>
      </c>
      <c r="Q202" s="17" t="n"/>
      <c r="R202" s="17" t="n"/>
      <c r="S202" s="17" t="n"/>
      <c r="T202" s="17" t="n"/>
      <c r="U202" s="0" t="n"/>
      <c r="V202" s="333" t="n"/>
      <c r="W202" s="0" t="n"/>
      <c r="X202" s="0" t="n"/>
      <c r="Y202" s="0" t="n"/>
      <c r="Z202" s="0" t="n"/>
      <c r="AA202" s="0" t="n"/>
      <c r="AB202" s="0" t="n"/>
      <c r="AC202" s="0" t="n"/>
      <c r="AD202" s="0" t="n"/>
      <c r="AE202" s="0" t="n"/>
      <c r="AF202" s="0" t="n"/>
      <c r="AG202" s="0" t="n"/>
      <c r="AH202" s="0" t="n"/>
      <c r="AI202" s="0" t="n"/>
      <c r="AJ202" s="0" t="n"/>
      <c r="AK202" s="0" t="n"/>
      <c r="AL202" s="0" t="n"/>
      <c r="AM202" s="0" t="n"/>
      <c r="AN202" s="0" t="n"/>
      <c r="AO202" s="0" t="n"/>
      <c r="AP202" s="0" t="n"/>
      <c r="AQ202" s="0" t="n"/>
      <c r="AR202" s="0" t="n"/>
      <c r="AS202" s="0" t="n"/>
      <c r="AT202" s="0" t="n"/>
      <c r="AU202" s="0" t="n"/>
      <c r="AV202" s="0" t="n"/>
      <c r="AW202" s="0" t="n"/>
      <c r="AX202" s="0" t="n"/>
      <c r="AY202" s="0" t="n"/>
      <c r="AZ202" s="0" t="n"/>
      <c r="BA202" s="0" t="n"/>
      <c r="BB202" s="0" t="n"/>
      <c r="BC202" s="0" t="n"/>
      <c r="BD202" s="0" t="n"/>
      <c r="BE202" s="0" t="n"/>
      <c r="BF202" s="0" t="n"/>
      <c r="BG202" s="0" t="n"/>
      <c r="BH202" s="0" t="n"/>
      <c r="BI202" s="0" t="n"/>
      <c r="BJ202" s="0" t="n"/>
      <c r="BK202" s="0" t="n"/>
      <c r="BL202" s="0" t="n"/>
      <c r="BM202" s="0" t="n"/>
      <c r="BN202" s="0" t="n"/>
      <c r="BO202" s="0" t="n"/>
      <c r="BP202" s="0" t="n"/>
    </row>
    <row outlineLevel="0" r="203">
      <c r="A203" s="343" t="n">
        <f aca="false" ca="false" dt2D="false" dtr="false" t="normal">+A202+1</f>
        <v>188</v>
      </c>
      <c r="B203" s="344" t="n">
        <f aca="false" ca="false" dt2D="false" dtr="false" t="normal">+B202+1</f>
        <v>188</v>
      </c>
      <c r="C203" s="1" t="s">
        <v>753</v>
      </c>
      <c r="D203" s="219" t="s">
        <v>461</v>
      </c>
      <c r="E203" s="345" t="n">
        <f aca="false" ca="true" dt2D="false" dtr="false" t="normal">SUBTOTAL(9, F203:T203)</f>
        <v>10770762.3</v>
      </c>
      <c r="F203" s="207" t="n"/>
      <c r="G203" s="207" t="n"/>
      <c r="H203" s="208" t="n"/>
      <c r="I203" s="207" t="n"/>
      <c r="J203" s="207" t="n"/>
      <c r="K203" s="207" t="n"/>
      <c r="L203" s="207" t="n"/>
      <c r="M203" s="207" t="n"/>
      <c r="N203" s="207" t="n">
        <v>5195058.41</v>
      </c>
      <c r="O203" s="207" t="n"/>
      <c r="P203" s="207" t="n">
        <v>5575703.89</v>
      </c>
      <c r="Q203" s="207" t="n"/>
      <c r="R203" s="207" t="n"/>
      <c r="S203" s="207" t="n"/>
      <c r="T203" s="207" t="n"/>
      <c r="U203" s="0" t="n"/>
      <c r="V203" s="333" t="n"/>
      <c r="W203" s="0" t="n"/>
      <c r="X203" s="0" t="n"/>
      <c r="Y203" s="0" t="n"/>
      <c r="Z203" s="0" t="n"/>
      <c r="AA203" s="0" t="n"/>
      <c r="AB203" s="0" t="n"/>
      <c r="AC203" s="0" t="n"/>
      <c r="AD203" s="0" t="n"/>
      <c r="AE203" s="0" t="n"/>
      <c r="AF203" s="0" t="n"/>
      <c r="AG203" s="0" t="n"/>
      <c r="AH203" s="0" t="n"/>
      <c r="AI203" s="0" t="n"/>
      <c r="AJ203" s="0" t="n"/>
      <c r="AK203" s="0" t="n"/>
      <c r="AL203" s="0" t="n"/>
      <c r="AM203" s="0" t="n"/>
      <c r="AN203" s="0" t="n"/>
      <c r="AO203" s="0" t="n"/>
      <c r="AP203" s="0" t="n"/>
      <c r="AQ203" s="0" t="n"/>
      <c r="AR203" s="0" t="n"/>
      <c r="AS203" s="0" t="n"/>
      <c r="AT203" s="0" t="n"/>
      <c r="AU203" s="0" t="n"/>
      <c r="AV203" s="0" t="n"/>
      <c r="AW203" s="0" t="n"/>
      <c r="AX203" s="0" t="n"/>
      <c r="AY203" s="0" t="n"/>
      <c r="AZ203" s="0" t="n"/>
      <c r="BA203" s="0" t="n"/>
      <c r="BB203" s="0" t="n"/>
      <c r="BC203" s="0" t="n"/>
      <c r="BD203" s="0" t="n"/>
      <c r="BE203" s="0" t="n"/>
      <c r="BF203" s="0" t="n"/>
      <c r="BG203" s="0" t="n"/>
      <c r="BH203" s="0" t="n"/>
      <c r="BI203" s="0" t="n"/>
      <c r="BJ203" s="0" t="n"/>
      <c r="BK203" s="0" t="n"/>
      <c r="BL203" s="0" t="n"/>
      <c r="BM203" s="0" t="n"/>
      <c r="BN203" s="0" t="n"/>
      <c r="BO203" s="0" t="n"/>
      <c r="BP203" s="0" t="n"/>
    </row>
    <row outlineLevel="0" r="204">
      <c r="A204" s="346" t="n"/>
      <c r="B204" s="347" t="n"/>
      <c r="C204" s="166" t="n"/>
      <c r="D204" s="348" t="n">
        <v>2023</v>
      </c>
      <c r="E204" s="211" t="n">
        <f aca="false" ca="false" dt2D="false" dtr="false" t="normal">SUM(E205:E476)</f>
        <v>2357254214.9056287</v>
      </c>
      <c r="F204" s="211" t="n">
        <f aca="false" ca="false" dt2D="false" dtr="false" t="normal">SUM(F205:F476)</f>
        <v>370237572.1219998</v>
      </c>
      <c r="G204" s="211" t="n">
        <f aca="false" ca="false" dt2D="false" dtr="false" t="normal">SUM(G205:G476)</f>
        <v>95469739.89</v>
      </c>
      <c r="H204" s="211" t="n">
        <f aca="false" ca="false" dt2D="false" dtr="false" t="normal">SUM(H205:H476)</f>
        <v>156384312.50000012</v>
      </c>
      <c r="I204" s="211" t="n">
        <f aca="false" ca="false" dt2D="false" dtr="false" t="normal">SUM(I205:I476)</f>
        <v>98009059.79</v>
      </c>
      <c r="J204" s="211" t="n">
        <f aca="false" ca="false" dt2D="false" dtr="false" t="normal">SUM(J205:J476)</f>
        <v>24461049.95</v>
      </c>
      <c r="K204" s="211" t="n">
        <f aca="false" ca="false" dt2D="false" dtr="false" t="normal">SUM(K205:K476)</f>
        <v>0</v>
      </c>
      <c r="L204" s="211" t="n">
        <f aca="false" ca="false" dt2D="false" dtr="false" t="normal">SUM(L205:L476)</f>
        <v>1515829.2</v>
      </c>
      <c r="M204" s="211" t="n">
        <f aca="false" ca="false" dt2D="false" dtr="false" t="normal">SUM(M205:M476)</f>
        <v>70747186.21000001</v>
      </c>
      <c r="N204" s="211" t="n">
        <f aca="false" ca="false" dt2D="false" dtr="false" t="normal">SUM(N205:N476)</f>
        <v>493044101.2350254</v>
      </c>
      <c r="O204" s="211" t="n">
        <f aca="false" ca="false" dt2D="false" dtr="false" t="normal">SUM(O205:O476)</f>
        <v>55019781.86</v>
      </c>
      <c r="P204" s="211" t="n">
        <f aca="false" ca="false" dt2D="false" dtr="false" t="normal">SUM(P205:P476)</f>
        <v>632269454.81</v>
      </c>
      <c r="Q204" s="211" t="n">
        <f aca="false" ca="false" dt2D="false" dtr="false" t="normal">SUM(Q205:Q476)</f>
        <v>326730280.5599999</v>
      </c>
      <c r="R204" s="211" t="n">
        <f aca="false" ca="false" dt2D="false" dtr="false" t="normal">SUM(R205:R476)</f>
        <v>26416260.585307494</v>
      </c>
      <c r="S204" s="211" t="n">
        <f aca="false" ca="false" dt2D="false" dtr="false" t="normal">SUM(S205:S476)</f>
        <v>1673742.3299999998</v>
      </c>
      <c r="T204" s="211" t="n">
        <f aca="false" ca="false" dt2D="false" dtr="false" t="normal">SUM(T205:T476)</f>
        <v>5275843.863296884</v>
      </c>
      <c r="U204" s="0" t="n"/>
      <c r="V204" s="333" t="n"/>
      <c r="W204" s="0" t="n"/>
      <c r="X204" s="0" t="n"/>
      <c r="Y204" s="0" t="n"/>
      <c r="Z204" s="0" t="n"/>
      <c r="AA204" s="0" t="n"/>
      <c r="AB204" s="0" t="n"/>
      <c r="AC204" s="0" t="n"/>
      <c r="AD204" s="0" t="n"/>
      <c r="AE204" s="0" t="n"/>
      <c r="AF204" s="0" t="n"/>
      <c r="AG204" s="0" t="n"/>
      <c r="AH204" s="0" t="n"/>
      <c r="AI204" s="0" t="n"/>
      <c r="AJ204" s="0" t="n"/>
      <c r="AK204" s="0" t="n"/>
      <c r="AL204" s="0" t="n"/>
      <c r="AM204" s="0" t="n"/>
      <c r="AN204" s="0" t="n"/>
      <c r="AO204" s="0" t="n"/>
      <c r="AP204" s="0" t="n"/>
      <c r="AQ204" s="0" t="n"/>
      <c r="AR204" s="0" t="n"/>
      <c r="AS204" s="0" t="n"/>
      <c r="AT204" s="0" t="n"/>
      <c r="AU204" s="0" t="n"/>
      <c r="AV204" s="0" t="n"/>
      <c r="AW204" s="0" t="n"/>
      <c r="AX204" s="0" t="n"/>
      <c r="AY204" s="0" t="n"/>
      <c r="AZ204" s="0" t="n"/>
      <c r="BA204" s="0" t="n"/>
      <c r="BB204" s="0" t="n"/>
      <c r="BC204" s="0" t="n"/>
      <c r="BD204" s="0" t="n"/>
      <c r="BE204" s="0" t="n"/>
      <c r="BF204" s="0" t="n"/>
      <c r="BG204" s="0" t="n"/>
      <c r="BH204" s="0" t="n"/>
      <c r="BI204" s="0" t="n"/>
      <c r="BJ204" s="0" t="n"/>
      <c r="BK204" s="0" t="n"/>
      <c r="BL204" s="0" t="n"/>
      <c r="BM204" s="0" t="n"/>
      <c r="BN204" s="0" t="n"/>
      <c r="BO204" s="0" t="n"/>
      <c r="BP204" s="0" t="n"/>
    </row>
    <row outlineLevel="0" r="205">
      <c r="A205" s="331" t="n">
        <f aca="false" ca="false" dt2D="false" dtr="false" t="normal">+A203+1</f>
        <v>189</v>
      </c>
      <c r="B205" s="6" t="n">
        <v>1</v>
      </c>
      <c r="C205" s="138" t="s">
        <v>147</v>
      </c>
      <c r="D205" s="6" t="s">
        <v>465</v>
      </c>
      <c r="E205" s="203" t="n">
        <f aca="false" ca="true" dt2D="false" dtr="false" t="normal">SUBTOTAL(9, F205:T205)</f>
        <v>5403128.5</v>
      </c>
      <c r="F205" s="18" t="n">
        <v>0</v>
      </c>
      <c r="G205" s="18" t="n">
        <v>0</v>
      </c>
      <c r="H205" s="18" t="n">
        <v>0</v>
      </c>
      <c r="I205" s="18" t="n">
        <v>0</v>
      </c>
      <c r="J205" s="18" t="n">
        <v>0</v>
      </c>
      <c r="K205" s="18" t="n"/>
      <c r="L205" s="18" t="n"/>
      <c r="M205" s="18" t="n">
        <v>0</v>
      </c>
      <c r="N205" s="18" t="n"/>
      <c r="O205" s="18" t="n">
        <v>5403128.5</v>
      </c>
      <c r="P205" s="18" t="n">
        <v>0</v>
      </c>
      <c r="Q205" s="18" t="n">
        <v>0</v>
      </c>
      <c r="R205" s="18" t="n"/>
      <c r="S205" s="18" t="n"/>
      <c r="T205" s="191" t="n"/>
      <c r="U205" s="0" t="n"/>
      <c r="V205" s="333" t="n"/>
      <c r="W205" s="0" t="n"/>
      <c r="X205" s="0" t="n"/>
      <c r="Y205" s="0" t="n"/>
      <c r="Z205" s="0" t="n"/>
      <c r="AA205" s="0" t="n"/>
      <c r="AB205" s="0" t="n"/>
      <c r="AC205" s="0" t="n"/>
      <c r="AD205" s="0" t="n"/>
      <c r="AE205" s="0" t="n"/>
      <c r="AF205" s="0" t="n"/>
      <c r="AG205" s="0" t="n"/>
      <c r="AH205" s="0" t="n"/>
      <c r="AI205" s="0" t="n"/>
      <c r="AJ205" s="0" t="n"/>
      <c r="AK205" s="0" t="n"/>
      <c r="AL205" s="0" t="n"/>
      <c r="AM205" s="0" t="n"/>
      <c r="AN205" s="0" t="n"/>
      <c r="AO205" s="0" t="n"/>
      <c r="AP205" s="0" t="n"/>
      <c r="AQ205" s="0" t="n"/>
      <c r="AR205" s="0" t="n"/>
      <c r="AS205" s="0" t="n"/>
      <c r="AT205" s="0" t="n"/>
      <c r="AU205" s="0" t="n"/>
      <c r="AV205" s="0" t="n"/>
      <c r="AW205" s="0" t="n"/>
      <c r="AX205" s="0" t="n"/>
      <c r="AY205" s="0" t="n"/>
      <c r="AZ205" s="0" t="n"/>
      <c r="BA205" s="0" t="n"/>
      <c r="BB205" s="0" t="n"/>
      <c r="BC205" s="0" t="n"/>
      <c r="BD205" s="0" t="n"/>
      <c r="BE205" s="0" t="n"/>
      <c r="BF205" s="0" t="n"/>
      <c r="BG205" s="0" t="n"/>
      <c r="BH205" s="0" t="n"/>
      <c r="BI205" s="0" t="n"/>
      <c r="BJ205" s="0" t="n"/>
      <c r="BK205" s="0" t="n"/>
      <c r="BL205" s="0" t="n"/>
      <c r="BM205" s="0" t="n"/>
      <c r="BN205" s="0" t="n"/>
      <c r="BO205" s="0" t="n"/>
      <c r="BP205" s="0" t="n"/>
    </row>
    <row outlineLevel="0" r="206">
      <c r="A206" s="331" t="n">
        <f aca="false" ca="false" dt2D="false" dtr="false" t="normal">+A205+1</f>
        <v>190</v>
      </c>
      <c r="B206" s="6" t="n">
        <f aca="false" ca="false" dt2D="false" dtr="false" t="normal">+B205+1</f>
        <v>2</v>
      </c>
      <c r="C206" s="138" t="s">
        <v>147</v>
      </c>
      <c r="D206" s="6" t="s">
        <v>466</v>
      </c>
      <c r="E206" s="203" t="n">
        <f aca="false" ca="true" dt2D="false" dtr="false" t="normal">SUBTOTAL(9, F206:T206)</f>
        <v>5976346.29</v>
      </c>
      <c r="F206" s="18" t="n">
        <v>0</v>
      </c>
      <c r="G206" s="18" t="n">
        <v>0</v>
      </c>
      <c r="H206" s="18" t="n">
        <v>0</v>
      </c>
      <c r="I206" s="18" t="n">
        <v>0</v>
      </c>
      <c r="J206" s="18" t="n">
        <v>0</v>
      </c>
      <c r="K206" s="18" t="n"/>
      <c r="L206" s="18" t="n"/>
      <c r="M206" s="18" t="n">
        <v>0</v>
      </c>
      <c r="N206" s="18" t="n">
        <v>0</v>
      </c>
      <c r="O206" s="18" t="n">
        <v>5976346.29</v>
      </c>
      <c r="P206" s="18" t="n"/>
      <c r="Q206" s="18" t="n">
        <v>0</v>
      </c>
      <c r="R206" s="18" t="n"/>
      <c r="S206" s="18" t="n"/>
      <c r="T206" s="191" t="n"/>
      <c r="U206" s="0" t="n"/>
      <c r="V206" s="333" t="n"/>
      <c r="W206" s="0" t="n"/>
      <c r="X206" s="0" t="n"/>
      <c r="Y206" s="0" t="n"/>
      <c r="Z206" s="0" t="n"/>
      <c r="AA206" s="0" t="n"/>
      <c r="AB206" s="0" t="n"/>
      <c r="AC206" s="0" t="n"/>
      <c r="AD206" s="0" t="n"/>
      <c r="AE206" s="0" t="n"/>
      <c r="AF206" s="0" t="n"/>
      <c r="AG206" s="0" t="n"/>
      <c r="AH206" s="0" t="n"/>
      <c r="AI206" s="0" t="n"/>
      <c r="AJ206" s="0" t="n"/>
      <c r="AK206" s="0" t="n"/>
      <c r="AL206" s="0" t="n"/>
      <c r="AM206" s="0" t="n"/>
      <c r="AN206" s="0" t="n"/>
      <c r="AO206" s="0" t="n"/>
      <c r="AP206" s="0" t="n"/>
      <c r="AQ206" s="0" t="n"/>
      <c r="AR206" s="0" t="n"/>
      <c r="AS206" s="0" t="n"/>
      <c r="AT206" s="0" t="n"/>
      <c r="AU206" s="0" t="n"/>
      <c r="AV206" s="0" t="n"/>
      <c r="AW206" s="0" t="n"/>
      <c r="AX206" s="0" t="n"/>
      <c r="AY206" s="0" t="n"/>
      <c r="AZ206" s="0" t="n"/>
      <c r="BA206" s="0" t="n"/>
      <c r="BB206" s="0" t="n"/>
      <c r="BC206" s="0" t="n"/>
      <c r="BD206" s="0" t="n"/>
      <c r="BE206" s="0" t="n"/>
      <c r="BF206" s="0" t="n"/>
      <c r="BG206" s="0" t="n"/>
      <c r="BH206" s="0" t="n"/>
      <c r="BI206" s="0" t="n"/>
      <c r="BJ206" s="0" t="n"/>
      <c r="BK206" s="0" t="n"/>
      <c r="BL206" s="0" t="n"/>
      <c r="BM206" s="0" t="n"/>
      <c r="BN206" s="0" t="n"/>
      <c r="BO206" s="0" t="n"/>
      <c r="BP206" s="0" t="n"/>
    </row>
    <row outlineLevel="0" r="207">
      <c r="A207" s="331" t="n">
        <f aca="false" ca="false" dt2D="false" dtr="false" t="normal">+A206+1</f>
        <v>191</v>
      </c>
      <c r="B207" s="6" t="n">
        <f aca="false" ca="false" dt2D="false" dtr="false" t="normal">+B206+1</f>
        <v>3</v>
      </c>
      <c r="C207" s="138" t="s">
        <v>147</v>
      </c>
      <c r="D207" s="6" t="s">
        <v>155</v>
      </c>
      <c r="E207" s="27" t="n">
        <f aca="false" ca="true" dt2D="false" dtr="false" t="normal">SUBTOTAL(9, F207:T207)</f>
        <v>442092.5</v>
      </c>
      <c r="F207" s="18" t="n"/>
      <c r="G207" s="18" t="n"/>
      <c r="H207" s="18" t="n">
        <v>442092.5</v>
      </c>
      <c r="I207" s="18" t="n"/>
      <c r="J207" s="18" t="n">
        <v>0</v>
      </c>
      <c r="K207" s="18" t="n"/>
      <c r="L207" s="18" t="n"/>
      <c r="M207" s="18" t="n">
        <v>0</v>
      </c>
      <c r="N207" s="18" t="n"/>
      <c r="O207" s="17" t="n"/>
      <c r="P207" s="18" t="n"/>
      <c r="Q207" s="18" t="n"/>
      <c r="R207" s="18" t="n"/>
      <c r="S207" s="18" t="n"/>
      <c r="T207" s="191" t="n"/>
      <c r="U207" s="0" t="n"/>
      <c r="V207" s="333" t="n"/>
      <c r="W207" s="0" t="n"/>
      <c r="X207" s="0" t="n"/>
      <c r="Y207" s="0" t="n"/>
      <c r="Z207" s="0" t="n"/>
      <c r="AA207" s="0" t="n"/>
      <c r="AB207" s="0" t="n"/>
      <c r="AC207" s="0" t="n"/>
      <c r="AD207" s="0" t="n"/>
      <c r="AE207" s="0" t="n"/>
      <c r="AF207" s="0" t="n"/>
      <c r="AG207" s="0" t="n"/>
      <c r="AH207" s="0" t="n"/>
      <c r="AI207" s="0" t="n"/>
      <c r="AJ207" s="0" t="n"/>
      <c r="AK207" s="0" t="n"/>
      <c r="AL207" s="0" t="n"/>
      <c r="AM207" s="0" t="n"/>
      <c r="AN207" s="0" t="n"/>
      <c r="AO207" s="0" t="n"/>
      <c r="AP207" s="0" t="n"/>
      <c r="AQ207" s="0" t="n"/>
      <c r="AR207" s="0" t="n"/>
      <c r="AS207" s="0" t="n"/>
      <c r="AT207" s="0" t="n"/>
      <c r="AU207" s="0" t="n"/>
      <c r="AV207" s="0" t="n"/>
      <c r="AW207" s="0" t="n"/>
      <c r="AX207" s="0" t="n"/>
      <c r="AY207" s="0" t="n"/>
      <c r="AZ207" s="0" t="n"/>
      <c r="BA207" s="0" t="n"/>
      <c r="BB207" s="0" t="n"/>
      <c r="BC207" s="0" t="n"/>
      <c r="BD207" s="0" t="n"/>
      <c r="BE207" s="0" t="n"/>
      <c r="BF207" s="0" t="n"/>
      <c r="BG207" s="0" t="n"/>
      <c r="BH207" s="0" t="n"/>
      <c r="BI207" s="0" t="n"/>
      <c r="BJ207" s="0" t="n"/>
      <c r="BK207" s="0" t="n"/>
      <c r="BL207" s="0" t="n"/>
      <c r="BM207" s="0" t="n"/>
      <c r="BN207" s="0" t="n"/>
      <c r="BO207" s="0" t="n"/>
      <c r="BP207" s="0" t="n"/>
    </row>
    <row outlineLevel="0" r="208">
      <c r="A208" s="331" t="n">
        <f aca="false" ca="false" dt2D="false" dtr="false" t="normal">+A207+1</f>
        <v>192</v>
      </c>
      <c r="B208" s="6" t="n">
        <f aca="false" ca="false" dt2D="false" dtr="false" t="normal">+B207+1</f>
        <v>4</v>
      </c>
      <c r="C208" s="138" t="s">
        <v>80</v>
      </c>
      <c r="D208" s="6" t="s">
        <v>81</v>
      </c>
      <c r="E208" s="27" t="n">
        <f aca="false" ca="true" dt2D="false" dtr="false" t="normal">SUBTOTAL(9, F208:T208)</f>
        <v>4023991.38</v>
      </c>
      <c r="F208" s="18" t="n"/>
      <c r="G208" s="18" t="n"/>
      <c r="H208" s="18" t="n">
        <v>3762253.56</v>
      </c>
      <c r="I208" s="18" t="n">
        <v>0</v>
      </c>
      <c r="J208" s="18" t="n">
        <v>0</v>
      </c>
      <c r="K208" s="18" t="n"/>
      <c r="L208" s="18" t="n"/>
      <c r="M208" s="18" t="n">
        <v>0</v>
      </c>
      <c r="N208" s="18" t="n">
        <v>0</v>
      </c>
      <c r="O208" s="18" t="n">
        <v>0</v>
      </c>
      <c r="P208" s="17" t="n"/>
      <c r="Q208" s="18" t="n"/>
      <c r="R208" s="18" t="n">
        <v>257737.82</v>
      </c>
      <c r="S208" s="18" t="n">
        <v>4000</v>
      </c>
      <c r="T208" s="191" t="n"/>
      <c r="U208" s="0" t="n"/>
      <c r="V208" s="333" t="n"/>
      <c r="W208" s="0" t="n"/>
      <c r="X208" s="0" t="n"/>
      <c r="Y208" s="0" t="n"/>
      <c r="Z208" s="0" t="n"/>
      <c r="AA208" s="0" t="n"/>
      <c r="AB208" s="0" t="n"/>
      <c r="AC208" s="0" t="n"/>
      <c r="AD208" s="0" t="n"/>
      <c r="AE208" s="0" t="n"/>
      <c r="AF208" s="0" t="n"/>
      <c r="AG208" s="0" t="n"/>
      <c r="AH208" s="0" t="n"/>
      <c r="AI208" s="0" t="n"/>
      <c r="AJ208" s="0" t="n"/>
      <c r="AK208" s="0" t="n"/>
      <c r="AL208" s="0" t="n"/>
      <c r="AM208" s="0" t="n"/>
      <c r="AN208" s="0" t="n"/>
      <c r="AO208" s="0" t="n"/>
      <c r="AP208" s="0" t="n"/>
      <c r="AQ208" s="0" t="n"/>
      <c r="AR208" s="0" t="n"/>
      <c r="AS208" s="0" t="n"/>
      <c r="AT208" s="0" t="n"/>
      <c r="AU208" s="0" t="n"/>
      <c r="AV208" s="0" t="n"/>
      <c r="AW208" s="0" t="n"/>
      <c r="AX208" s="0" t="n"/>
      <c r="AY208" s="0" t="n"/>
      <c r="AZ208" s="0" t="n"/>
      <c r="BA208" s="0" t="n"/>
      <c r="BB208" s="0" t="n"/>
      <c r="BC208" s="0" t="n"/>
      <c r="BD208" s="0" t="n"/>
      <c r="BE208" s="0" t="n"/>
      <c r="BF208" s="0" t="n"/>
      <c r="BG208" s="0" t="n"/>
      <c r="BH208" s="0" t="n"/>
      <c r="BI208" s="0" t="n"/>
      <c r="BJ208" s="0" t="n"/>
      <c r="BK208" s="0" t="n"/>
      <c r="BL208" s="0" t="n"/>
      <c r="BM208" s="0" t="n"/>
      <c r="BN208" s="0" t="n"/>
      <c r="BO208" s="0" t="n"/>
      <c r="BP208" s="0" t="n"/>
    </row>
    <row outlineLevel="0" r="209">
      <c r="A209" s="331" t="n">
        <f aca="false" ca="false" dt2D="false" dtr="false" t="normal">+A208+1</f>
        <v>193</v>
      </c>
      <c r="B209" s="6" t="n">
        <f aca="false" ca="false" dt2D="false" dtr="false" t="normal">+B208+1</f>
        <v>5</v>
      </c>
      <c r="C209" s="138" t="s">
        <v>80</v>
      </c>
      <c r="D209" s="6" t="s">
        <v>84</v>
      </c>
      <c r="E209" s="27" t="n">
        <f aca="false" ca="true" dt2D="false" dtr="false" t="normal">SUBTOTAL(9, F209:T209)</f>
        <v>21777938.169999998</v>
      </c>
      <c r="F209" s="18" t="n"/>
      <c r="G209" s="18" t="n"/>
      <c r="H209" s="18" t="n">
        <v>3766305.47</v>
      </c>
      <c r="I209" s="18" t="n">
        <v>0</v>
      </c>
      <c r="J209" s="18" t="n">
        <v>0</v>
      </c>
      <c r="K209" s="18" t="n"/>
      <c r="L209" s="18" t="n"/>
      <c r="M209" s="18" t="n">
        <v>0</v>
      </c>
      <c r="N209" s="18" t="n">
        <v>0</v>
      </c>
      <c r="O209" s="18" t="n">
        <v>0</v>
      </c>
      <c r="P209" s="18" t="n">
        <v>17283832.8</v>
      </c>
      <c r="Q209" s="18" t="n"/>
      <c r="R209" s="18" t="n">
        <v>711799.9</v>
      </c>
      <c r="S209" s="18" t="n">
        <v>16000</v>
      </c>
      <c r="T209" s="191" t="n"/>
      <c r="U209" s="0" t="n"/>
      <c r="V209" s="333" t="n"/>
      <c r="W209" s="0" t="n"/>
      <c r="X209" s="0" t="n"/>
      <c r="Y209" s="0" t="n"/>
      <c r="Z209" s="0" t="n"/>
      <c r="AA209" s="0" t="n"/>
      <c r="AB209" s="0" t="n"/>
      <c r="AC209" s="0" t="n"/>
      <c r="AD209" s="0" t="n"/>
      <c r="AE209" s="0" t="n"/>
      <c r="AF209" s="0" t="n"/>
      <c r="AG209" s="0" t="n"/>
      <c r="AH209" s="0" t="n"/>
      <c r="AI209" s="0" t="n"/>
      <c r="AJ209" s="0" t="n"/>
      <c r="AK209" s="0" t="n"/>
      <c r="AL209" s="0" t="n"/>
      <c r="AM209" s="0" t="n"/>
      <c r="AN209" s="0" t="n"/>
      <c r="AO209" s="0" t="n"/>
      <c r="AP209" s="0" t="n"/>
      <c r="AQ209" s="0" t="n"/>
      <c r="AR209" s="0" t="n"/>
      <c r="AS209" s="0" t="n"/>
      <c r="AT209" s="0" t="n"/>
      <c r="AU209" s="0" t="n"/>
      <c r="AV209" s="0" t="n"/>
      <c r="AW209" s="0" t="n"/>
      <c r="AX209" s="0" t="n"/>
      <c r="AY209" s="0" t="n"/>
      <c r="AZ209" s="0" t="n"/>
      <c r="BA209" s="0" t="n"/>
      <c r="BB209" s="0" t="n"/>
      <c r="BC209" s="0" t="n"/>
      <c r="BD209" s="0" t="n"/>
      <c r="BE209" s="0" t="n"/>
      <c r="BF209" s="0" t="n"/>
      <c r="BG209" s="0" t="n"/>
      <c r="BH209" s="0" t="n"/>
      <c r="BI209" s="0" t="n"/>
      <c r="BJ209" s="0" t="n"/>
      <c r="BK209" s="0" t="n"/>
      <c r="BL209" s="0" t="n"/>
      <c r="BM209" s="0" t="n"/>
      <c r="BN209" s="0" t="n"/>
      <c r="BO209" s="0" t="n"/>
      <c r="BP209" s="0" t="n"/>
    </row>
    <row outlineLevel="0" r="210">
      <c r="A210" s="331" t="n">
        <f aca="false" ca="false" dt2D="false" dtr="false" t="normal">+A209+1</f>
        <v>194</v>
      </c>
      <c r="B210" s="6" t="n">
        <f aca="false" ca="false" dt2D="false" dtr="false" t="normal">+B209+1</f>
        <v>6</v>
      </c>
      <c r="C210" s="138" t="s">
        <v>80</v>
      </c>
      <c r="D210" s="6" t="s">
        <v>86</v>
      </c>
      <c r="E210" s="27" t="n">
        <f aca="false" ca="true" dt2D="false" dtr="false" t="normal">SUBTOTAL(9, F210:T210)</f>
        <v>15325690.4</v>
      </c>
      <c r="F210" s="18" t="n"/>
      <c r="G210" s="213" t="n"/>
      <c r="H210" s="18" t="n">
        <v>2589897.61</v>
      </c>
      <c r="I210" s="213" t="n">
        <v>0</v>
      </c>
      <c r="J210" s="18" t="n">
        <v>0</v>
      </c>
      <c r="K210" s="18" t="n"/>
      <c r="L210" s="18" t="n"/>
      <c r="M210" s="18" t="n">
        <v>0</v>
      </c>
      <c r="N210" s="213" t="n">
        <v>0</v>
      </c>
      <c r="O210" s="213" t="n">
        <v>0</v>
      </c>
      <c r="P210" s="18" t="n">
        <v>12127268.4</v>
      </c>
      <c r="Q210" s="18" t="n"/>
      <c r="R210" s="18" t="n">
        <v>594524.39</v>
      </c>
      <c r="S210" s="18" t="n">
        <v>14000</v>
      </c>
      <c r="T210" s="191" t="n"/>
      <c r="U210" s="0" t="n"/>
      <c r="V210" s="333" t="n"/>
      <c r="W210" s="0" t="n"/>
      <c r="X210" s="0" t="n"/>
      <c r="Y210" s="0" t="n"/>
      <c r="Z210" s="0" t="n"/>
      <c r="AA210" s="0" t="n"/>
      <c r="AB210" s="0" t="n"/>
      <c r="AC210" s="0" t="n"/>
      <c r="AD210" s="0" t="n"/>
      <c r="AE210" s="0" t="n"/>
      <c r="AF210" s="0" t="n"/>
      <c r="AG210" s="0" t="n"/>
      <c r="AH210" s="0" t="n"/>
      <c r="AI210" s="0" t="n"/>
      <c r="AJ210" s="0" t="n"/>
      <c r="AK210" s="0" t="n"/>
      <c r="AL210" s="0" t="n"/>
      <c r="AM210" s="0" t="n"/>
      <c r="AN210" s="0" t="n"/>
      <c r="AO210" s="0" t="n"/>
      <c r="AP210" s="0" t="n"/>
      <c r="AQ210" s="0" t="n"/>
      <c r="AR210" s="0" t="n"/>
      <c r="AS210" s="0" t="n"/>
      <c r="AT210" s="0" t="n"/>
      <c r="AU210" s="0" t="n"/>
      <c r="AV210" s="0" t="n"/>
      <c r="AW210" s="0" t="n"/>
      <c r="AX210" s="0" t="n"/>
      <c r="AY210" s="0" t="n"/>
      <c r="AZ210" s="0" t="n"/>
      <c r="BA210" s="0" t="n"/>
      <c r="BB210" s="0" t="n"/>
      <c r="BC210" s="0" t="n"/>
      <c r="BD210" s="0" t="n"/>
      <c r="BE210" s="0" t="n"/>
      <c r="BF210" s="0" t="n"/>
      <c r="BG210" s="0" t="n"/>
      <c r="BH210" s="0" t="n"/>
      <c r="BI210" s="0" t="n"/>
      <c r="BJ210" s="0" t="n"/>
      <c r="BK210" s="0" t="n"/>
      <c r="BL210" s="0" t="n"/>
      <c r="BM210" s="0" t="n"/>
      <c r="BN210" s="0" t="n"/>
      <c r="BO210" s="0" t="n"/>
      <c r="BP210" s="0" t="n"/>
    </row>
    <row outlineLevel="0" r="211">
      <c r="A211" s="331" t="n">
        <f aca="false" ca="false" dt2D="false" dtr="false" t="normal">+A210+1</f>
        <v>195</v>
      </c>
      <c r="B211" s="6" t="n">
        <f aca="false" ca="false" dt2D="false" dtr="false" t="normal">+B210+1</f>
        <v>7</v>
      </c>
      <c r="C211" s="138" t="s">
        <v>97</v>
      </c>
      <c r="D211" s="6" t="s">
        <v>169</v>
      </c>
      <c r="E211" s="27" t="n">
        <f aca="false" ca="true" dt2D="false" dtr="false" t="normal">SUBTOTAL(9, F211:T211)</f>
        <v>10867243.93</v>
      </c>
      <c r="F211" s="18" t="n">
        <v>0</v>
      </c>
      <c r="G211" s="18" t="n">
        <v>0</v>
      </c>
      <c r="H211" s="18" t="n">
        <v>1953253.18</v>
      </c>
      <c r="I211" s="18" t="n">
        <v>1982667.17</v>
      </c>
      <c r="J211" s="18" t="n">
        <v>0</v>
      </c>
      <c r="K211" s="18" t="n"/>
      <c r="L211" s="18" t="n"/>
      <c r="M211" s="18" t="n">
        <v>0</v>
      </c>
      <c r="N211" s="18" t="n">
        <v>0</v>
      </c>
      <c r="O211" s="18" t="n">
        <v>6881364.65</v>
      </c>
      <c r="P211" s="18" t="n"/>
      <c r="Q211" s="18" t="n"/>
      <c r="R211" s="18" t="n"/>
      <c r="S211" s="18" t="n"/>
      <c r="T211" s="191" t="n">
        <f aca="false" ca="false" dt2D="false" dtr="false" t="normal">32043.58+17915.35</f>
        <v>49958.93</v>
      </c>
      <c r="U211" s="0" t="n"/>
      <c r="V211" s="333" t="n"/>
      <c r="W211" s="0" t="n"/>
      <c r="X211" s="0" t="n"/>
      <c r="Y211" s="0" t="n"/>
      <c r="Z211" s="0" t="n"/>
      <c r="AA211" s="0" t="n"/>
      <c r="AB211" s="0" t="n"/>
      <c r="AC211" s="0" t="n"/>
      <c r="AD211" s="0" t="n"/>
      <c r="AE211" s="0" t="n"/>
      <c r="AF211" s="0" t="n"/>
      <c r="AG211" s="0" t="n"/>
      <c r="AH211" s="0" t="n"/>
      <c r="AI211" s="0" t="n"/>
      <c r="AJ211" s="0" t="n"/>
      <c r="AK211" s="0" t="n"/>
      <c r="AL211" s="0" t="n"/>
      <c r="AM211" s="0" t="n"/>
      <c r="AN211" s="0" t="n"/>
      <c r="AO211" s="0" t="n"/>
      <c r="AP211" s="0" t="n"/>
      <c r="AQ211" s="0" t="n"/>
      <c r="AR211" s="0" t="n"/>
      <c r="AS211" s="0" t="n"/>
      <c r="AT211" s="0" t="n"/>
      <c r="AU211" s="0" t="n"/>
      <c r="AV211" s="0" t="n"/>
      <c r="AW211" s="0" t="n"/>
      <c r="AX211" s="0" t="n"/>
      <c r="AY211" s="0" t="n"/>
      <c r="AZ211" s="0" t="n"/>
      <c r="BA211" s="0" t="n"/>
      <c r="BB211" s="0" t="n"/>
      <c r="BC211" s="0" t="n"/>
      <c r="BD211" s="0" t="n"/>
      <c r="BE211" s="0" t="n"/>
      <c r="BF211" s="0" t="n"/>
      <c r="BG211" s="0" t="n"/>
      <c r="BH211" s="0" t="n"/>
      <c r="BI211" s="0" t="n"/>
      <c r="BJ211" s="0" t="n"/>
      <c r="BK211" s="0" t="n"/>
      <c r="BL211" s="0" t="n"/>
      <c r="BM211" s="0" t="n"/>
      <c r="BN211" s="0" t="n"/>
      <c r="BO211" s="0" t="n"/>
      <c r="BP211" s="0" t="n"/>
    </row>
    <row outlineLevel="0" r="212">
      <c r="A212" s="331" t="n">
        <f aca="false" ca="false" dt2D="false" dtr="false" t="normal">+A211+1</f>
        <v>196</v>
      </c>
      <c r="B212" s="6" t="n">
        <f aca="false" ca="false" dt2D="false" dtr="false" t="normal">+B211+1</f>
        <v>8</v>
      </c>
      <c r="C212" s="138" t="s">
        <v>104</v>
      </c>
      <c r="D212" s="6" t="s">
        <v>473</v>
      </c>
      <c r="E212" s="203" t="n">
        <f aca="false" ca="true" dt2D="false" dtr="false" t="normal">SUBTOTAL(9, F212:T212)</f>
        <v>6651944.44</v>
      </c>
      <c r="F212" s="18" t="n">
        <v>6547103.74</v>
      </c>
      <c r="G212" s="18" t="n">
        <v>0</v>
      </c>
      <c r="H212" s="18" t="n"/>
      <c r="I212" s="18" t="n">
        <v>0</v>
      </c>
      <c r="J212" s="18" t="n">
        <v>0</v>
      </c>
      <c r="K212" s="18" t="n"/>
      <c r="L212" s="18" t="n"/>
      <c r="M212" s="18" t="n">
        <v>0</v>
      </c>
      <c r="N212" s="18" t="n">
        <v>0</v>
      </c>
      <c r="O212" s="18" t="n">
        <v>0</v>
      </c>
      <c r="P212" s="18" t="n">
        <v>0</v>
      </c>
      <c r="Q212" s="18" t="n">
        <v>0</v>
      </c>
      <c r="R212" s="18" t="n"/>
      <c r="S212" s="18" t="n"/>
      <c r="T212" s="191" t="n">
        <v>104840.7</v>
      </c>
      <c r="U212" s="0" t="n"/>
      <c r="V212" s="333" t="n"/>
      <c r="W212" s="0" t="n"/>
      <c r="X212" s="0" t="n"/>
      <c r="Y212" s="0" t="n"/>
      <c r="Z212" s="0" t="n"/>
      <c r="AA212" s="0" t="n"/>
      <c r="AB212" s="0" t="n"/>
      <c r="AC212" s="0" t="n"/>
      <c r="AD212" s="0" t="n"/>
      <c r="AE212" s="0" t="n"/>
      <c r="AF212" s="0" t="n"/>
      <c r="AG212" s="0" t="n"/>
      <c r="AH212" s="0" t="n"/>
      <c r="AI212" s="0" t="n"/>
      <c r="AJ212" s="0" t="n"/>
      <c r="AK212" s="0" t="n"/>
      <c r="AL212" s="0" t="n"/>
      <c r="AM212" s="0" t="n"/>
      <c r="AN212" s="0" t="n"/>
      <c r="AO212" s="0" t="n"/>
      <c r="AP212" s="0" t="n"/>
      <c r="AQ212" s="0" t="n"/>
      <c r="AR212" s="0" t="n"/>
      <c r="AS212" s="0" t="n"/>
      <c r="AT212" s="0" t="n"/>
      <c r="AU212" s="0" t="n"/>
      <c r="AV212" s="0" t="n"/>
      <c r="AW212" s="0" t="n"/>
      <c r="AX212" s="0" t="n"/>
      <c r="AY212" s="0" t="n"/>
      <c r="AZ212" s="0" t="n"/>
      <c r="BA212" s="0" t="n"/>
      <c r="BB212" s="0" t="n"/>
      <c r="BC212" s="0" t="n"/>
      <c r="BD212" s="0" t="n"/>
      <c r="BE212" s="0" t="n"/>
      <c r="BF212" s="0" t="n"/>
      <c r="BG212" s="0" t="n"/>
      <c r="BH212" s="0" t="n"/>
      <c r="BI212" s="0" t="n"/>
      <c r="BJ212" s="0" t="n"/>
      <c r="BK212" s="0" t="n"/>
      <c r="BL212" s="0" t="n"/>
      <c r="BM212" s="0" t="n"/>
      <c r="BN212" s="0" t="n"/>
      <c r="BO212" s="0" t="n"/>
      <c r="BP212" s="0" t="n"/>
    </row>
    <row outlineLevel="0" r="213">
      <c r="A213" s="331" t="n">
        <f aca="false" ca="false" dt2D="false" dtr="false" t="normal">+A212+1</f>
        <v>197</v>
      </c>
      <c r="B213" s="6" t="n">
        <f aca="false" ca="false" dt2D="false" dtr="false" t="normal">+B212+1</f>
        <v>9</v>
      </c>
      <c r="C213" s="138" t="s">
        <v>104</v>
      </c>
      <c r="D213" s="6" t="s">
        <v>118</v>
      </c>
      <c r="E213" s="203" t="n">
        <f aca="false" ca="true" dt2D="false" dtr="false" t="normal">SUBTOTAL(9, F213:T213)</f>
        <v>4115348.42</v>
      </c>
      <c r="F213" s="18" t="n"/>
      <c r="G213" s="18" t="n"/>
      <c r="H213" s="18" t="n">
        <v>0</v>
      </c>
      <c r="I213" s="18" t="n"/>
      <c r="J213" s="18" t="n">
        <v>0</v>
      </c>
      <c r="K213" s="18" t="n"/>
      <c r="L213" s="18" t="n"/>
      <c r="M213" s="18" t="n">
        <v>0</v>
      </c>
      <c r="N213" s="18" t="n">
        <v>0</v>
      </c>
      <c r="O213" s="18" t="n"/>
      <c r="P213" s="18" t="n">
        <v>4078338.76</v>
      </c>
      <c r="Q213" s="18" t="n">
        <v>0</v>
      </c>
      <c r="R213" s="18" t="n"/>
      <c r="S213" s="18" t="n"/>
      <c r="T213" s="191" t="n">
        <v>37009.66</v>
      </c>
      <c r="U213" s="0" t="n"/>
      <c r="V213" s="333" t="n"/>
      <c r="W213" s="0" t="n"/>
      <c r="X213" s="0" t="n"/>
      <c r="Y213" s="0" t="n"/>
      <c r="Z213" s="0" t="n"/>
      <c r="AA213" s="0" t="n"/>
      <c r="AB213" s="0" t="n"/>
      <c r="AC213" s="0" t="n"/>
      <c r="AD213" s="0" t="n"/>
      <c r="AE213" s="0" t="n"/>
      <c r="AF213" s="0" t="n"/>
      <c r="AG213" s="0" t="n"/>
      <c r="AH213" s="0" t="n"/>
      <c r="AI213" s="0" t="n"/>
      <c r="AJ213" s="0" t="n"/>
      <c r="AK213" s="0" t="n"/>
      <c r="AL213" s="0" t="n"/>
      <c r="AM213" s="0" t="n"/>
      <c r="AN213" s="0" t="n"/>
      <c r="AO213" s="0" t="n"/>
      <c r="AP213" s="0" t="n"/>
      <c r="AQ213" s="0" t="n"/>
      <c r="AR213" s="0" t="n"/>
      <c r="AS213" s="0" t="n"/>
      <c r="AT213" s="0" t="n"/>
      <c r="AU213" s="0" t="n"/>
      <c r="AV213" s="0" t="n"/>
      <c r="AW213" s="0" t="n"/>
      <c r="AX213" s="0" t="n"/>
      <c r="AY213" s="0" t="n"/>
      <c r="AZ213" s="0" t="n"/>
      <c r="BA213" s="0" t="n"/>
      <c r="BB213" s="0" t="n"/>
      <c r="BC213" s="0" t="n"/>
      <c r="BD213" s="0" t="n"/>
      <c r="BE213" s="0" t="n"/>
      <c r="BF213" s="0" t="n"/>
      <c r="BG213" s="0" t="n"/>
      <c r="BH213" s="0" t="n"/>
      <c r="BI213" s="0" t="n"/>
      <c r="BJ213" s="0" t="n"/>
      <c r="BK213" s="0" t="n"/>
      <c r="BL213" s="0" t="n"/>
      <c r="BM213" s="0" t="n"/>
      <c r="BN213" s="0" t="n"/>
      <c r="BO213" s="0" t="n"/>
      <c r="BP213" s="0" t="n"/>
    </row>
    <row outlineLevel="0" r="214">
      <c r="A214" s="331" t="n">
        <f aca="false" ca="false" dt2D="false" dtr="false" t="normal">+A213+1</f>
        <v>198</v>
      </c>
      <c r="B214" s="6" t="n">
        <f aca="false" ca="false" dt2D="false" dtr="false" t="normal">+B213+1</f>
        <v>10</v>
      </c>
      <c r="C214" s="138" t="s">
        <v>104</v>
      </c>
      <c r="D214" s="6" t="s">
        <v>475</v>
      </c>
      <c r="E214" s="203" t="n">
        <f aca="false" ca="true" dt2D="false" dtr="false" t="normal">SUBTOTAL(9, F214:T214)</f>
        <v>4652447.5600000005</v>
      </c>
      <c r="F214" s="18" t="n">
        <v>1431154.42</v>
      </c>
      <c r="G214" s="18" t="n">
        <v>676787.87</v>
      </c>
      <c r="H214" s="18" t="n"/>
      <c r="I214" s="18" t="n">
        <v>524666.75</v>
      </c>
      <c r="J214" s="18" t="n">
        <v>0</v>
      </c>
      <c r="K214" s="18" t="n"/>
      <c r="L214" s="18" t="n"/>
      <c r="M214" s="18" t="n">
        <v>0</v>
      </c>
      <c r="N214" s="18" t="n">
        <v>2019838.52</v>
      </c>
      <c r="O214" s="18" t="n">
        <v>0</v>
      </c>
      <c r="P214" s="18" t="n">
        <v>0</v>
      </c>
      <c r="Q214" s="18" t="n">
        <v>0</v>
      </c>
      <c r="R214" s="18" t="n"/>
      <c r="S214" s="18" t="n"/>
      <c r="T214" s="191" t="n"/>
      <c r="U214" s="0" t="n"/>
      <c r="V214" s="333" t="n"/>
      <c r="W214" s="0" t="n"/>
      <c r="X214" s="0" t="n"/>
      <c r="Y214" s="0" t="n"/>
      <c r="Z214" s="0" t="n"/>
      <c r="AA214" s="0" t="n"/>
      <c r="AB214" s="0" t="n"/>
      <c r="AC214" s="0" t="n"/>
      <c r="AD214" s="0" t="n"/>
      <c r="AE214" s="0" t="n"/>
      <c r="AF214" s="0" t="n"/>
      <c r="AG214" s="0" t="n"/>
      <c r="AH214" s="0" t="n"/>
      <c r="AI214" s="0" t="n"/>
      <c r="AJ214" s="0" t="n"/>
      <c r="AK214" s="0" t="n"/>
      <c r="AL214" s="0" t="n"/>
      <c r="AM214" s="0" t="n"/>
      <c r="AN214" s="0" t="n"/>
      <c r="AO214" s="0" t="n"/>
      <c r="AP214" s="0" t="n"/>
      <c r="AQ214" s="0" t="n"/>
      <c r="AR214" s="0" t="n"/>
      <c r="AS214" s="0" t="n"/>
      <c r="AT214" s="0" t="n"/>
      <c r="AU214" s="0" t="n"/>
      <c r="AV214" s="0" t="n"/>
      <c r="AW214" s="0" t="n"/>
      <c r="AX214" s="0" t="n"/>
      <c r="AY214" s="0" t="n"/>
      <c r="AZ214" s="0" t="n"/>
      <c r="BA214" s="0" t="n"/>
      <c r="BB214" s="0" t="n"/>
      <c r="BC214" s="0" t="n"/>
      <c r="BD214" s="0" t="n"/>
      <c r="BE214" s="0" t="n"/>
      <c r="BF214" s="0" t="n"/>
      <c r="BG214" s="0" t="n"/>
      <c r="BH214" s="0" t="n"/>
      <c r="BI214" s="0" t="n"/>
      <c r="BJ214" s="0" t="n"/>
      <c r="BK214" s="0" t="n"/>
      <c r="BL214" s="0" t="n"/>
      <c r="BM214" s="0" t="n"/>
      <c r="BN214" s="0" t="n"/>
      <c r="BO214" s="0" t="n"/>
      <c r="BP214" s="0" t="n"/>
    </row>
    <row outlineLevel="0" r="215">
      <c r="A215" s="331" t="n">
        <f aca="false" ca="false" dt2D="false" dtr="false" t="normal">+A214+1</f>
        <v>199</v>
      </c>
      <c r="B215" s="6" t="n">
        <f aca="false" ca="false" dt2D="false" dtr="false" t="normal">+B214+1</f>
        <v>11</v>
      </c>
      <c r="C215" s="138" t="s">
        <v>104</v>
      </c>
      <c r="D215" s="6" t="s">
        <v>124</v>
      </c>
      <c r="E215" s="27" t="n">
        <f aca="false" ca="true" dt2D="false" dtr="false" t="normal">SUBTOTAL(9, F215:T215)</f>
        <v>1472824.81</v>
      </c>
      <c r="F215" s="18" t="n">
        <v>1440738</v>
      </c>
      <c r="G215" s="18" t="n"/>
      <c r="H215" s="18" t="n"/>
      <c r="I215" s="18" t="n">
        <v>0</v>
      </c>
      <c r="J215" s="18" t="n">
        <v>0</v>
      </c>
      <c r="K215" s="18" t="n"/>
      <c r="L215" s="18" t="n"/>
      <c r="M215" s="18" t="n"/>
      <c r="N215" s="18" t="n"/>
      <c r="O215" s="18" t="n">
        <v>0</v>
      </c>
      <c r="P215" s="18" t="n">
        <v>0</v>
      </c>
      <c r="Q215" s="18" t="n">
        <v>0</v>
      </c>
      <c r="R215" s="18" t="n"/>
      <c r="S215" s="18" t="n"/>
      <c r="T215" s="191" t="n">
        <v>32086.81</v>
      </c>
      <c r="U215" s="0" t="n"/>
      <c r="V215" s="333" t="n"/>
      <c r="W215" s="0" t="n"/>
      <c r="X215" s="0" t="n"/>
      <c r="Y215" s="0" t="n"/>
      <c r="Z215" s="0" t="n"/>
      <c r="AA215" s="0" t="n"/>
      <c r="AB215" s="0" t="n"/>
      <c r="AC215" s="0" t="n"/>
      <c r="AD215" s="0" t="n"/>
      <c r="AE215" s="0" t="n"/>
      <c r="AF215" s="0" t="n"/>
      <c r="AG215" s="0" t="n"/>
      <c r="AH215" s="0" t="n"/>
      <c r="AI215" s="0" t="n"/>
      <c r="AJ215" s="0" t="n"/>
      <c r="AK215" s="0" t="n"/>
      <c r="AL215" s="0" t="n"/>
      <c r="AM215" s="0" t="n"/>
      <c r="AN215" s="0" t="n"/>
      <c r="AO215" s="0" t="n"/>
      <c r="AP215" s="0" t="n"/>
      <c r="AQ215" s="0" t="n"/>
      <c r="AR215" s="0" t="n"/>
      <c r="AS215" s="0" t="n"/>
      <c r="AT215" s="0" t="n"/>
      <c r="AU215" s="0" t="n"/>
      <c r="AV215" s="0" t="n"/>
      <c r="AW215" s="0" t="n"/>
      <c r="AX215" s="0" t="n"/>
      <c r="AY215" s="0" t="n"/>
      <c r="AZ215" s="0" t="n"/>
      <c r="BA215" s="0" t="n"/>
      <c r="BB215" s="0" t="n"/>
      <c r="BC215" s="0" t="n"/>
      <c r="BD215" s="0" t="n"/>
      <c r="BE215" s="0" t="n"/>
      <c r="BF215" s="0" t="n"/>
      <c r="BG215" s="0" t="n"/>
      <c r="BH215" s="0" t="n"/>
      <c r="BI215" s="0" t="n"/>
      <c r="BJ215" s="0" t="n"/>
      <c r="BK215" s="0" t="n"/>
      <c r="BL215" s="0" t="n"/>
      <c r="BM215" s="0" t="n"/>
      <c r="BN215" s="0" t="n"/>
      <c r="BO215" s="0" t="n"/>
      <c r="BP215" s="0" t="n"/>
    </row>
    <row outlineLevel="0" r="216">
      <c r="A216" s="331" t="n">
        <f aca="false" ca="false" dt2D="false" dtr="false" t="normal">+A215+1</f>
        <v>200</v>
      </c>
      <c r="B216" s="6" t="n">
        <f aca="false" ca="false" dt2D="false" dtr="false" t="normal">+B215+1</f>
        <v>12</v>
      </c>
      <c r="C216" s="138" t="s">
        <v>104</v>
      </c>
      <c r="D216" s="6" t="s">
        <v>478</v>
      </c>
      <c r="E216" s="27" t="n">
        <f aca="false" ca="true" dt2D="false" dtr="false" t="normal">SUBTOTAL(9, F216:T216)</f>
        <v>1265002.8900000001</v>
      </c>
      <c r="F216" s="18" t="n"/>
      <c r="G216" s="18" t="n">
        <v>598205.16</v>
      </c>
      <c r="H216" s="18" t="n">
        <v>0</v>
      </c>
      <c r="I216" s="18" t="n">
        <v>649302.38</v>
      </c>
      <c r="J216" s="18" t="n">
        <v>0</v>
      </c>
      <c r="K216" s="18" t="n"/>
      <c r="L216" s="18" t="n"/>
      <c r="M216" s="18" t="n">
        <v>0</v>
      </c>
      <c r="N216" s="18" t="n">
        <v>0</v>
      </c>
      <c r="O216" s="18" t="n">
        <v>0</v>
      </c>
      <c r="P216" s="18" t="n">
        <v>0</v>
      </c>
      <c r="Q216" s="18" t="n">
        <v>0</v>
      </c>
      <c r="R216" s="18" t="n"/>
      <c r="S216" s="18" t="n"/>
      <c r="T216" s="191" t="n">
        <v>17495.35</v>
      </c>
      <c r="U216" s="0" t="n"/>
      <c r="V216" s="333" t="n"/>
      <c r="W216" s="0" t="n"/>
      <c r="X216" s="0" t="n"/>
      <c r="Y216" s="0" t="n"/>
      <c r="Z216" s="0" t="n"/>
      <c r="AA216" s="0" t="n"/>
      <c r="AB216" s="0" t="n"/>
      <c r="AC216" s="0" t="n"/>
      <c r="AD216" s="0" t="n"/>
      <c r="AE216" s="0" t="n"/>
      <c r="AF216" s="0" t="n"/>
      <c r="AG216" s="0" t="n"/>
      <c r="AH216" s="0" t="n"/>
      <c r="AI216" s="0" t="n"/>
      <c r="AJ216" s="0" t="n"/>
      <c r="AK216" s="0" t="n"/>
      <c r="AL216" s="0" t="n"/>
      <c r="AM216" s="0" t="n"/>
      <c r="AN216" s="0" t="n"/>
      <c r="AO216" s="0" t="n"/>
      <c r="AP216" s="0" t="n"/>
      <c r="AQ216" s="0" t="n"/>
      <c r="AR216" s="0" t="n"/>
      <c r="AS216" s="0" t="n"/>
      <c r="AT216" s="0" t="n"/>
      <c r="AU216" s="0" t="n"/>
      <c r="AV216" s="0" t="n"/>
      <c r="AW216" s="0" t="n"/>
      <c r="AX216" s="0" t="n"/>
      <c r="AY216" s="0" t="n"/>
      <c r="AZ216" s="0" t="n"/>
      <c r="BA216" s="0" t="n"/>
      <c r="BB216" s="0" t="n"/>
      <c r="BC216" s="0" t="n"/>
      <c r="BD216" s="0" t="n"/>
      <c r="BE216" s="0" t="n"/>
      <c r="BF216" s="0" t="n"/>
      <c r="BG216" s="0" t="n"/>
      <c r="BH216" s="0" t="n"/>
      <c r="BI216" s="0" t="n"/>
      <c r="BJ216" s="0" t="n"/>
      <c r="BK216" s="0" t="n"/>
      <c r="BL216" s="0" t="n"/>
      <c r="BM216" s="0" t="n"/>
      <c r="BN216" s="0" t="n"/>
      <c r="BO216" s="0" t="n"/>
      <c r="BP216" s="0" t="n"/>
    </row>
    <row outlineLevel="0" r="217">
      <c r="A217" s="331" t="n">
        <f aca="false" ca="false" dt2D="false" dtr="false" t="normal">+A216+1</f>
        <v>201</v>
      </c>
      <c r="B217" s="6" t="n">
        <f aca="false" ca="false" dt2D="false" dtr="false" t="normal">+B216+1</f>
        <v>13</v>
      </c>
      <c r="C217" s="138" t="s">
        <v>104</v>
      </c>
      <c r="D217" s="6" t="s">
        <v>143</v>
      </c>
      <c r="E217" s="27" t="n">
        <f aca="false" ca="true" dt2D="false" dtr="false" t="normal">SUBTOTAL(9, F217:T217)</f>
        <v>4657286.09</v>
      </c>
      <c r="F217" s="18" t="n">
        <v>2785412.36</v>
      </c>
      <c r="G217" s="18" t="n"/>
      <c r="H217" s="18" t="n"/>
      <c r="I217" s="18" t="n">
        <v>1797583.57</v>
      </c>
      <c r="J217" s="18" t="n">
        <v>0</v>
      </c>
      <c r="K217" s="18" t="n"/>
      <c r="L217" s="18" t="n"/>
      <c r="M217" s="18" t="n">
        <v>0</v>
      </c>
      <c r="N217" s="18" t="n">
        <v>0</v>
      </c>
      <c r="O217" s="18" t="n">
        <v>0</v>
      </c>
      <c r="P217" s="18" t="n">
        <v>0</v>
      </c>
      <c r="Q217" s="18" t="n">
        <v>0</v>
      </c>
      <c r="R217" s="18" t="n"/>
      <c r="S217" s="18" t="n"/>
      <c r="T217" s="191" t="n">
        <f aca="false" ca="false" dt2D="false" dtr="false" t="normal">47685.81+26604.35</f>
        <v>74290.16</v>
      </c>
      <c r="U217" s="0" t="n"/>
      <c r="V217" s="333" t="n"/>
      <c r="W217" s="0" t="n"/>
      <c r="X217" s="0" t="n"/>
      <c r="Y217" s="0" t="n"/>
      <c r="Z217" s="0" t="n"/>
      <c r="AA217" s="0" t="n"/>
      <c r="AB217" s="0" t="n"/>
      <c r="AC217" s="0" t="n"/>
      <c r="AD217" s="0" t="n"/>
      <c r="AE217" s="0" t="n"/>
      <c r="AF217" s="0" t="n"/>
      <c r="AG217" s="0" t="n"/>
      <c r="AH217" s="0" t="n"/>
      <c r="AI217" s="0" t="n"/>
      <c r="AJ217" s="0" t="n"/>
      <c r="AK217" s="0" t="n"/>
      <c r="AL217" s="0" t="n"/>
      <c r="AM217" s="0" t="n"/>
      <c r="AN217" s="0" t="n"/>
      <c r="AO217" s="0" t="n"/>
      <c r="AP217" s="0" t="n"/>
      <c r="AQ217" s="0" t="n"/>
      <c r="AR217" s="0" t="n"/>
      <c r="AS217" s="0" t="n"/>
      <c r="AT217" s="0" t="n"/>
      <c r="AU217" s="0" t="n"/>
      <c r="AV217" s="0" t="n"/>
      <c r="AW217" s="0" t="n"/>
      <c r="AX217" s="0" t="n"/>
      <c r="AY217" s="0" t="n"/>
      <c r="AZ217" s="0" t="n"/>
      <c r="BA217" s="0" t="n"/>
      <c r="BB217" s="0" t="n"/>
      <c r="BC217" s="0" t="n"/>
      <c r="BD217" s="0" t="n"/>
      <c r="BE217" s="0" t="n"/>
      <c r="BF217" s="0" t="n"/>
      <c r="BG217" s="0" t="n"/>
      <c r="BH217" s="0" t="n"/>
      <c r="BI217" s="0" t="n"/>
      <c r="BJ217" s="0" t="n"/>
      <c r="BK217" s="0" t="n"/>
      <c r="BL217" s="0" t="n"/>
      <c r="BM217" s="0" t="n"/>
      <c r="BN217" s="0" t="n"/>
      <c r="BO217" s="0" t="n"/>
      <c r="BP217" s="0" t="n"/>
    </row>
    <row outlineLevel="0" r="218">
      <c r="A218" s="331" t="n">
        <f aca="false" ca="false" dt2D="false" dtr="false" t="normal">+A217+1</f>
        <v>202</v>
      </c>
      <c r="B218" s="6" t="n">
        <f aca="false" ca="false" dt2D="false" dtr="false" t="normal">+B217+1</f>
        <v>14</v>
      </c>
      <c r="C218" s="138" t="s">
        <v>104</v>
      </c>
      <c r="D218" s="6" t="s">
        <v>152</v>
      </c>
      <c r="E218" s="27" t="n">
        <f aca="false" ca="true" dt2D="false" dtr="false" t="normal">SUBTOTAL(9, F218:T218)</f>
        <v>998067.65</v>
      </c>
      <c r="F218" s="18" t="n"/>
      <c r="G218" s="18" t="n">
        <v>0</v>
      </c>
      <c r="H218" s="18" t="n">
        <v>0</v>
      </c>
      <c r="I218" s="18" t="n">
        <v>998067.65</v>
      </c>
      <c r="J218" s="18" t="n">
        <v>0</v>
      </c>
      <c r="K218" s="18" t="n"/>
      <c r="L218" s="18" t="n"/>
      <c r="M218" s="18" t="n">
        <v>0</v>
      </c>
      <c r="N218" s="18" t="n">
        <v>0</v>
      </c>
      <c r="O218" s="18" t="n"/>
      <c r="P218" s="18" t="n">
        <v>0</v>
      </c>
      <c r="Q218" s="18" t="n">
        <v>0</v>
      </c>
      <c r="R218" s="18" t="n"/>
      <c r="S218" s="18" t="n"/>
      <c r="T218" s="191" t="n"/>
      <c r="U218" s="0" t="n"/>
      <c r="V218" s="333" t="n"/>
      <c r="W218" s="0" t="n"/>
      <c r="X218" s="0" t="n"/>
      <c r="Y218" s="0" t="n"/>
      <c r="Z218" s="0" t="n"/>
      <c r="AA218" s="0" t="n"/>
      <c r="AB218" s="0" t="n"/>
      <c r="AC218" s="0" t="n"/>
      <c r="AD218" s="0" t="n"/>
      <c r="AE218" s="0" t="n"/>
      <c r="AF218" s="0" t="n"/>
      <c r="AG218" s="0" t="n"/>
      <c r="AH218" s="0" t="n"/>
      <c r="AI218" s="0" t="n"/>
      <c r="AJ218" s="0" t="n"/>
      <c r="AK218" s="0" t="n"/>
      <c r="AL218" s="0" t="n"/>
      <c r="AM218" s="0" t="n"/>
      <c r="AN218" s="0" t="n"/>
      <c r="AO218" s="0" t="n"/>
      <c r="AP218" s="0" t="n"/>
      <c r="AQ218" s="0" t="n"/>
      <c r="AR218" s="0" t="n"/>
      <c r="AS218" s="0" t="n"/>
      <c r="AT218" s="0" t="n"/>
      <c r="AU218" s="0" t="n"/>
      <c r="AV218" s="0" t="n"/>
      <c r="AW218" s="0" t="n"/>
      <c r="AX218" s="0" t="n"/>
      <c r="AY218" s="0" t="n"/>
      <c r="AZ218" s="0" t="n"/>
      <c r="BA218" s="0" t="n"/>
      <c r="BB218" s="0" t="n"/>
      <c r="BC218" s="0" t="n"/>
      <c r="BD218" s="0" t="n"/>
      <c r="BE218" s="0" t="n"/>
      <c r="BF218" s="0" t="n"/>
      <c r="BG218" s="0" t="n"/>
      <c r="BH218" s="0" t="n"/>
      <c r="BI218" s="0" t="n"/>
      <c r="BJ218" s="0" t="n"/>
      <c r="BK218" s="0" t="n"/>
      <c r="BL218" s="0" t="n"/>
      <c r="BM218" s="0" t="n"/>
      <c r="BN218" s="0" t="n"/>
      <c r="BO218" s="0" t="n"/>
      <c r="BP218" s="0" t="n"/>
    </row>
    <row outlineLevel="0" r="219">
      <c r="A219" s="331" t="n">
        <f aca="false" ca="false" dt2D="false" dtr="false" t="normal">+A218+1</f>
        <v>203</v>
      </c>
      <c r="B219" s="6" t="n">
        <f aca="false" ca="false" dt2D="false" dtr="false" t="normal">+B218+1</f>
        <v>15</v>
      </c>
      <c r="C219" s="138" t="s">
        <v>104</v>
      </c>
      <c r="D219" s="6" t="s">
        <v>170</v>
      </c>
      <c r="E219" s="27" t="n">
        <f aca="false" ca="true" dt2D="false" dtr="false" t="normal">SUBTOTAL(9, F219:T219)</f>
        <v>8234860.98</v>
      </c>
      <c r="F219" s="18" t="n">
        <v>0</v>
      </c>
      <c r="G219" s="18" t="n">
        <v>0</v>
      </c>
      <c r="H219" s="18" t="n">
        <v>0</v>
      </c>
      <c r="I219" s="18" t="n">
        <v>0</v>
      </c>
      <c r="J219" s="18" t="n">
        <v>0</v>
      </c>
      <c r="K219" s="18" t="n"/>
      <c r="L219" s="18" t="n"/>
      <c r="M219" s="18" t="n">
        <v>0</v>
      </c>
      <c r="N219" s="18" t="n">
        <v>8234860.98</v>
      </c>
      <c r="O219" s="18" t="n">
        <v>0</v>
      </c>
      <c r="P219" s="18" t="n"/>
      <c r="Q219" s="18" t="n">
        <v>0</v>
      </c>
      <c r="R219" s="18" t="n"/>
      <c r="S219" s="18" t="n"/>
      <c r="T219" s="191" t="n"/>
      <c r="U219" s="0" t="n"/>
      <c r="V219" s="333" t="n"/>
      <c r="W219" s="0" t="n"/>
      <c r="X219" s="0" t="n"/>
      <c r="Y219" s="0" t="n"/>
      <c r="Z219" s="0" t="n"/>
      <c r="AA219" s="0" t="n"/>
      <c r="AB219" s="0" t="n"/>
      <c r="AC219" s="0" t="n"/>
      <c r="AD219" s="0" t="n"/>
      <c r="AE219" s="0" t="n"/>
      <c r="AF219" s="0" t="n"/>
      <c r="AG219" s="0" t="n"/>
      <c r="AH219" s="0" t="n"/>
      <c r="AI219" s="0" t="n"/>
      <c r="AJ219" s="0" t="n"/>
      <c r="AK219" s="0" t="n"/>
      <c r="AL219" s="0" t="n"/>
      <c r="AM219" s="0" t="n"/>
      <c r="AN219" s="0" t="n"/>
      <c r="AO219" s="0" t="n"/>
      <c r="AP219" s="0" t="n"/>
      <c r="AQ219" s="0" t="n"/>
      <c r="AR219" s="0" t="n"/>
      <c r="AS219" s="0" t="n"/>
      <c r="AT219" s="0" t="n"/>
      <c r="AU219" s="0" t="n"/>
      <c r="AV219" s="0" t="n"/>
      <c r="AW219" s="0" t="n"/>
      <c r="AX219" s="0" t="n"/>
      <c r="AY219" s="0" t="n"/>
      <c r="AZ219" s="0" t="n"/>
      <c r="BA219" s="0" t="n"/>
      <c r="BB219" s="0" t="n"/>
      <c r="BC219" s="0" t="n"/>
      <c r="BD219" s="0" t="n"/>
      <c r="BE219" s="0" t="n"/>
      <c r="BF219" s="0" t="n"/>
      <c r="BG219" s="0" t="n"/>
      <c r="BH219" s="0" t="n"/>
      <c r="BI219" s="0" t="n"/>
      <c r="BJ219" s="0" t="n"/>
      <c r="BK219" s="0" t="n"/>
      <c r="BL219" s="0" t="n"/>
      <c r="BM219" s="0" t="n"/>
      <c r="BN219" s="0" t="n"/>
      <c r="BO219" s="0" t="n"/>
      <c r="BP219" s="0" t="n"/>
    </row>
    <row outlineLevel="0" r="220">
      <c r="A220" s="331" t="n">
        <f aca="false" ca="false" dt2D="false" dtr="false" t="normal">+A219+1</f>
        <v>204</v>
      </c>
      <c r="B220" s="6" t="n">
        <f aca="false" ca="false" dt2D="false" dtr="false" t="normal">+B219+1</f>
        <v>16</v>
      </c>
      <c r="C220" s="138" t="s">
        <v>104</v>
      </c>
      <c r="D220" s="6" t="s">
        <v>287</v>
      </c>
      <c r="E220" s="203" t="n">
        <f aca="false" ca="true" dt2D="false" dtr="false" t="normal">SUBTOTAL(9, F220:T220)</f>
        <v>8726659.43</v>
      </c>
      <c r="F220" s="18" t="n"/>
      <c r="G220" s="18" t="n">
        <v>0</v>
      </c>
      <c r="H220" s="18" t="n">
        <v>0</v>
      </c>
      <c r="I220" s="18" t="n"/>
      <c r="J220" s="18" t="n">
        <v>0</v>
      </c>
      <c r="K220" s="18" t="n"/>
      <c r="M220" s="18" t="n">
        <v>0</v>
      </c>
      <c r="N220" s="18" t="n">
        <v>8726659.43</v>
      </c>
      <c r="O220" s="18" t="n"/>
      <c r="P220" s="18" t="n">
        <v>0</v>
      </c>
      <c r="Q220" s="18" t="n">
        <v>0</v>
      </c>
      <c r="R220" s="18" t="n"/>
      <c r="S220" s="18" t="n"/>
      <c r="T220" s="191" t="n"/>
      <c r="U220" s="0" t="n"/>
      <c r="V220" s="333" t="n"/>
      <c r="W220" s="0" t="n"/>
      <c r="X220" s="0" t="n"/>
      <c r="Y220" s="0" t="n"/>
      <c r="Z220" s="0" t="n"/>
      <c r="AA220" s="0" t="n"/>
      <c r="AB220" s="0" t="n"/>
      <c r="AC220" s="0" t="n"/>
      <c r="AD220" s="0" t="n"/>
      <c r="AE220" s="0" t="n"/>
      <c r="AF220" s="0" t="n"/>
      <c r="AG220" s="0" t="n"/>
      <c r="AH220" s="0" t="n"/>
      <c r="AI220" s="0" t="n"/>
      <c r="AJ220" s="0" t="n"/>
      <c r="AK220" s="0" t="n"/>
      <c r="AL220" s="0" t="n"/>
      <c r="AM220" s="0" t="n"/>
      <c r="AN220" s="0" t="n"/>
      <c r="AO220" s="0" t="n"/>
      <c r="AP220" s="0" t="n"/>
      <c r="AQ220" s="0" t="n"/>
      <c r="AR220" s="0" t="n"/>
      <c r="AS220" s="0" t="n"/>
      <c r="AT220" s="0" t="n"/>
      <c r="AU220" s="0" t="n"/>
      <c r="AV220" s="0" t="n"/>
      <c r="AW220" s="0" t="n"/>
      <c r="AX220" s="0" t="n"/>
      <c r="AY220" s="0" t="n"/>
      <c r="AZ220" s="0" t="n"/>
      <c r="BA220" s="0" t="n"/>
      <c r="BB220" s="0" t="n"/>
      <c r="BC220" s="0" t="n"/>
      <c r="BD220" s="0" t="n"/>
      <c r="BE220" s="0" t="n"/>
      <c r="BF220" s="0" t="n"/>
      <c r="BG220" s="0" t="n"/>
      <c r="BH220" s="0" t="n"/>
      <c r="BI220" s="0" t="n"/>
      <c r="BJ220" s="0" t="n"/>
      <c r="BK220" s="0" t="n"/>
      <c r="BL220" s="0" t="n"/>
      <c r="BM220" s="0" t="n"/>
      <c r="BN220" s="0" t="n"/>
      <c r="BO220" s="0" t="n"/>
      <c r="BP220" s="0" t="n"/>
    </row>
    <row outlineLevel="0" r="221">
      <c r="A221" s="331" t="n">
        <f aca="false" ca="false" dt2D="false" dtr="false" t="normal">+A220+1</f>
        <v>205</v>
      </c>
      <c r="B221" s="6" t="n">
        <f aca="false" ca="false" dt2D="false" dtr="false" t="normal">+B220+1</f>
        <v>17</v>
      </c>
      <c r="C221" s="138" t="s">
        <v>104</v>
      </c>
      <c r="D221" s="6" t="s">
        <v>484</v>
      </c>
      <c r="E221" s="27" t="n">
        <f aca="false" ca="true" dt2D="false" dtr="false" t="normal">SUBTOTAL(9, F221:T221)</f>
        <v>25012527.400000002</v>
      </c>
      <c r="F221" s="18" t="n">
        <v>5599179.59</v>
      </c>
      <c r="G221" s="18" t="n">
        <v>4577737.76</v>
      </c>
      <c r="H221" s="18" t="n">
        <v>0</v>
      </c>
      <c r="I221" s="18" t="n">
        <v>0</v>
      </c>
      <c r="J221" s="18" t="n">
        <v>0</v>
      </c>
      <c r="K221" s="18" t="n"/>
      <c r="L221" s="18" t="n"/>
      <c r="M221" s="18" t="n">
        <v>0</v>
      </c>
      <c r="N221" s="18" t="n">
        <v>7920633.25</v>
      </c>
      <c r="O221" s="18" t="n">
        <v>6914976.8</v>
      </c>
      <c r="P221" s="18" t="n">
        <v>0</v>
      </c>
      <c r="Q221" s="18" t="n">
        <v>0</v>
      </c>
      <c r="R221" s="18" t="n"/>
      <c r="S221" s="18" t="n"/>
      <c r="T221" s="191" t="n"/>
      <c r="U221" s="0" t="n"/>
      <c r="V221" s="333" t="n"/>
      <c r="W221" s="0" t="n"/>
      <c r="X221" s="0" t="n"/>
      <c r="Y221" s="0" t="n"/>
      <c r="Z221" s="0" t="n"/>
      <c r="AA221" s="0" t="n"/>
      <c r="AB221" s="0" t="n"/>
      <c r="AC221" s="0" t="n"/>
      <c r="AD221" s="0" t="n"/>
      <c r="AE221" s="0" t="n"/>
      <c r="AF221" s="0" t="n"/>
      <c r="AG221" s="0" t="n"/>
      <c r="AH221" s="0" t="n"/>
      <c r="AI221" s="0" t="n"/>
      <c r="AJ221" s="0" t="n"/>
      <c r="AK221" s="0" t="n"/>
      <c r="AL221" s="0" t="n"/>
      <c r="AM221" s="0" t="n"/>
      <c r="AN221" s="0" t="n"/>
      <c r="AO221" s="0" t="n"/>
      <c r="AP221" s="0" t="n"/>
      <c r="AQ221" s="0" t="n"/>
      <c r="AR221" s="0" t="n"/>
      <c r="AS221" s="0" t="n"/>
      <c r="AT221" s="0" t="n"/>
      <c r="AU221" s="0" t="n"/>
      <c r="AV221" s="0" t="n"/>
      <c r="AW221" s="0" t="n"/>
      <c r="AX221" s="0" t="n"/>
      <c r="AY221" s="0" t="n"/>
      <c r="AZ221" s="0" t="n"/>
      <c r="BA221" s="0" t="n"/>
      <c r="BB221" s="0" t="n"/>
      <c r="BC221" s="0" t="n"/>
      <c r="BD221" s="0" t="n"/>
      <c r="BE221" s="0" t="n"/>
      <c r="BF221" s="0" t="n"/>
      <c r="BG221" s="0" t="n"/>
      <c r="BH221" s="0" t="n"/>
      <c r="BI221" s="0" t="n"/>
      <c r="BJ221" s="0" t="n"/>
      <c r="BK221" s="0" t="n"/>
      <c r="BL221" s="0" t="n"/>
      <c r="BM221" s="0" t="n"/>
      <c r="BN221" s="0" t="n"/>
      <c r="BO221" s="0" t="n"/>
      <c r="BP221" s="0" t="n"/>
    </row>
    <row outlineLevel="0" r="222">
      <c r="A222" s="331" t="n">
        <f aca="false" ca="false" dt2D="false" dtr="false" t="normal">+A221+1</f>
        <v>206</v>
      </c>
      <c r="B222" s="6" t="n">
        <f aca="false" ca="false" dt2D="false" dtr="false" t="normal">+B221+1</f>
        <v>18</v>
      </c>
      <c r="C222" s="138" t="s">
        <v>104</v>
      </c>
      <c r="D222" s="6" t="s">
        <v>289</v>
      </c>
      <c r="E222" s="27" t="n">
        <f aca="false" ca="true" dt2D="false" dtr="false" t="normal">SUBTOTAL(9, F222:T222)</f>
        <v>4321774.35</v>
      </c>
      <c r="F222" s="18" t="n">
        <v>0</v>
      </c>
      <c r="G222" s="18" t="n">
        <v>0</v>
      </c>
      <c r="H222" s="18" t="n"/>
      <c r="I222" s="18" t="n">
        <v>0</v>
      </c>
      <c r="J222" s="18" t="n">
        <v>0</v>
      </c>
      <c r="K222" s="18" t="n"/>
      <c r="L222" s="18" t="n"/>
      <c r="M222" s="18" t="n">
        <v>0</v>
      </c>
      <c r="N222" s="18" t="n">
        <v>0</v>
      </c>
      <c r="O222" s="18" t="n">
        <v>4285501.51</v>
      </c>
      <c r="P222" s="18" t="n">
        <v>0</v>
      </c>
      <c r="Q222" s="18" t="n">
        <v>0</v>
      </c>
      <c r="R222" s="18" t="n"/>
      <c r="S222" s="18" t="n"/>
      <c r="T222" s="191" t="n">
        <v>36272.84</v>
      </c>
      <c r="U222" s="0" t="n"/>
      <c r="V222" s="333" t="n"/>
      <c r="W222" s="0" t="n"/>
      <c r="X222" s="0" t="n"/>
      <c r="Y222" s="0" t="n"/>
      <c r="Z222" s="0" t="n"/>
      <c r="AA222" s="0" t="n"/>
      <c r="AB222" s="0" t="n"/>
      <c r="AC222" s="0" t="n"/>
      <c r="AD222" s="0" t="n"/>
      <c r="AE222" s="0" t="n"/>
      <c r="AF222" s="0" t="n"/>
      <c r="AG222" s="0" t="n"/>
      <c r="AH222" s="0" t="n"/>
      <c r="AI222" s="0" t="n"/>
      <c r="AJ222" s="0" t="n"/>
      <c r="AK222" s="0" t="n"/>
      <c r="AL222" s="0" t="n"/>
      <c r="AM222" s="0" t="n"/>
      <c r="AN222" s="0" t="n"/>
      <c r="AO222" s="0" t="n"/>
      <c r="AP222" s="0" t="n"/>
      <c r="AQ222" s="0" t="n"/>
      <c r="AR222" s="0" t="n"/>
      <c r="AS222" s="0" t="n"/>
      <c r="AT222" s="0" t="n"/>
      <c r="AU222" s="0" t="n"/>
      <c r="AV222" s="0" t="n"/>
      <c r="AW222" s="0" t="n"/>
      <c r="AX222" s="0" t="n"/>
      <c r="AY222" s="0" t="n"/>
      <c r="AZ222" s="0" t="n"/>
      <c r="BA222" s="0" t="n"/>
      <c r="BB222" s="0" t="n"/>
      <c r="BC222" s="0" t="n"/>
      <c r="BD222" s="0" t="n"/>
      <c r="BE222" s="0" t="n"/>
      <c r="BF222" s="0" t="n"/>
      <c r="BG222" s="0" t="n"/>
      <c r="BH222" s="0" t="n"/>
      <c r="BI222" s="0" t="n"/>
      <c r="BJ222" s="0" t="n"/>
      <c r="BK222" s="0" t="n"/>
      <c r="BL222" s="0" t="n"/>
      <c r="BM222" s="0" t="n"/>
      <c r="BN222" s="0" t="n"/>
      <c r="BO222" s="0" t="n"/>
      <c r="BP222" s="0" t="n"/>
    </row>
    <row outlineLevel="0" r="223">
      <c r="A223" s="331" t="n">
        <f aca="false" ca="false" dt2D="false" dtr="false" t="normal">+A222+1</f>
        <v>207</v>
      </c>
      <c r="B223" s="6" t="n">
        <f aca="false" ca="false" dt2D="false" dtr="false" t="normal">+B222+1</f>
        <v>19</v>
      </c>
      <c r="C223" s="138" t="s">
        <v>104</v>
      </c>
      <c r="D223" s="6" t="s">
        <v>291</v>
      </c>
      <c r="E223" s="27" t="n">
        <f aca="false" ca="true" dt2D="false" dtr="false" t="normal">SUBTOTAL(9, F223:T223)</f>
        <v>9852311.08</v>
      </c>
      <c r="F223" s="18" t="n">
        <v>6213317.02</v>
      </c>
      <c r="G223" s="18" t="n">
        <v>0</v>
      </c>
      <c r="H223" s="18" t="n"/>
      <c r="I223" s="18" t="n">
        <v>3638994.06</v>
      </c>
      <c r="J223" s="18" t="n">
        <v>0</v>
      </c>
      <c r="K223" s="18" t="n"/>
      <c r="L223" s="18" t="n"/>
      <c r="M223" s="18" t="n">
        <v>0</v>
      </c>
      <c r="N223" s="18" t="n">
        <v>0</v>
      </c>
      <c r="O223" s="18" t="n">
        <v>0</v>
      </c>
      <c r="P223" s="18" t="n">
        <v>0</v>
      </c>
      <c r="Q223" s="18" t="n">
        <v>0</v>
      </c>
      <c r="R223" s="18" t="n"/>
      <c r="S223" s="18" t="n"/>
      <c r="T223" s="191" t="n"/>
      <c r="U223" s="0" t="n"/>
      <c r="V223" s="333" t="n"/>
      <c r="W223" s="0" t="n"/>
      <c r="X223" s="0" t="n"/>
      <c r="Y223" s="0" t="n"/>
      <c r="Z223" s="0" t="n"/>
      <c r="AA223" s="0" t="n"/>
      <c r="AB223" s="0" t="n"/>
      <c r="AC223" s="0" t="n"/>
      <c r="AD223" s="0" t="n"/>
      <c r="AE223" s="0" t="n"/>
      <c r="AF223" s="0" t="n"/>
      <c r="AG223" s="0" t="n"/>
      <c r="AH223" s="0" t="n"/>
      <c r="AI223" s="0" t="n"/>
      <c r="AJ223" s="0" t="n"/>
      <c r="AK223" s="0" t="n"/>
      <c r="AL223" s="0" t="n"/>
      <c r="AM223" s="0" t="n"/>
      <c r="AN223" s="0" t="n"/>
      <c r="AO223" s="0" t="n"/>
      <c r="AP223" s="0" t="n"/>
      <c r="AQ223" s="0" t="n"/>
      <c r="AR223" s="0" t="n"/>
      <c r="AS223" s="0" t="n"/>
      <c r="AT223" s="0" t="n"/>
      <c r="AU223" s="0" t="n"/>
      <c r="AV223" s="0" t="n"/>
      <c r="AW223" s="0" t="n"/>
      <c r="AX223" s="0" t="n"/>
      <c r="AY223" s="0" t="n"/>
      <c r="AZ223" s="0" t="n"/>
      <c r="BA223" s="0" t="n"/>
      <c r="BB223" s="0" t="n"/>
      <c r="BC223" s="0" t="n"/>
      <c r="BD223" s="0" t="n"/>
      <c r="BE223" s="0" t="n"/>
      <c r="BF223" s="0" t="n"/>
      <c r="BG223" s="0" t="n"/>
      <c r="BH223" s="0" t="n"/>
      <c r="BI223" s="0" t="n"/>
      <c r="BJ223" s="0" t="n"/>
      <c r="BK223" s="0" t="n"/>
      <c r="BL223" s="0" t="n"/>
      <c r="BM223" s="0" t="n"/>
      <c r="BN223" s="0" t="n"/>
      <c r="BO223" s="0" t="n"/>
      <c r="BP223" s="0" t="n"/>
    </row>
    <row outlineLevel="0" r="224">
      <c r="A224" s="331" t="n">
        <f aca="false" ca="false" dt2D="false" dtr="false" t="normal">+A223+1</f>
        <v>208</v>
      </c>
      <c r="B224" s="6" t="n">
        <f aca="false" ca="false" dt2D="false" dtr="false" t="normal">+B223+1</f>
        <v>20</v>
      </c>
      <c r="C224" s="138" t="s">
        <v>104</v>
      </c>
      <c r="D224" s="6" t="s">
        <v>296</v>
      </c>
      <c r="E224" s="27" t="n">
        <f aca="false" ca="true" dt2D="false" dtr="false" t="normal">SUBTOTAL(9, F224:T224)</f>
        <v>9748997.29</v>
      </c>
      <c r="F224" s="18" t="n">
        <v>6214077.55</v>
      </c>
      <c r="G224" s="18" t="n">
        <v>0</v>
      </c>
      <c r="H224" s="18" t="n"/>
      <c r="I224" s="18" t="n">
        <v>3534919.74</v>
      </c>
      <c r="J224" s="18" t="n">
        <v>0</v>
      </c>
      <c r="K224" s="18" t="n"/>
      <c r="L224" s="18" t="n"/>
      <c r="M224" s="18" t="n">
        <v>0</v>
      </c>
      <c r="N224" s="18" t="n">
        <v>0</v>
      </c>
      <c r="O224" s="18" t="n">
        <v>0</v>
      </c>
      <c r="P224" s="18" t="n">
        <v>0</v>
      </c>
      <c r="Q224" s="18" t="n">
        <v>0</v>
      </c>
      <c r="R224" s="18" t="n"/>
      <c r="S224" s="18" t="n"/>
      <c r="T224" s="191" t="n"/>
      <c r="U224" s="0" t="n"/>
      <c r="V224" s="333" t="n"/>
      <c r="W224" s="0" t="n"/>
      <c r="X224" s="0" t="n"/>
      <c r="Y224" s="0" t="n"/>
      <c r="Z224" s="0" t="n"/>
      <c r="AA224" s="0" t="n"/>
      <c r="AB224" s="0" t="n"/>
      <c r="AC224" s="0" t="n"/>
      <c r="AD224" s="0" t="n"/>
      <c r="AE224" s="0" t="n"/>
      <c r="AF224" s="0" t="n"/>
      <c r="AG224" s="0" t="n"/>
      <c r="AH224" s="0" t="n"/>
      <c r="AI224" s="0" t="n"/>
      <c r="AJ224" s="0" t="n"/>
      <c r="AK224" s="0" t="n"/>
      <c r="AL224" s="0" t="n"/>
      <c r="AM224" s="0" t="n"/>
      <c r="AN224" s="0" t="n"/>
      <c r="AO224" s="0" t="n"/>
      <c r="AP224" s="0" t="n"/>
      <c r="AQ224" s="0" t="n"/>
      <c r="AR224" s="0" t="n"/>
      <c r="AS224" s="0" t="n"/>
      <c r="AT224" s="0" t="n"/>
      <c r="AU224" s="0" t="n"/>
      <c r="AV224" s="0" t="n"/>
      <c r="AW224" s="0" t="n"/>
      <c r="AX224" s="0" t="n"/>
      <c r="AY224" s="0" t="n"/>
      <c r="AZ224" s="0" t="n"/>
      <c r="BA224" s="0" t="n"/>
      <c r="BB224" s="0" t="n"/>
      <c r="BC224" s="0" t="n"/>
      <c r="BD224" s="0" t="n"/>
      <c r="BE224" s="0" t="n"/>
      <c r="BF224" s="0" t="n"/>
      <c r="BG224" s="0" t="n"/>
      <c r="BH224" s="0" t="n"/>
      <c r="BI224" s="0" t="n"/>
      <c r="BJ224" s="0" t="n"/>
      <c r="BK224" s="0" t="n"/>
      <c r="BL224" s="0" t="n"/>
      <c r="BM224" s="0" t="n"/>
      <c r="BN224" s="0" t="n"/>
      <c r="BO224" s="0" t="n"/>
      <c r="BP224" s="0" t="n"/>
    </row>
    <row outlineLevel="0" r="225">
      <c r="A225" s="331" t="n">
        <f aca="false" ca="false" dt2D="false" dtr="false" t="normal">+A224+1</f>
        <v>209</v>
      </c>
      <c r="B225" s="6" t="n">
        <f aca="false" ca="false" dt2D="false" dtr="false" t="normal">+B224+1</f>
        <v>21</v>
      </c>
      <c r="C225" s="138" t="s">
        <v>104</v>
      </c>
      <c r="D225" s="6" t="s">
        <v>298</v>
      </c>
      <c r="E225" s="27" t="n">
        <f aca="false" ca="true" dt2D="false" dtr="false" t="normal">SUBTOTAL(9, F225:T225)</f>
        <v>9742557.66</v>
      </c>
      <c r="F225" s="18" t="n">
        <v>6221126</v>
      </c>
      <c r="G225" s="18" t="n">
        <v>0</v>
      </c>
      <c r="H225" s="18" t="n"/>
      <c r="I225" s="18" t="n">
        <v>3521431.66</v>
      </c>
      <c r="J225" s="18" t="n">
        <v>0</v>
      </c>
      <c r="K225" s="18" t="n"/>
      <c r="L225" s="18" t="n"/>
      <c r="M225" s="18" t="n">
        <v>0</v>
      </c>
      <c r="N225" s="18" t="n">
        <v>0</v>
      </c>
      <c r="O225" s="18" t="n">
        <v>0</v>
      </c>
      <c r="P225" s="18" t="n">
        <v>0</v>
      </c>
      <c r="Q225" s="18" t="n">
        <v>0</v>
      </c>
      <c r="R225" s="18" t="n"/>
      <c r="S225" s="18" t="n"/>
      <c r="T225" s="191" t="n"/>
      <c r="U225" s="0" t="n"/>
      <c r="V225" s="333" t="n"/>
      <c r="W225" s="0" t="n"/>
      <c r="X225" s="0" t="n"/>
      <c r="Y225" s="0" t="n"/>
      <c r="Z225" s="0" t="n"/>
      <c r="AA225" s="0" t="n"/>
      <c r="AB225" s="0" t="n"/>
      <c r="AC225" s="0" t="n"/>
      <c r="AD225" s="0" t="n"/>
      <c r="AE225" s="0" t="n"/>
      <c r="AF225" s="0" t="n"/>
      <c r="AG225" s="0" t="n"/>
      <c r="AH225" s="0" t="n"/>
      <c r="AI225" s="0" t="n"/>
      <c r="AJ225" s="0" t="n"/>
      <c r="AK225" s="0" t="n"/>
      <c r="AL225" s="0" t="n"/>
      <c r="AM225" s="0" t="n"/>
      <c r="AN225" s="0" t="n"/>
      <c r="AO225" s="0" t="n"/>
      <c r="AP225" s="0" t="n"/>
      <c r="AQ225" s="0" t="n"/>
      <c r="AR225" s="0" t="n"/>
      <c r="AS225" s="0" t="n"/>
      <c r="AT225" s="0" t="n"/>
      <c r="AU225" s="0" t="n"/>
      <c r="AV225" s="0" t="n"/>
      <c r="AW225" s="0" t="n"/>
      <c r="AX225" s="0" t="n"/>
      <c r="AY225" s="0" t="n"/>
      <c r="AZ225" s="0" t="n"/>
      <c r="BA225" s="0" t="n"/>
      <c r="BB225" s="0" t="n"/>
      <c r="BC225" s="0" t="n"/>
      <c r="BD225" s="0" t="n"/>
      <c r="BE225" s="0" t="n"/>
      <c r="BF225" s="0" t="n"/>
      <c r="BG225" s="0" t="n"/>
      <c r="BH225" s="0" t="n"/>
      <c r="BI225" s="0" t="n"/>
      <c r="BJ225" s="0" t="n"/>
      <c r="BK225" s="0" t="n"/>
      <c r="BL225" s="0" t="n"/>
      <c r="BM225" s="0" t="n"/>
      <c r="BN225" s="0" t="n"/>
      <c r="BO225" s="0" t="n"/>
      <c r="BP225" s="0" t="n"/>
    </row>
    <row outlineLevel="0" r="226">
      <c r="A226" s="331" t="n">
        <f aca="false" ca="false" dt2D="false" dtr="false" t="normal">+A225+1</f>
        <v>210</v>
      </c>
      <c r="B226" s="6" t="n">
        <f aca="false" ca="false" dt2D="false" dtr="false" t="normal">+B225+1</f>
        <v>22</v>
      </c>
      <c r="C226" s="138" t="s">
        <v>104</v>
      </c>
      <c r="D226" s="6" t="s">
        <v>489</v>
      </c>
      <c r="E226" s="203" t="n">
        <f aca="false" ca="true" dt2D="false" dtr="false" t="normal">SUBTOTAL(9, F226:T226)</f>
        <v>9994822.190000001</v>
      </c>
      <c r="F226" s="18" t="n">
        <v>0</v>
      </c>
      <c r="G226" s="18" t="n">
        <v>0</v>
      </c>
      <c r="H226" s="18" t="n">
        <v>0</v>
      </c>
      <c r="I226" s="18" t="n">
        <v>0</v>
      </c>
      <c r="J226" s="18" t="n">
        <v>0</v>
      </c>
      <c r="K226" s="18" t="n"/>
      <c r="L226" s="18" t="n"/>
      <c r="M226" s="18" t="n">
        <v>0</v>
      </c>
      <c r="N226" s="18" t="n">
        <v>0</v>
      </c>
      <c r="O226" s="18" t="n">
        <v>0</v>
      </c>
      <c r="P226" s="18" t="n">
        <v>9867857.14</v>
      </c>
      <c r="Q226" s="18" t="n">
        <v>0</v>
      </c>
      <c r="R226" s="18" t="n">
        <v>102965.05</v>
      </c>
      <c r="S226" s="18" t="n">
        <v>24000</v>
      </c>
      <c r="T226" s="191" t="n"/>
      <c r="U226" s="0" t="n"/>
      <c r="V226" s="333" t="n"/>
      <c r="W226" s="0" t="n"/>
      <c r="X226" s="0" t="n"/>
      <c r="Y226" s="0" t="n"/>
      <c r="Z226" s="0" t="n"/>
      <c r="AA226" s="0" t="n"/>
      <c r="AB226" s="0" t="n"/>
      <c r="AC226" s="0" t="n"/>
      <c r="AD226" s="0" t="n"/>
      <c r="AE226" s="0" t="n"/>
      <c r="AF226" s="0" t="n"/>
      <c r="AG226" s="0" t="n"/>
      <c r="AH226" s="0" t="n"/>
      <c r="AI226" s="0" t="n"/>
      <c r="AJ226" s="0" t="n"/>
      <c r="AK226" s="0" t="n"/>
      <c r="AL226" s="0" t="n"/>
      <c r="AM226" s="0" t="n"/>
      <c r="AN226" s="0" t="n"/>
      <c r="AO226" s="0" t="n"/>
      <c r="AP226" s="0" t="n"/>
      <c r="AQ226" s="0" t="n"/>
      <c r="AR226" s="0" t="n"/>
      <c r="AS226" s="0" t="n"/>
      <c r="AT226" s="0" t="n"/>
      <c r="AU226" s="0" t="n"/>
      <c r="AV226" s="0" t="n"/>
      <c r="AW226" s="0" t="n"/>
      <c r="AX226" s="0" t="n"/>
      <c r="AY226" s="0" t="n"/>
      <c r="AZ226" s="0" t="n"/>
      <c r="BA226" s="0" t="n"/>
      <c r="BB226" s="0" t="n"/>
      <c r="BC226" s="0" t="n"/>
      <c r="BD226" s="0" t="n"/>
      <c r="BE226" s="0" t="n"/>
      <c r="BF226" s="0" t="n"/>
      <c r="BG226" s="0" t="n"/>
      <c r="BH226" s="0" t="n"/>
      <c r="BI226" s="0" t="n"/>
      <c r="BJ226" s="0" t="n"/>
      <c r="BK226" s="0" t="n"/>
      <c r="BL226" s="0" t="n"/>
      <c r="BM226" s="0" t="n"/>
      <c r="BN226" s="0" t="n"/>
      <c r="BO226" s="0" t="n"/>
      <c r="BP226" s="0" t="n"/>
    </row>
    <row outlineLevel="0" r="227">
      <c r="A227" s="331" t="n">
        <f aca="false" ca="false" dt2D="false" dtr="false" t="normal">+A226+1</f>
        <v>211</v>
      </c>
      <c r="B227" s="6" t="n">
        <f aca="false" ca="false" dt2D="false" dtr="false" t="normal">+B226+1</f>
        <v>23</v>
      </c>
      <c r="C227" s="138" t="s">
        <v>104</v>
      </c>
      <c r="D227" s="6" t="s">
        <v>491</v>
      </c>
      <c r="E227" s="203" t="n">
        <f aca="false" ca="true" dt2D="false" dtr="false" t="normal">SUBTOTAL(9, F227:T227)</f>
        <v>4013909.7700000005</v>
      </c>
      <c r="F227" s="18" t="n"/>
      <c r="G227" s="18" t="n">
        <v>2639754.41</v>
      </c>
      <c r="H227" s="18" t="n">
        <v>0</v>
      </c>
      <c r="I227" s="18" t="n">
        <v>1374155.36</v>
      </c>
      <c r="J227" s="18" t="n">
        <v>0</v>
      </c>
      <c r="K227" s="18" t="n"/>
      <c r="L227" s="18" t="n"/>
      <c r="M227" s="18" t="n">
        <v>0</v>
      </c>
      <c r="N227" s="18" t="n">
        <v>0</v>
      </c>
      <c r="O227" s="18" t="n">
        <v>0</v>
      </c>
      <c r="P227" s="18" t="n">
        <v>0</v>
      </c>
      <c r="Q227" s="18" t="n">
        <v>0</v>
      </c>
      <c r="R227" s="18" t="n"/>
      <c r="S227" s="18" t="n"/>
      <c r="T227" s="191" t="n"/>
      <c r="U227" s="0" t="n"/>
      <c r="V227" s="333" t="n"/>
      <c r="W227" s="0" t="n"/>
      <c r="X227" s="0" t="n"/>
      <c r="Y227" s="0" t="n"/>
      <c r="Z227" s="0" t="n"/>
      <c r="AA227" s="0" t="n"/>
      <c r="AB227" s="0" t="n"/>
      <c r="AC227" s="0" t="n"/>
      <c r="AD227" s="0" t="n"/>
      <c r="AE227" s="0" t="n"/>
      <c r="AF227" s="0" t="n"/>
      <c r="AG227" s="0" t="n"/>
      <c r="AH227" s="0" t="n"/>
      <c r="AI227" s="0" t="n"/>
      <c r="AJ227" s="0" t="n"/>
      <c r="AK227" s="0" t="n"/>
      <c r="AL227" s="0" t="n"/>
      <c r="AM227" s="0" t="n"/>
      <c r="AN227" s="0" t="n"/>
      <c r="AO227" s="0" t="n"/>
      <c r="AP227" s="0" t="n"/>
      <c r="AQ227" s="0" t="n"/>
      <c r="AR227" s="0" t="n"/>
      <c r="AS227" s="0" t="n"/>
      <c r="AT227" s="0" t="n"/>
      <c r="AU227" s="0" t="n"/>
      <c r="AV227" s="0" t="n"/>
      <c r="AW227" s="0" t="n"/>
      <c r="AX227" s="0" t="n"/>
      <c r="AY227" s="0" t="n"/>
      <c r="AZ227" s="0" t="n"/>
      <c r="BA227" s="0" t="n"/>
      <c r="BB227" s="0" t="n"/>
      <c r="BC227" s="0" t="n"/>
      <c r="BD227" s="0" t="n"/>
      <c r="BE227" s="0" t="n"/>
      <c r="BF227" s="0" t="n"/>
      <c r="BG227" s="0" t="n"/>
      <c r="BH227" s="0" t="n"/>
      <c r="BI227" s="0" t="n"/>
      <c r="BJ227" s="0" t="n"/>
      <c r="BK227" s="0" t="n"/>
      <c r="BL227" s="0" t="n"/>
      <c r="BM227" s="0" t="n"/>
      <c r="BN227" s="0" t="n"/>
      <c r="BO227" s="0" t="n"/>
      <c r="BP227" s="0" t="n"/>
    </row>
    <row outlineLevel="0" r="228">
      <c r="A228" s="331" t="n">
        <f aca="false" ca="false" dt2D="false" dtr="false" t="normal">+A227+1</f>
        <v>212</v>
      </c>
      <c r="B228" s="6" t="n">
        <f aca="false" ca="false" dt2D="false" dtr="false" t="normal">+B227+1</f>
        <v>24</v>
      </c>
      <c r="C228" s="138" t="s">
        <v>104</v>
      </c>
      <c r="D228" s="6" t="s">
        <v>308</v>
      </c>
      <c r="E228" s="27" t="n">
        <f aca="false" ca="true" dt2D="false" dtr="false" t="normal">SUBTOTAL(9, F228:T228)</f>
        <v>1850706.38</v>
      </c>
      <c r="F228" s="18" t="n">
        <v>0</v>
      </c>
      <c r="G228" s="18" t="n">
        <v>0</v>
      </c>
      <c r="H228" s="18" t="n"/>
      <c r="I228" s="18" t="n">
        <v>1740087.49</v>
      </c>
      <c r="J228" s="18" t="n">
        <v>0</v>
      </c>
      <c r="K228" s="18" t="n"/>
      <c r="L228" s="18" t="n"/>
      <c r="M228" s="18" t="n">
        <v>0</v>
      </c>
      <c r="N228" s="18" t="n">
        <v>0</v>
      </c>
      <c r="O228" s="18" t="n">
        <v>0</v>
      </c>
      <c r="P228" s="18" t="n">
        <v>0</v>
      </c>
      <c r="Q228" s="18" t="n">
        <v>0</v>
      </c>
      <c r="R228" s="18" t="n">
        <v>93622.89</v>
      </c>
      <c r="S228" s="18" t="n">
        <v>16996</v>
      </c>
      <c r="T228" s="191" t="n"/>
      <c r="U228" s="0" t="n"/>
      <c r="V228" s="333" t="n"/>
      <c r="W228" s="0" t="n"/>
      <c r="X228" s="0" t="n"/>
      <c r="Y228" s="0" t="n"/>
      <c r="Z228" s="0" t="n"/>
      <c r="AA228" s="0" t="n"/>
      <c r="AB228" s="0" t="n"/>
      <c r="AC228" s="0" t="n"/>
      <c r="AD228" s="0" t="n"/>
      <c r="AE228" s="0" t="n"/>
      <c r="AF228" s="0" t="n"/>
      <c r="AG228" s="0" t="n"/>
      <c r="AH228" s="0" t="n"/>
      <c r="AI228" s="0" t="n"/>
      <c r="AJ228" s="0" t="n"/>
      <c r="AK228" s="0" t="n"/>
      <c r="AL228" s="0" t="n"/>
      <c r="AM228" s="0" t="n"/>
      <c r="AN228" s="0" t="n"/>
      <c r="AO228" s="0" t="n"/>
      <c r="AP228" s="0" t="n"/>
      <c r="AQ228" s="0" t="n"/>
      <c r="AR228" s="0" t="n"/>
      <c r="AS228" s="0" t="n"/>
      <c r="AT228" s="0" t="n"/>
      <c r="AU228" s="0" t="n"/>
      <c r="AV228" s="0" t="n"/>
      <c r="AW228" s="0" t="n"/>
      <c r="AX228" s="0" t="n"/>
      <c r="AY228" s="0" t="n"/>
      <c r="AZ228" s="0" t="n"/>
      <c r="BA228" s="0" t="n"/>
      <c r="BB228" s="0" t="n"/>
      <c r="BC228" s="0" t="n"/>
      <c r="BD228" s="0" t="n"/>
      <c r="BE228" s="0" t="n"/>
      <c r="BF228" s="0" t="n"/>
      <c r="BG228" s="0" t="n"/>
      <c r="BH228" s="0" t="n"/>
      <c r="BI228" s="0" t="n"/>
      <c r="BJ228" s="0" t="n"/>
      <c r="BK228" s="0" t="n"/>
      <c r="BL228" s="0" t="n"/>
      <c r="BM228" s="0" t="n"/>
      <c r="BN228" s="0" t="n"/>
      <c r="BO228" s="0" t="n"/>
      <c r="BP228" s="0" t="n"/>
    </row>
    <row outlineLevel="0" r="229">
      <c r="A229" s="331" t="n">
        <f aca="false" ca="false" dt2D="false" dtr="false" t="normal">+A228+1</f>
        <v>213</v>
      </c>
      <c r="B229" s="6" t="n">
        <f aca="false" ca="false" dt2D="false" dtr="false" t="normal">+B228+1</f>
        <v>25</v>
      </c>
      <c r="C229" s="138" t="s">
        <v>177</v>
      </c>
      <c r="D229" s="6" t="s">
        <v>493</v>
      </c>
      <c r="E229" s="27" t="n">
        <f aca="false" ca="true" dt2D="false" dtr="false" t="normal">SUBTOTAL(9, F229:T229)</f>
        <v>4776548.88</v>
      </c>
      <c r="F229" s="18" t="n">
        <v>0</v>
      </c>
      <c r="G229" s="18" t="n">
        <v>0</v>
      </c>
      <c r="H229" s="18" t="n">
        <v>0</v>
      </c>
      <c r="I229" s="18" t="n">
        <v>0</v>
      </c>
      <c r="J229" s="18" t="n">
        <v>0</v>
      </c>
      <c r="K229" s="18" t="n"/>
      <c r="L229" s="18" t="n"/>
      <c r="M229" s="18" t="n">
        <v>0</v>
      </c>
      <c r="N229" s="18" t="n">
        <v>4650900</v>
      </c>
      <c r="O229" s="18" t="n">
        <v>0</v>
      </c>
      <c r="P229" s="18" t="n">
        <v>0</v>
      </c>
      <c r="Q229" s="18" t="n">
        <v>0</v>
      </c>
      <c r="R229" s="18" t="n">
        <v>101648.88</v>
      </c>
      <c r="S229" s="18" t="n">
        <v>24000</v>
      </c>
      <c r="T229" s="191" t="n"/>
      <c r="U229" s="0" t="n"/>
      <c r="V229" s="333" t="n"/>
      <c r="W229" s="0" t="n"/>
      <c r="X229" s="0" t="n"/>
      <c r="Y229" s="0" t="n"/>
      <c r="Z229" s="0" t="n"/>
      <c r="AA229" s="0" t="n"/>
      <c r="AB229" s="0" t="n"/>
      <c r="AC229" s="0" t="n"/>
      <c r="AD229" s="0" t="n"/>
      <c r="AE229" s="0" t="n"/>
      <c r="AF229" s="0" t="n"/>
      <c r="AG229" s="0" t="n"/>
      <c r="AH229" s="0" t="n"/>
      <c r="AI229" s="0" t="n"/>
      <c r="AJ229" s="0" t="n"/>
      <c r="AK229" s="0" t="n"/>
      <c r="AL229" s="0" t="n"/>
      <c r="AM229" s="0" t="n"/>
      <c r="AN229" s="0" t="n"/>
      <c r="AO229" s="0" t="n"/>
      <c r="AP229" s="0" t="n"/>
      <c r="AQ229" s="0" t="n"/>
      <c r="AR229" s="0" t="n"/>
      <c r="AS229" s="0" t="n"/>
      <c r="AT229" s="0" t="n"/>
      <c r="AU229" s="0" t="n"/>
      <c r="AV229" s="0" t="n"/>
      <c r="AW229" s="0" t="n"/>
      <c r="AX229" s="0" t="n"/>
      <c r="AY229" s="0" t="n"/>
      <c r="AZ229" s="0" t="n"/>
      <c r="BA229" s="0" t="n"/>
      <c r="BB229" s="0" t="n"/>
      <c r="BC229" s="0" t="n"/>
      <c r="BD229" s="0" t="n"/>
      <c r="BE229" s="0" t="n"/>
      <c r="BF229" s="0" t="n"/>
      <c r="BG229" s="0" t="n"/>
      <c r="BH229" s="0" t="n"/>
      <c r="BI229" s="0" t="n"/>
      <c r="BJ229" s="0" t="n"/>
      <c r="BK229" s="0" t="n"/>
      <c r="BL229" s="0" t="n"/>
      <c r="BM229" s="0" t="n"/>
      <c r="BN229" s="0" t="n"/>
      <c r="BO229" s="0" t="n"/>
      <c r="BP229" s="0" t="n"/>
    </row>
    <row outlineLevel="0" r="230">
      <c r="A230" s="331" t="n">
        <f aca="false" ca="false" dt2D="false" dtr="false" t="normal">+A229+1</f>
        <v>214</v>
      </c>
      <c r="B230" s="6" t="n">
        <f aca="false" ca="false" dt2D="false" dtr="false" t="normal">+B229+1</f>
        <v>26</v>
      </c>
      <c r="C230" s="138" t="s">
        <v>177</v>
      </c>
      <c r="D230" s="6" t="s">
        <v>182</v>
      </c>
      <c r="E230" s="27" t="n">
        <f aca="false" ca="true" dt2D="false" dtr="false" t="normal">SUBTOTAL(9, F230:T230)</f>
        <v>1346807.24</v>
      </c>
      <c r="F230" s="18" t="n"/>
      <c r="G230" s="18" t="n">
        <v>0</v>
      </c>
      <c r="H230" s="18" t="n"/>
      <c r="I230" s="18" t="n">
        <v>1320750.78</v>
      </c>
      <c r="J230" s="18" t="n">
        <v>0</v>
      </c>
      <c r="K230" s="18" t="n"/>
      <c r="L230" s="18" t="n"/>
      <c r="M230" s="18" t="n">
        <v>0</v>
      </c>
      <c r="N230" s="18" t="n"/>
      <c r="O230" s="18" t="n">
        <v>0</v>
      </c>
      <c r="P230" s="18" t="n">
        <v>0</v>
      </c>
      <c r="Q230" s="18" t="n">
        <v>0</v>
      </c>
      <c r="R230" s="18" t="n">
        <v>20056.46</v>
      </c>
      <c r="S230" s="18" t="n">
        <v>6000</v>
      </c>
      <c r="T230" s="191" t="n"/>
      <c r="U230" s="0" t="n"/>
      <c r="V230" s="333" t="n"/>
      <c r="W230" s="0" t="n"/>
      <c r="X230" s="0" t="n"/>
      <c r="Y230" s="0" t="n"/>
      <c r="Z230" s="0" t="n"/>
      <c r="AA230" s="0" t="n"/>
      <c r="AB230" s="0" t="n"/>
      <c r="AC230" s="0" t="n"/>
      <c r="AD230" s="0" t="n"/>
      <c r="AE230" s="0" t="n"/>
      <c r="AF230" s="0" t="n"/>
      <c r="AG230" s="0" t="n"/>
      <c r="AH230" s="0" t="n"/>
      <c r="AI230" s="0" t="n"/>
      <c r="AJ230" s="0" t="n"/>
      <c r="AK230" s="0" t="n"/>
      <c r="AL230" s="0" t="n"/>
      <c r="AM230" s="0" t="n"/>
      <c r="AN230" s="0" t="n"/>
      <c r="AO230" s="0" t="n"/>
      <c r="AP230" s="0" t="n"/>
      <c r="AQ230" s="0" t="n"/>
      <c r="AR230" s="0" t="n"/>
      <c r="AS230" s="0" t="n"/>
      <c r="AT230" s="0" t="n"/>
      <c r="AU230" s="0" t="n"/>
      <c r="AV230" s="0" t="n"/>
      <c r="AW230" s="0" t="n"/>
      <c r="AX230" s="0" t="n"/>
      <c r="AY230" s="0" t="n"/>
      <c r="AZ230" s="0" t="n"/>
      <c r="BA230" s="0" t="n"/>
      <c r="BB230" s="0" t="n"/>
      <c r="BC230" s="0" t="n"/>
      <c r="BD230" s="0" t="n"/>
      <c r="BE230" s="0" t="n"/>
      <c r="BF230" s="0" t="n"/>
      <c r="BG230" s="0" t="n"/>
      <c r="BH230" s="0" t="n"/>
      <c r="BI230" s="0" t="n"/>
      <c r="BJ230" s="0" t="n"/>
      <c r="BK230" s="0" t="n"/>
      <c r="BL230" s="0" t="n"/>
      <c r="BM230" s="0" t="n"/>
      <c r="BN230" s="0" t="n"/>
      <c r="BO230" s="0" t="n"/>
      <c r="BP230" s="0" t="n"/>
    </row>
    <row outlineLevel="0" r="231">
      <c r="A231" s="331" t="n">
        <f aca="false" ca="false" dt2D="false" dtr="false" t="normal">+A230+1</f>
        <v>215</v>
      </c>
      <c r="B231" s="6" t="n">
        <f aca="false" ca="false" dt2D="false" dtr="false" t="normal">+B230+1</f>
        <v>27</v>
      </c>
      <c r="C231" s="138" t="s">
        <v>177</v>
      </c>
      <c r="D231" s="6" t="s">
        <v>496</v>
      </c>
      <c r="E231" s="203" t="n">
        <f aca="false" ca="true" dt2D="false" dtr="false" t="normal">SUBTOTAL(9, F231:T231)</f>
        <v>3711829.5</v>
      </c>
      <c r="F231" s="18" t="n">
        <v>0</v>
      </c>
      <c r="G231" s="18" t="n">
        <v>0</v>
      </c>
      <c r="H231" s="18" t="n">
        <v>0</v>
      </c>
      <c r="I231" s="18" t="n">
        <v>0</v>
      </c>
      <c r="J231" s="18" t="n">
        <v>0</v>
      </c>
      <c r="K231" s="18" t="n"/>
      <c r="L231" s="18" t="n"/>
      <c r="M231" s="18" t="n">
        <v>0</v>
      </c>
      <c r="N231" s="18" t="n">
        <v>3602673.51</v>
      </c>
      <c r="O231" s="18" t="n">
        <v>0</v>
      </c>
      <c r="P231" s="18" t="n">
        <v>0</v>
      </c>
      <c r="Q231" s="18" t="n">
        <v>0</v>
      </c>
      <c r="R231" s="18" t="n">
        <v>85155.99</v>
      </c>
      <c r="S231" s="18" t="n">
        <v>24000</v>
      </c>
      <c r="T231" s="191" t="n"/>
      <c r="U231" s="0" t="n"/>
      <c r="V231" s="333" t="n"/>
      <c r="W231" s="0" t="n"/>
      <c r="X231" s="0" t="n"/>
      <c r="Y231" s="0" t="n"/>
      <c r="Z231" s="0" t="n"/>
      <c r="AA231" s="0" t="n"/>
      <c r="AB231" s="0" t="n"/>
      <c r="AC231" s="0" t="n"/>
      <c r="AD231" s="0" t="n"/>
      <c r="AE231" s="0" t="n"/>
      <c r="AF231" s="0" t="n"/>
      <c r="AG231" s="0" t="n"/>
      <c r="AH231" s="0" t="n"/>
      <c r="AI231" s="0" t="n"/>
      <c r="AJ231" s="0" t="n"/>
      <c r="AK231" s="0" t="n"/>
      <c r="AL231" s="0" t="n"/>
      <c r="AM231" s="0" t="n"/>
      <c r="AN231" s="0" t="n"/>
      <c r="AO231" s="0" t="n"/>
      <c r="AP231" s="0" t="n"/>
      <c r="AQ231" s="0" t="n"/>
      <c r="AR231" s="0" t="n"/>
      <c r="AS231" s="0" t="n"/>
      <c r="AT231" s="0" t="n"/>
      <c r="AU231" s="0" t="n"/>
      <c r="AV231" s="0" t="n"/>
      <c r="AW231" s="0" t="n"/>
      <c r="AX231" s="0" t="n"/>
      <c r="AY231" s="0" t="n"/>
      <c r="AZ231" s="0" t="n"/>
      <c r="BA231" s="0" t="n"/>
      <c r="BB231" s="0" t="n"/>
      <c r="BC231" s="0" t="n"/>
      <c r="BD231" s="0" t="n"/>
      <c r="BE231" s="0" t="n"/>
      <c r="BF231" s="0" t="n"/>
      <c r="BG231" s="0" t="n"/>
      <c r="BH231" s="0" t="n"/>
      <c r="BI231" s="0" t="n"/>
      <c r="BJ231" s="0" t="n"/>
      <c r="BK231" s="0" t="n"/>
      <c r="BL231" s="0" t="n"/>
      <c r="BM231" s="0" t="n"/>
      <c r="BN231" s="0" t="n"/>
      <c r="BO231" s="0" t="n"/>
      <c r="BP231" s="0" t="n"/>
    </row>
    <row outlineLevel="0" r="232">
      <c r="A232" s="331" t="n">
        <f aca="false" ca="false" dt2D="false" dtr="false" t="normal">+A231+1</f>
        <v>216</v>
      </c>
      <c r="B232" s="6" t="n">
        <f aca="false" ca="false" dt2D="false" dtr="false" t="normal">+B231+1</f>
        <v>28</v>
      </c>
      <c r="C232" s="138" t="s">
        <v>177</v>
      </c>
      <c r="D232" s="6" t="s">
        <v>497</v>
      </c>
      <c r="E232" s="203" t="n">
        <f aca="false" ca="true" dt2D="false" dtr="false" t="normal">SUBTOTAL(9, F232:T232)</f>
        <v>522174.08</v>
      </c>
      <c r="F232" s="18" t="n"/>
      <c r="G232" s="18" t="n">
        <v>0</v>
      </c>
      <c r="H232" s="18" t="n">
        <v>522174.08</v>
      </c>
      <c r="I232" s="18" t="n"/>
      <c r="J232" s="18" t="n"/>
      <c r="K232" s="18" t="n"/>
      <c r="L232" s="18" t="n"/>
      <c r="M232" s="18" t="n">
        <v>0</v>
      </c>
      <c r="N232" s="18" t="n">
        <v>0</v>
      </c>
      <c r="O232" s="18" t="n">
        <v>0</v>
      </c>
      <c r="P232" s="18" t="n">
        <v>0</v>
      </c>
      <c r="Q232" s="18" t="n">
        <v>0</v>
      </c>
      <c r="R232" s="18" t="n"/>
      <c r="S232" s="18" t="n"/>
      <c r="T232" s="191" t="n"/>
      <c r="U232" s="0" t="n"/>
      <c r="V232" s="333" t="n"/>
      <c r="W232" s="0" t="n"/>
      <c r="X232" s="0" t="n"/>
      <c r="Y232" s="0" t="n"/>
      <c r="Z232" s="0" t="n"/>
      <c r="AA232" s="0" t="n"/>
      <c r="AB232" s="0" t="n"/>
      <c r="AC232" s="0" t="n"/>
      <c r="AD232" s="0" t="n"/>
      <c r="AE232" s="0" t="n"/>
      <c r="AF232" s="0" t="n"/>
      <c r="AG232" s="0" t="n"/>
      <c r="AH232" s="0" t="n"/>
      <c r="AI232" s="0" t="n"/>
      <c r="AJ232" s="0" t="n"/>
      <c r="AK232" s="0" t="n"/>
      <c r="AL232" s="0" t="n"/>
      <c r="AM232" s="0" t="n"/>
      <c r="AN232" s="0" t="n"/>
      <c r="AO232" s="0" t="n"/>
      <c r="AP232" s="0" t="n"/>
      <c r="AQ232" s="0" t="n"/>
      <c r="AR232" s="0" t="n"/>
      <c r="AS232" s="0" t="n"/>
      <c r="AT232" s="0" t="n"/>
      <c r="AU232" s="0" t="n"/>
      <c r="AV232" s="0" t="n"/>
      <c r="AW232" s="0" t="n"/>
      <c r="AX232" s="0" t="n"/>
      <c r="AY232" s="0" t="n"/>
      <c r="AZ232" s="0" t="n"/>
      <c r="BA232" s="0" t="n"/>
      <c r="BB232" s="0" t="n"/>
      <c r="BC232" s="0" t="n"/>
      <c r="BD232" s="0" t="n"/>
      <c r="BE232" s="0" t="n"/>
      <c r="BF232" s="0" t="n"/>
      <c r="BG232" s="0" t="n"/>
      <c r="BH232" s="0" t="n"/>
      <c r="BI232" s="0" t="n"/>
      <c r="BJ232" s="0" t="n"/>
      <c r="BK232" s="0" t="n"/>
      <c r="BL232" s="0" t="n"/>
      <c r="BM232" s="0" t="n"/>
      <c r="BN232" s="0" t="n"/>
      <c r="BO232" s="0" t="n"/>
      <c r="BP232" s="0" t="n"/>
    </row>
    <row outlineLevel="0" r="233">
      <c r="A233" s="331" t="n">
        <f aca="false" ca="false" dt2D="false" dtr="false" t="normal">+A232+1</f>
        <v>217</v>
      </c>
      <c r="B233" s="6" t="n">
        <f aca="false" ca="false" dt2D="false" dtr="false" t="normal">+B232+1</f>
        <v>29</v>
      </c>
      <c r="C233" s="138" t="s">
        <v>177</v>
      </c>
      <c r="D233" s="6" t="s">
        <v>499</v>
      </c>
      <c r="E233" s="203" t="n">
        <f aca="false" ca="true" dt2D="false" dtr="false" t="normal">SUBTOTAL(9, F233:T233)</f>
        <v>525018.3</v>
      </c>
      <c r="F233" s="18" t="n"/>
      <c r="G233" s="18" t="n">
        <v>0</v>
      </c>
      <c r="H233" s="18" t="n">
        <v>525018.3</v>
      </c>
      <c r="I233" s="18" t="n"/>
      <c r="J233" s="18" t="n"/>
      <c r="K233" s="18" t="n"/>
      <c r="L233" s="18" t="n"/>
      <c r="M233" s="18" t="n">
        <v>0</v>
      </c>
      <c r="N233" s="18" t="n">
        <v>0</v>
      </c>
      <c r="O233" s="18" t="n">
        <v>0</v>
      </c>
      <c r="P233" s="18" t="n">
        <v>0</v>
      </c>
      <c r="Q233" s="18" t="n">
        <v>0</v>
      </c>
      <c r="R233" s="18" t="n"/>
      <c r="S233" s="18" t="n"/>
      <c r="T233" s="191" t="n"/>
      <c r="U233" s="0" t="n"/>
      <c r="V233" s="333" t="n"/>
      <c r="W233" s="0" t="n"/>
      <c r="X233" s="0" t="n"/>
      <c r="Y233" s="0" t="n"/>
      <c r="Z233" s="0" t="n"/>
      <c r="AA233" s="0" t="n"/>
      <c r="AB233" s="0" t="n"/>
      <c r="AC233" s="0" t="n"/>
      <c r="AD233" s="0" t="n"/>
      <c r="AE233" s="0" t="n"/>
      <c r="AF233" s="0" t="n"/>
      <c r="AG233" s="0" t="n"/>
      <c r="AH233" s="0" t="n"/>
      <c r="AI233" s="0" t="n"/>
      <c r="AJ233" s="0" t="n"/>
      <c r="AK233" s="0" t="n"/>
      <c r="AL233" s="0" t="n"/>
      <c r="AM233" s="0" t="n"/>
      <c r="AN233" s="0" t="n"/>
      <c r="AO233" s="0" t="n"/>
      <c r="AP233" s="0" t="n"/>
      <c r="AQ233" s="0" t="n"/>
      <c r="AR233" s="0" t="n"/>
      <c r="AS233" s="0" t="n"/>
      <c r="AT233" s="0" t="n"/>
      <c r="AU233" s="0" t="n"/>
      <c r="AV233" s="0" t="n"/>
      <c r="AW233" s="0" t="n"/>
      <c r="AX233" s="0" t="n"/>
      <c r="AY233" s="0" t="n"/>
      <c r="AZ233" s="0" t="n"/>
      <c r="BA233" s="0" t="n"/>
      <c r="BB233" s="0" t="n"/>
      <c r="BC233" s="0" t="n"/>
      <c r="BD233" s="0" t="n"/>
      <c r="BE233" s="0" t="n"/>
      <c r="BF233" s="0" t="n"/>
      <c r="BG233" s="0" t="n"/>
      <c r="BH233" s="0" t="n"/>
      <c r="BI233" s="0" t="n"/>
      <c r="BJ233" s="0" t="n"/>
      <c r="BK233" s="0" t="n"/>
      <c r="BL233" s="0" t="n"/>
      <c r="BM233" s="0" t="n"/>
      <c r="BN233" s="0" t="n"/>
      <c r="BO233" s="0" t="n"/>
      <c r="BP233" s="0" t="n"/>
    </row>
    <row outlineLevel="0" r="234">
      <c r="A234" s="331" t="n">
        <f aca="false" ca="false" dt2D="false" dtr="false" t="normal">+A233+1</f>
        <v>218</v>
      </c>
      <c r="B234" s="6" t="n">
        <f aca="false" ca="false" dt2D="false" dtr="false" t="normal">+B233+1</f>
        <v>30</v>
      </c>
      <c r="C234" s="138" t="s">
        <v>177</v>
      </c>
      <c r="D234" s="6" t="s">
        <v>501</v>
      </c>
      <c r="E234" s="203" t="n">
        <f aca="false" ca="true" dt2D="false" dtr="false" t="normal">SUBTOTAL(9, F234:T234)</f>
        <v>530931.97</v>
      </c>
      <c r="F234" s="18" t="n"/>
      <c r="G234" s="18" t="n"/>
      <c r="H234" s="18" t="n">
        <v>530931.97</v>
      </c>
      <c r="I234" s="18" t="n">
        <v>0</v>
      </c>
      <c r="J234" s="18" t="n">
        <v>0</v>
      </c>
      <c r="K234" s="18" t="n"/>
      <c r="L234" s="18" t="n"/>
      <c r="M234" s="18" t="n"/>
      <c r="N234" s="18" t="n"/>
      <c r="O234" s="18" t="n"/>
      <c r="P234" s="18" t="n"/>
      <c r="Q234" s="18" t="n"/>
      <c r="R234" s="18" t="n"/>
      <c r="S234" s="18" t="n"/>
      <c r="T234" s="191" t="n"/>
      <c r="U234" s="0" t="n"/>
      <c r="V234" s="333" t="n"/>
      <c r="W234" s="0" t="n"/>
      <c r="X234" s="0" t="n"/>
      <c r="Y234" s="0" t="n"/>
      <c r="Z234" s="0" t="n"/>
      <c r="AA234" s="0" t="n"/>
      <c r="AB234" s="0" t="n"/>
      <c r="AC234" s="0" t="n"/>
      <c r="AD234" s="0" t="n"/>
      <c r="AE234" s="0" t="n"/>
      <c r="AF234" s="0" t="n"/>
      <c r="AG234" s="0" t="n"/>
      <c r="AH234" s="0" t="n"/>
      <c r="AI234" s="0" t="n"/>
      <c r="AJ234" s="0" t="n"/>
      <c r="AK234" s="0" t="n"/>
      <c r="AL234" s="0" t="n"/>
      <c r="AM234" s="0" t="n"/>
      <c r="AN234" s="0" t="n"/>
      <c r="AO234" s="0" t="n"/>
      <c r="AP234" s="0" t="n"/>
      <c r="AQ234" s="0" t="n"/>
      <c r="AR234" s="0" t="n"/>
      <c r="AS234" s="0" t="n"/>
      <c r="AT234" s="0" t="n"/>
      <c r="AU234" s="0" t="n"/>
      <c r="AV234" s="0" t="n"/>
      <c r="AW234" s="0" t="n"/>
      <c r="AX234" s="0" t="n"/>
      <c r="AY234" s="0" t="n"/>
      <c r="AZ234" s="0" t="n"/>
      <c r="BA234" s="0" t="n"/>
      <c r="BB234" s="0" t="n"/>
      <c r="BC234" s="0" t="n"/>
      <c r="BD234" s="0" t="n"/>
      <c r="BE234" s="0" t="n"/>
      <c r="BF234" s="0" t="n"/>
      <c r="BG234" s="0" t="n"/>
      <c r="BH234" s="0" t="n"/>
      <c r="BI234" s="0" t="n"/>
      <c r="BJ234" s="0" t="n"/>
      <c r="BK234" s="0" t="n"/>
      <c r="BL234" s="0" t="n"/>
      <c r="BM234" s="0" t="n"/>
      <c r="BN234" s="0" t="n"/>
      <c r="BO234" s="0" t="n"/>
      <c r="BP234" s="0" t="n"/>
    </row>
    <row outlineLevel="0" r="235">
      <c r="A235" s="331" t="n">
        <f aca="false" ca="false" dt2D="false" dtr="false" t="normal">+A234+1</f>
        <v>219</v>
      </c>
      <c r="B235" s="6" t="n">
        <f aca="false" ca="false" dt2D="false" dtr="false" t="normal">+B234+1</f>
        <v>31</v>
      </c>
      <c r="C235" s="138" t="s">
        <v>177</v>
      </c>
      <c r="D235" s="6" t="s">
        <v>503</v>
      </c>
      <c r="E235" s="203" t="n">
        <f aca="false" ca="true" dt2D="false" dtr="false" t="normal">SUBTOTAL(9, F235:T235)</f>
        <v>620897.1</v>
      </c>
      <c r="F235" s="18" t="n"/>
      <c r="G235" s="18" t="n">
        <v>0</v>
      </c>
      <c r="H235" s="18" t="n">
        <v>620897.1</v>
      </c>
      <c r="I235" s="18" t="n"/>
      <c r="J235" s="18" t="n">
        <v>0</v>
      </c>
      <c r="K235" s="18" t="n"/>
      <c r="L235" s="18" t="n"/>
      <c r="M235" s="18" t="n">
        <v>0</v>
      </c>
      <c r="N235" s="18" t="n">
        <v>0</v>
      </c>
      <c r="O235" s="18" t="n">
        <v>0</v>
      </c>
      <c r="P235" s="18" t="n">
        <v>0</v>
      </c>
      <c r="Q235" s="18" t="n">
        <v>0</v>
      </c>
      <c r="R235" s="18" t="n"/>
      <c r="S235" s="18" t="n"/>
      <c r="T235" s="191" t="n"/>
      <c r="U235" s="0" t="n"/>
      <c r="V235" s="333" t="n"/>
      <c r="W235" s="0" t="n"/>
      <c r="X235" s="0" t="n"/>
      <c r="Y235" s="0" t="n"/>
      <c r="Z235" s="0" t="n"/>
      <c r="AA235" s="0" t="n"/>
      <c r="AB235" s="0" t="n"/>
      <c r="AC235" s="0" t="n"/>
      <c r="AD235" s="0" t="n"/>
      <c r="AE235" s="0" t="n"/>
      <c r="AF235" s="0" t="n"/>
      <c r="AG235" s="0" t="n"/>
      <c r="AH235" s="0" t="n"/>
      <c r="AI235" s="0" t="n"/>
      <c r="AJ235" s="0" t="n"/>
      <c r="AK235" s="0" t="n"/>
      <c r="AL235" s="0" t="n"/>
      <c r="AM235" s="0" t="n"/>
      <c r="AN235" s="0" t="n"/>
      <c r="AO235" s="0" t="n"/>
      <c r="AP235" s="0" t="n"/>
      <c r="AQ235" s="0" t="n"/>
      <c r="AR235" s="0" t="n"/>
      <c r="AS235" s="0" t="n"/>
      <c r="AT235" s="0" t="n"/>
      <c r="AU235" s="0" t="n"/>
      <c r="AV235" s="0" t="n"/>
      <c r="AW235" s="0" t="n"/>
      <c r="AX235" s="0" t="n"/>
      <c r="AY235" s="0" t="n"/>
      <c r="AZ235" s="0" t="n"/>
      <c r="BA235" s="0" t="n"/>
      <c r="BB235" s="0" t="n"/>
      <c r="BC235" s="0" t="n"/>
      <c r="BD235" s="0" t="n"/>
      <c r="BE235" s="0" t="n"/>
      <c r="BF235" s="0" t="n"/>
      <c r="BG235" s="0" t="n"/>
      <c r="BH235" s="0" t="n"/>
      <c r="BI235" s="0" t="n"/>
      <c r="BJ235" s="0" t="n"/>
      <c r="BK235" s="0" t="n"/>
      <c r="BL235" s="0" t="n"/>
      <c r="BM235" s="0" t="n"/>
      <c r="BN235" s="0" t="n"/>
      <c r="BO235" s="0" t="n"/>
      <c r="BP235" s="0" t="n"/>
    </row>
    <row outlineLevel="0" r="236">
      <c r="A236" s="331" t="n">
        <f aca="false" ca="false" dt2D="false" dtr="false" t="normal">+A235+1</f>
        <v>220</v>
      </c>
      <c r="B236" s="6" t="n">
        <f aca="false" ca="false" dt2D="false" dtr="false" t="normal">+B235+1</f>
        <v>32</v>
      </c>
      <c r="C236" s="138" t="s">
        <v>177</v>
      </c>
      <c r="D236" s="6" t="s">
        <v>505</v>
      </c>
      <c r="E236" s="203" t="n">
        <f aca="false" ca="true" dt2D="false" dtr="false" t="normal">SUBTOTAL(9, F236:T236)</f>
        <v>21087152.25</v>
      </c>
      <c r="F236" s="18" t="n"/>
      <c r="G236" s="18" t="n"/>
      <c r="H236" s="18" t="n"/>
      <c r="I236" s="18" t="n"/>
      <c r="J236" s="18" t="n"/>
      <c r="K236" s="18" t="n"/>
      <c r="L236" s="18" t="n"/>
      <c r="M236" s="18" t="n">
        <v>20793974.4</v>
      </c>
      <c r="N236" s="18" t="n"/>
      <c r="O236" s="18" t="n"/>
      <c r="P236" s="18" t="n"/>
      <c r="Q236" s="18" t="n"/>
      <c r="R236" s="18" t="n">
        <v>270017.85</v>
      </c>
      <c r="S236" s="18" t="n">
        <v>23160</v>
      </c>
      <c r="T236" s="191" t="n"/>
      <c r="U236" s="0" t="n"/>
      <c r="V236" s="333" t="n"/>
      <c r="W236" s="0" t="n"/>
      <c r="X236" s="0" t="n"/>
      <c r="Y236" s="0" t="n"/>
      <c r="Z236" s="0" t="n"/>
      <c r="AA236" s="0" t="n"/>
      <c r="AB236" s="0" t="n"/>
      <c r="AC236" s="0" t="n"/>
      <c r="AD236" s="0" t="n"/>
      <c r="AE236" s="0" t="n"/>
      <c r="AF236" s="0" t="n"/>
      <c r="AG236" s="0" t="n"/>
      <c r="AH236" s="0" t="n"/>
      <c r="AI236" s="0" t="n"/>
      <c r="AJ236" s="0" t="n"/>
      <c r="AK236" s="0" t="n"/>
      <c r="AL236" s="0" t="n"/>
      <c r="AM236" s="0" t="n"/>
      <c r="AN236" s="0" t="n"/>
      <c r="AO236" s="0" t="n"/>
      <c r="AP236" s="0" t="n"/>
      <c r="AQ236" s="0" t="n"/>
      <c r="AR236" s="0" t="n"/>
      <c r="AS236" s="0" t="n"/>
      <c r="AT236" s="0" t="n"/>
      <c r="AU236" s="0" t="n"/>
      <c r="AV236" s="0" t="n"/>
      <c r="AW236" s="0" t="n"/>
      <c r="AX236" s="0" t="n"/>
      <c r="AY236" s="0" t="n"/>
      <c r="AZ236" s="0" t="n"/>
      <c r="BA236" s="0" t="n"/>
      <c r="BB236" s="0" t="n"/>
      <c r="BC236" s="0" t="n"/>
      <c r="BD236" s="0" t="n"/>
      <c r="BE236" s="0" t="n"/>
      <c r="BF236" s="0" t="n"/>
      <c r="BG236" s="0" t="n"/>
      <c r="BH236" s="0" t="n"/>
      <c r="BI236" s="0" t="n"/>
      <c r="BJ236" s="0" t="n"/>
      <c r="BK236" s="0" t="n"/>
      <c r="BL236" s="0" t="n"/>
      <c r="BM236" s="0" t="n"/>
      <c r="BN236" s="0" t="n"/>
      <c r="BO236" s="0" t="n"/>
      <c r="BP236" s="0" t="n"/>
    </row>
    <row outlineLevel="0" r="237">
      <c r="A237" s="331" t="n">
        <f aca="false" ca="false" dt2D="false" dtr="false" t="normal">+A236+1</f>
        <v>221</v>
      </c>
      <c r="B237" s="6" t="n">
        <f aca="false" ca="false" dt2D="false" dtr="false" t="normal">+B236+1</f>
        <v>33</v>
      </c>
      <c r="C237" s="138" t="s">
        <v>177</v>
      </c>
      <c r="D237" s="6" t="s">
        <v>508</v>
      </c>
      <c r="E237" s="203" t="n">
        <f aca="false" ca="true" dt2D="false" dtr="false" t="normal">SUBTOTAL(9, F237:T237)</f>
        <v>14097787.42</v>
      </c>
      <c r="F237" s="18" t="n"/>
      <c r="G237" s="18" t="n"/>
      <c r="H237" s="18" t="n"/>
      <c r="I237" s="18" t="n"/>
      <c r="J237" s="18" t="n"/>
      <c r="K237" s="18" t="n"/>
      <c r="L237" s="18" t="n"/>
      <c r="M237" s="18" t="n">
        <v>13862649.6</v>
      </c>
      <c r="N237" s="18" t="n"/>
      <c r="O237" s="18" t="n"/>
      <c r="P237" s="18" t="n"/>
      <c r="Q237" s="18" t="n"/>
      <c r="R237" s="18" t="n">
        <v>211977.82</v>
      </c>
      <c r="S237" s="18" t="n">
        <v>23160</v>
      </c>
      <c r="T237" s="191" t="n"/>
      <c r="U237" s="0" t="n"/>
      <c r="V237" s="333" t="n"/>
      <c r="W237" s="0" t="n"/>
      <c r="X237" s="0" t="n"/>
      <c r="Y237" s="0" t="n"/>
      <c r="Z237" s="0" t="n"/>
      <c r="AA237" s="0" t="n"/>
      <c r="AB237" s="0" t="n"/>
      <c r="AC237" s="0" t="n"/>
      <c r="AD237" s="0" t="n"/>
      <c r="AE237" s="0" t="n"/>
      <c r="AF237" s="0" t="n"/>
      <c r="AG237" s="0" t="n"/>
      <c r="AH237" s="0" t="n"/>
      <c r="AI237" s="0" t="n"/>
      <c r="AJ237" s="0" t="n"/>
      <c r="AK237" s="0" t="n"/>
      <c r="AL237" s="0" t="n"/>
      <c r="AM237" s="0" t="n"/>
      <c r="AN237" s="0" t="n"/>
      <c r="AO237" s="0" t="n"/>
      <c r="AP237" s="0" t="n"/>
      <c r="AQ237" s="0" t="n"/>
      <c r="AR237" s="0" t="n"/>
      <c r="AS237" s="0" t="n"/>
      <c r="AT237" s="0" t="n"/>
      <c r="AU237" s="0" t="n"/>
      <c r="AV237" s="0" t="n"/>
      <c r="AW237" s="0" t="n"/>
      <c r="AX237" s="0" t="n"/>
      <c r="AY237" s="0" t="n"/>
      <c r="AZ237" s="0" t="n"/>
      <c r="BA237" s="0" t="n"/>
      <c r="BB237" s="0" t="n"/>
      <c r="BC237" s="0" t="n"/>
      <c r="BD237" s="0" t="n"/>
      <c r="BE237" s="0" t="n"/>
      <c r="BF237" s="0" t="n"/>
      <c r="BG237" s="0" t="n"/>
      <c r="BH237" s="0" t="n"/>
      <c r="BI237" s="0" t="n"/>
      <c r="BJ237" s="0" t="n"/>
      <c r="BK237" s="0" t="n"/>
      <c r="BL237" s="0" t="n"/>
      <c r="BM237" s="0" t="n"/>
      <c r="BN237" s="0" t="n"/>
      <c r="BO237" s="0" t="n"/>
      <c r="BP237" s="0" t="n"/>
    </row>
    <row outlineLevel="0" r="238">
      <c r="A238" s="331" t="n">
        <f aca="false" ca="false" dt2D="false" dtr="false" t="normal">+A237+1</f>
        <v>222</v>
      </c>
      <c r="B238" s="6" t="n">
        <f aca="false" ca="false" dt2D="false" dtr="false" t="normal">+B237+1</f>
        <v>34</v>
      </c>
      <c r="C238" s="138" t="s">
        <v>177</v>
      </c>
      <c r="D238" s="6" t="s">
        <v>326</v>
      </c>
      <c r="E238" s="203" t="n">
        <f aca="false" ca="true" dt2D="false" dtr="false" t="normal">SUBTOTAL(9, F238:T238)</f>
        <v>16895315.3</v>
      </c>
      <c r="F238" s="17" t="n"/>
      <c r="G238" s="18" t="n"/>
      <c r="H238" s="18" t="n">
        <v>2398261.2</v>
      </c>
      <c r="I238" s="18" t="n"/>
      <c r="J238" s="18" t="n"/>
      <c r="K238" s="18" t="n"/>
      <c r="L238" s="18" t="n"/>
      <c r="M238" s="18" t="n">
        <v>0</v>
      </c>
      <c r="N238" s="18" t="n">
        <v>14009088.38</v>
      </c>
      <c r="O238" s="18" t="n">
        <v>0</v>
      </c>
      <c r="P238" s="18" t="n">
        <v>0</v>
      </c>
      <c r="Q238" s="18" t="n">
        <v>0</v>
      </c>
      <c r="R238" s="18" t="n">
        <v>339099.7</v>
      </c>
      <c r="S238" s="18" t="n">
        <v>9600</v>
      </c>
      <c r="T238" s="191" t="n">
        <f aca="false" ca="false" dt2D="false" dtr="false" t="normal">32899.63+106366.39</f>
        <v>139266.02</v>
      </c>
      <c r="U238" s="0" t="n"/>
      <c r="V238" s="333" t="n"/>
      <c r="W238" s="0" t="n"/>
      <c r="X238" s="0" t="n"/>
      <c r="Y238" s="0" t="n"/>
      <c r="Z238" s="0" t="n"/>
      <c r="AA238" s="0" t="n"/>
      <c r="AB238" s="0" t="n"/>
      <c r="AC238" s="0" t="n"/>
      <c r="AD238" s="0" t="n"/>
      <c r="AE238" s="0" t="n"/>
      <c r="AF238" s="0" t="n"/>
      <c r="AG238" s="0" t="n"/>
      <c r="AH238" s="0" t="n"/>
      <c r="AI238" s="0" t="n"/>
      <c r="AJ238" s="0" t="n"/>
      <c r="AK238" s="0" t="n"/>
      <c r="AL238" s="0" t="n"/>
      <c r="AM238" s="0" t="n"/>
      <c r="AN238" s="0" t="n"/>
      <c r="AO238" s="0" t="n"/>
      <c r="AP238" s="0" t="n"/>
      <c r="AQ238" s="0" t="n"/>
      <c r="AR238" s="0" t="n"/>
      <c r="AS238" s="0" t="n"/>
      <c r="AT238" s="0" t="n"/>
      <c r="AU238" s="0" t="n"/>
      <c r="AV238" s="0" t="n"/>
      <c r="AW238" s="0" t="n"/>
      <c r="AX238" s="0" t="n"/>
      <c r="AY238" s="0" t="n"/>
      <c r="AZ238" s="0" t="n"/>
      <c r="BA238" s="0" t="n"/>
      <c r="BB238" s="0" t="n"/>
      <c r="BC238" s="0" t="n"/>
      <c r="BD238" s="0" t="n"/>
      <c r="BE238" s="0" t="n"/>
      <c r="BF238" s="0" t="n"/>
      <c r="BG238" s="0" t="n"/>
      <c r="BH238" s="0" t="n"/>
      <c r="BI238" s="0" t="n"/>
      <c r="BJ238" s="0" t="n"/>
      <c r="BK238" s="0" t="n"/>
      <c r="BL238" s="0" t="n"/>
      <c r="BM238" s="0" t="n"/>
      <c r="BN238" s="0" t="n"/>
      <c r="BO238" s="0" t="n"/>
      <c r="BP238" s="0" t="n"/>
    </row>
    <row outlineLevel="0" r="239">
      <c r="A239" s="331" t="n">
        <f aca="false" ca="false" dt2D="false" dtr="false" t="normal">+A238+1</f>
        <v>223</v>
      </c>
      <c r="B239" s="6" t="n">
        <f aca="false" ca="false" dt2D="false" dtr="false" t="normal">+B238+1</f>
        <v>35</v>
      </c>
      <c r="C239" s="138" t="s">
        <v>177</v>
      </c>
      <c r="D239" s="6" t="s">
        <v>511</v>
      </c>
      <c r="E239" s="27" t="n">
        <f aca="false" ca="true" dt2D="false" dtr="false" t="normal">SUBTOTAL(9, F239:T239)</f>
        <v>9050356.685307486</v>
      </c>
      <c r="F239" s="18" t="n">
        <v>0</v>
      </c>
      <c r="G239" s="18" t="n">
        <v>0</v>
      </c>
      <c r="H239" s="18" t="n">
        <v>0</v>
      </c>
      <c r="I239" s="18" t="n">
        <v>0</v>
      </c>
      <c r="J239" s="18" t="n">
        <v>0</v>
      </c>
      <c r="K239" s="18" t="n"/>
      <c r="L239" s="18" t="n"/>
      <c r="M239" s="18" t="n">
        <v>0</v>
      </c>
      <c r="N239" s="18" t="n">
        <v>8882109.84</v>
      </c>
      <c r="O239" s="18" t="n">
        <v>0</v>
      </c>
      <c r="P239" s="18" t="n">
        <v>0</v>
      </c>
      <c r="Q239" s="18" t="n">
        <v>0</v>
      </c>
      <c r="R239" s="18" t="n">
        <v>144246.845307486</v>
      </c>
      <c r="S239" s="18" t="n">
        <v>24000</v>
      </c>
      <c r="T239" s="191" t="n"/>
      <c r="U239" s="0" t="n"/>
      <c r="V239" s="333" t="n"/>
      <c r="W239" s="0" t="n"/>
      <c r="X239" s="0" t="n"/>
      <c r="Y239" s="0" t="n"/>
      <c r="Z239" s="0" t="n"/>
      <c r="AA239" s="0" t="n"/>
      <c r="AB239" s="0" t="n"/>
      <c r="AC239" s="0" t="n"/>
      <c r="AD239" s="0" t="n"/>
      <c r="AE239" s="0" t="n"/>
      <c r="AF239" s="0" t="n"/>
      <c r="AG239" s="0" t="n"/>
      <c r="AH239" s="0" t="n"/>
      <c r="AI239" s="0" t="n"/>
      <c r="AJ239" s="0" t="n"/>
      <c r="AK239" s="0" t="n"/>
      <c r="AL239" s="0" t="n"/>
      <c r="AM239" s="0" t="n"/>
      <c r="AN239" s="0" t="n"/>
      <c r="AO239" s="0" t="n"/>
      <c r="AP239" s="0" t="n"/>
      <c r="AQ239" s="0" t="n"/>
      <c r="AR239" s="0" t="n"/>
      <c r="AS239" s="0" t="n"/>
      <c r="AT239" s="0" t="n"/>
      <c r="AU239" s="0" t="n"/>
      <c r="AV239" s="0" t="n"/>
      <c r="AW239" s="0" t="n"/>
      <c r="AX239" s="0" t="n"/>
      <c r="AY239" s="0" t="n"/>
      <c r="AZ239" s="0" t="n"/>
      <c r="BA239" s="0" t="n"/>
      <c r="BB239" s="0" t="n"/>
      <c r="BC239" s="0" t="n"/>
      <c r="BD239" s="0" t="n"/>
      <c r="BE239" s="0" t="n"/>
      <c r="BF239" s="0" t="n"/>
      <c r="BG239" s="0" t="n"/>
      <c r="BH239" s="0" t="n"/>
      <c r="BI239" s="0" t="n"/>
      <c r="BJ239" s="0" t="n"/>
      <c r="BK239" s="0" t="n"/>
      <c r="BL239" s="0" t="n"/>
      <c r="BM239" s="0" t="n"/>
      <c r="BN239" s="0" t="n"/>
      <c r="BO239" s="0" t="n"/>
      <c r="BP239" s="0" t="n"/>
    </row>
    <row customFormat="true" ht="15.75" outlineLevel="0" r="240" s="184">
      <c r="A240" s="331" t="n">
        <f aca="false" ca="false" dt2D="false" dtr="false" t="normal">+A239+1</f>
        <v>224</v>
      </c>
      <c r="B240" s="6" t="n">
        <f aca="false" ca="false" dt2D="false" dtr="false" t="normal">+B239+1</f>
        <v>36</v>
      </c>
      <c r="C240" s="138" t="s">
        <v>177</v>
      </c>
      <c r="D240" s="6" t="s">
        <v>512</v>
      </c>
      <c r="E240" s="27" t="n">
        <f aca="false" ca="true" dt2D="false" dtr="false" t="normal">SUBTOTAL(9, F240:T240)</f>
        <v>3508963.12</v>
      </c>
      <c r="F240" s="18" t="n">
        <v>3508963.12</v>
      </c>
      <c r="G240" s="18" t="n"/>
      <c r="H240" s="18" t="n"/>
      <c r="I240" s="18" t="n"/>
      <c r="J240" s="18" t="n"/>
      <c r="K240" s="18" t="n"/>
      <c r="L240" s="18" t="n"/>
      <c r="M240" s="18" t="n"/>
      <c r="N240" s="18" t="n"/>
      <c r="O240" s="18" t="n"/>
      <c r="P240" s="18" t="n"/>
      <c r="Q240" s="18" t="n"/>
      <c r="R240" s="18" t="n"/>
      <c r="S240" s="18" t="n"/>
      <c r="T240" s="191" t="n"/>
      <c r="U240" s="0" t="n"/>
      <c r="V240" s="333" t="n"/>
      <c r="W240" s="0" t="n"/>
      <c r="X240" s="0" t="n"/>
      <c r="Y240" s="0" t="n"/>
      <c r="Z240" s="0" t="n"/>
      <c r="AA240" s="0" t="n"/>
      <c r="AB240" s="0" t="n"/>
      <c r="AC240" s="0" t="n"/>
      <c r="AD240" s="0" t="n"/>
      <c r="AE240" s="0" t="n"/>
      <c r="AF240" s="0" t="n"/>
      <c r="AG240" s="0" t="n"/>
      <c r="AH240" s="0" t="n"/>
      <c r="AI240" s="0" t="n"/>
      <c r="AJ240" s="0" t="n"/>
      <c r="AK240" s="0" t="n"/>
      <c r="AL240" s="0" t="n"/>
      <c r="AM240" s="0" t="n"/>
      <c r="AN240" s="0" t="n"/>
      <c r="AO240" s="0" t="n"/>
      <c r="AP240" s="0" t="n"/>
      <c r="AQ240" s="0" t="n"/>
      <c r="AR240" s="0" t="n"/>
      <c r="AS240" s="0" t="n"/>
      <c r="AT240" s="0" t="n"/>
      <c r="AU240" s="0" t="n"/>
      <c r="AV240" s="0" t="n"/>
      <c r="AW240" s="0" t="n"/>
      <c r="AX240" s="0" t="n"/>
      <c r="AY240" s="0" t="n"/>
      <c r="AZ240" s="0" t="n"/>
      <c r="BA240" s="0" t="n"/>
      <c r="BB240" s="0" t="n"/>
      <c r="BC240" s="0" t="n"/>
      <c r="BD240" s="0" t="n"/>
      <c r="BE240" s="0" t="n"/>
      <c r="BF240" s="0" t="n"/>
      <c r="BG240" s="0" t="n"/>
      <c r="BH240" s="0" t="n"/>
      <c r="BI240" s="0" t="n"/>
      <c r="BJ240" s="0" t="n"/>
      <c r="BK240" s="0" t="n"/>
      <c r="BL240" s="0" t="n"/>
      <c r="BM240" s="0" t="n"/>
      <c r="BN240" s="0" t="n"/>
      <c r="BO240" s="0" t="n"/>
      <c r="BP240" s="0" t="n"/>
    </row>
    <row outlineLevel="0" r="241">
      <c r="A241" s="331" t="n">
        <f aca="false" ca="false" dt2D="false" dtr="false" t="normal">+A240+1</f>
        <v>225</v>
      </c>
      <c r="B241" s="6" t="n">
        <f aca="false" ca="false" dt2D="false" dtr="false" t="normal">+B240+1</f>
        <v>37</v>
      </c>
      <c r="C241" s="138" t="s">
        <v>177</v>
      </c>
      <c r="D241" s="6" t="s">
        <v>213</v>
      </c>
      <c r="E241" s="203" t="n">
        <f aca="false" ca="true" dt2D="false" dtr="false" t="normal">SUBTOTAL(9, F241:T241)</f>
        <v>13790763.79</v>
      </c>
      <c r="F241" s="18" t="n">
        <v>4434982.51</v>
      </c>
      <c r="G241" s="18" t="n"/>
      <c r="H241" s="18" t="n"/>
      <c r="I241" s="18" t="n"/>
      <c r="J241" s="18" t="n"/>
      <c r="K241" s="18" t="n"/>
      <c r="L241" s="18" t="n"/>
      <c r="M241" s="18" t="n">
        <v>0</v>
      </c>
      <c r="N241" s="18" t="n">
        <v>9355781.28</v>
      </c>
      <c r="O241" s="18" t="n">
        <v>0</v>
      </c>
      <c r="P241" s="18" t="n">
        <v>0</v>
      </c>
      <c r="Q241" s="18" t="n">
        <v>0</v>
      </c>
      <c r="R241" s="18" t="n"/>
      <c r="S241" s="18" t="n"/>
      <c r="T241" s="191" t="n"/>
      <c r="U241" s="0" t="n"/>
      <c r="V241" s="333" t="n"/>
      <c r="W241" s="0" t="n"/>
      <c r="X241" s="0" t="n"/>
      <c r="Y241" s="0" t="n"/>
      <c r="Z241" s="0" t="n"/>
      <c r="AA241" s="0" t="n"/>
      <c r="AB241" s="0" t="n"/>
      <c r="AC241" s="0" t="n"/>
      <c r="AD241" s="0" t="n"/>
      <c r="AE241" s="0" t="n"/>
      <c r="AF241" s="0" t="n"/>
      <c r="AG241" s="0" t="n"/>
      <c r="AH241" s="0" t="n"/>
      <c r="AI241" s="0" t="n"/>
      <c r="AJ241" s="0" t="n"/>
      <c r="AK241" s="0" t="n"/>
      <c r="AL241" s="0" t="n"/>
      <c r="AM241" s="0" t="n"/>
      <c r="AN241" s="0" t="n"/>
      <c r="AO241" s="0" t="n"/>
      <c r="AP241" s="0" t="n"/>
      <c r="AQ241" s="0" t="n"/>
      <c r="AR241" s="0" t="n"/>
      <c r="AS241" s="0" t="n"/>
      <c r="AT241" s="0" t="n"/>
      <c r="AU241" s="0" t="n"/>
      <c r="AV241" s="0" t="n"/>
      <c r="AW241" s="0" t="n"/>
      <c r="AX241" s="0" t="n"/>
      <c r="AY241" s="0" t="n"/>
      <c r="AZ241" s="0" t="n"/>
      <c r="BA241" s="0" t="n"/>
      <c r="BB241" s="0" t="n"/>
      <c r="BC241" s="0" t="n"/>
      <c r="BD241" s="0" t="n"/>
      <c r="BE241" s="0" t="n"/>
      <c r="BF241" s="0" t="n"/>
      <c r="BG241" s="0" t="n"/>
      <c r="BH241" s="0" t="n"/>
      <c r="BI241" s="0" t="n"/>
      <c r="BJ241" s="0" t="n"/>
      <c r="BK241" s="0" t="n"/>
      <c r="BL241" s="0" t="n"/>
      <c r="BM241" s="0" t="n"/>
      <c r="BN241" s="0" t="n"/>
      <c r="BO241" s="0" t="n"/>
      <c r="BP241" s="0" t="n"/>
    </row>
    <row outlineLevel="0" r="242">
      <c r="A242" s="331" t="n">
        <f aca="false" ca="false" dt2D="false" dtr="false" t="normal">+A241+1</f>
        <v>226</v>
      </c>
      <c r="B242" s="6" t="n">
        <f aca="false" ca="false" dt2D="false" dtr="false" t="normal">+B241+1</f>
        <v>38</v>
      </c>
      <c r="C242" s="138" t="s">
        <v>177</v>
      </c>
      <c r="D242" s="6" t="s">
        <v>217</v>
      </c>
      <c r="E242" s="27" t="n">
        <f aca="false" ca="true" dt2D="false" dtr="false" t="normal">SUBTOTAL(9, F242:T242)</f>
        <v>869774.96</v>
      </c>
      <c r="F242" s="18" t="n"/>
      <c r="G242" s="18" t="n"/>
      <c r="H242" s="18" t="n"/>
      <c r="I242" s="18" t="n"/>
      <c r="J242" s="18" t="n">
        <v>869774.96</v>
      </c>
      <c r="K242" s="18" t="n"/>
      <c r="L242" s="18" t="n"/>
      <c r="M242" s="18" t="n">
        <v>0</v>
      </c>
      <c r="N242" s="18" t="n">
        <v>0</v>
      </c>
      <c r="O242" s="18" t="n">
        <v>0</v>
      </c>
      <c r="P242" s="18" t="n">
        <v>0</v>
      </c>
      <c r="Q242" s="18" t="n">
        <v>0</v>
      </c>
      <c r="R242" s="18" t="n"/>
      <c r="S242" s="18" t="n"/>
      <c r="T242" s="191" t="n"/>
      <c r="U242" s="0" t="n"/>
      <c r="V242" s="333" t="n"/>
      <c r="W242" s="0" t="n"/>
      <c r="X242" s="0" t="n"/>
      <c r="Y242" s="0" t="n"/>
      <c r="Z242" s="0" t="n"/>
      <c r="AA242" s="0" t="n"/>
      <c r="AB242" s="0" t="n"/>
      <c r="AC242" s="0" t="n"/>
      <c r="AD242" s="0" t="n"/>
      <c r="AE242" s="0" t="n"/>
      <c r="AF242" s="0" t="n"/>
      <c r="AG242" s="0" t="n"/>
      <c r="AH242" s="0" t="n"/>
      <c r="AI242" s="0" t="n"/>
      <c r="AJ242" s="0" t="n"/>
      <c r="AK242" s="0" t="n"/>
      <c r="AL242" s="0" t="n"/>
      <c r="AM242" s="0" t="n"/>
      <c r="AN242" s="0" t="n"/>
      <c r="AO242" s="0" t="n"/>
      <c r="AP242" s="0" t="n"/>
      <c r="AQ242" s="0" t="n"/>
      <c r="AR242" s="0" t="n"/>
      <c r="AS242" s="0" t="n"/>
      <c r="AT242" s="0" t="n"/>
      <c r="AU242" s="0" t="n"/>
      <c r="AV242" s="0" t="n"/>
      <c r="AW242" s="0" t="n"/>
      <c r="AX242" s="0" t="n"/>
      <c r="AY242" s="0" t="n"/>
      <c r="AZ242" s="0" t="n"/>
      <c r="BA242" s="0" t="n"/>
      <c r="BB242" s="0" t="n"/>
      <c r="BC242" s="0" t="n"/>
      <c r="BD242" s="0" t="n"/>
      <c r="BE242" s="0" t="n"/>
      <c r="BF242" s="0" t="n"/>
      <c r="BG242" s="0" t="n"/>
      <c r="BH242" s="0" t="n"/>
      <c r="BI242" s="0" t="n"/>
      <c r="BJ242" s="0" t="n"/>
      <c r="BK242" s="0" t="n"/>
      <c r="BL242" s="0" t="n"/>
      <c r="BM242" s="0" t="n"/>
      <c r="BN242" s="0" t="n"/>
      <c r="BO242" s="0" t="n"/>
      <c r="BP242" s="0" t="n"/>
    </row>
    <row outlineLevel="0" r="243">
      <c r="A243" s="331" t="n">
        <f aca="false" ca="false" dt2D="false" dtr="false" t="normal">+A242+1</f>
        <v>227</v>
      </c>
      <c r="B243" s="6" t="n">
        <f aca="false" ca="false" dt2D="false" dtr="false" t="normal">+B242+1</f>
        <v>39</v>
      </c>
      <c r="C243" s="138" t="s">
        <v>177</v>
      </c>
      <c r="D243" s="6" t="s">
        <v>204</v>
      </c>
      <c r="E243" s="27" t="n">
        <f aca="false" ca="true" dt2D="false" dtr="false" t="normal">SUBTOTAL(9, F243:T243)</f>
        <v>1634481.86</v>
      </c>
      <c r="F243" s="18" t="n"/>
      <c r="G243" s="18" t="n"/>
      <c r="H243" s="18" t="n">
        <v>1620199.79</v>
      </c>
      <c r="I243" s="18" t="n"/>
      <c r="J243" s="18" t="n"/>
      <c r="K243" s="18" t="n"/>
      <c r="L243" s="18" t="n"/>
      <c r="M243" s="18" t="n">
        <v>0</v>
      </c>
      <c r="N243" s="18" t="n"/>
      <c r="O243" s="18" t="n"/>
      <c r="P243" s="18" t="n"/>
      <c r="Q243" s="18" t="n"/>
      <c r="R243" s="18" t="n"/>
      <c r="S243" s="18" t="n"/>
      <c r="T243" s="191" t="n">
        <v>14282.07</v>
      </c>
      <c r="U243" s="0" t="n"/>
      <c r="V243" s="333" t="n"/>
      <c r="W243" s="0" t="n"/>
      <c r="X243" s="0" t="n"/>
      <c r="Y243" s="0" t="n"/>
      <c r="Z243" s="0" t="n"/>
      <c r="AA243" s="0" t="n"/>
      <c r="AB243" s="0" t="n"/>
      <c r="AC243" s="0" t="n"/>
      <c r="AD243" s="0" t="n"/>
      <c r="AE243" s="0" t="n"/>
      <c r="AF243" s="0" t="n"/>
      <c r="AG243" s="0" t="n"/>
      <c r="AH243" s="0" t="n"/>
      <c r="AI243" s="0" t="n"/>
      <c r="AJ243" s="0" t="n"/>
      <c r="AK243" s="0" t="n"/>
      <c r="AL243" s="0" t="n"/>
      <c r="AM243" s="0" t="n"/>
      <c r="AN243" s="0" t="n"/>
      <c r="AO243" s="0" t="n"/>
      <c r="AP243" s="0" t="n"/>
      <c r="AQ243" s="0" t="n"/>
      <c r="AR243" s="0" t="n"/>
      <c r="AS243" s="0" t="n"/>
      <c r="AT243" s="0" t="n"/>
      <c r="AU243" s="0" t="n"/>
      <c r="AV243" s="0" t="n"/>
      <c r="AW243" s="0" t="n"/>
      <c r="AX243" s="0" t="n"/>
      <c r="AY243" s="0" t="n"/>
      <c r="AZ243" s="0" t="n"/>
      <c r="BA243" s="0" t="n"/>
      <c r="BB243" s="0" t="n"/>
      <c r="BC243" s="0" t="n"/>
      <c r="BD243" s="0" t="n"/>
      <c r="BE243" s="0" t="n"/>
      <c r="BF243" s="0" t="n"/>
      <c r="BG243" s="0" t="n"/>
      <c r="BH243" s="0" t="n"/>
      <c r="BI243" s="0" t="n"/>
      <c r="BJ243" s="0" t="n"/>
      <c r="BK243" s="0" t="n"/>
      <c r="BL243" s="0" t="n"/>
      <c r="BM243" s="0" t="n"/>
      <c r="BN243" s="0" t="n"/>
      <c r="BO243" s="0" t="n"/>
      <c r="BP243" s="0" t="n"/>
    </row>
    <row outlineLevel="0" r="244">
      <c r="A244" s="331" t="n">
        <f aca="false" ca="false" dt2D="false" dtr="false" t="normal">+A243+1</f>
        <v>228</v>
      </c>
      <c r="B244" s="6" t="n">
        <f aca="false" ca="false" dt2D="false" dtr="false" t="normal">+B243+1</f>
        <v>40</v>
      </c>
      <c r="C244" s="138" t="s">
        <v>177</v>
      </c>
      <c r="D244" s="6" t="s">
        <v>515</v>
      </c>
      <c r="E244" s="203" t="n">
        <f aca="false" ca="true" dt2D="false" dtr="false" t="normal">SUBTOTAL(9, F244:T244)</f>
        <v>4289744.53</v>
      </c>
      <c r="F244" s="18" t="n"/>
      <c r="G244" s="18" t="n"/>
      <c r="H244" s="18" t="n">
        <v>1021002.86</v>
      </c>
      <c r="I244" s="18" t="n"/>
      <c r="J244" s="18" t="n">
        <v>0</v>
      </c>
      <c r="K244" s="18" t="n"/>
      <c r="L244" s="18" t="n"/>
      <c r="M244" s="18" t="n">
        <v>0</v>
      </c>
      <c r="N244" s="18" t="n"/>
      <c r="O244" s="18" t="n">
        <v>0</v>
      </c>
      <c r="P244" s="18" t="n">
        <v>3268741.67</v>
      </c>
      <c r="Q244" s="18" t="n"/>
      <c r="R244" s="18" t="n"/>
      <c r="S244" s="18" t="n"/>
      <c r="T244" s="191" t="n"/>
      <c r="U244" s="0" t="n"/>
      <c r="V244" s="333" t="n"/>
      <c r="W244" s="0" t="n"/>
      <c r="X244" s="0" t="n"/>
      <c r="Y244" s="0" t="n"/>
      <c r="Z244" s="0" t="n"/>
      <c r="AA244" s="0" t="n"/>
      <c r="AB244" s="0" t="n"/>
      <c r="AC244" s="0" t="n"/>
      <c r="AD244" s="0" t="n"/>
      <c r="AE244" s="0" t="n"/>
      <c r="AF244" s="0" t="n"/>
      <c r="AG244" s="0" t="n"/>
      <c r="AH244" s="0" t="n"/>
      <c r="AI244" s="0" t="n"/>
      <c r="AJ244" s="0" t="n"/>
      <c r="AK244" s="0" t="n"/>
      <c r="AL244" s="0" t="n"/>
      <c r="AM244" s="0" t="n"/>
      <c r="AN244" s="0" t="n"/>
      <c r="AO244" s="0" t="n"/>
      <c r="AP244" s="0" t="n"/>
      <c r="AQ244" s="0" t="n"/>
      <c r="AR244" s="0" t="n"/>
      <c r="AS244" s="0" t="n"/>
      <c r="AT244" s="0" t="n"/>
      <c r="AU244" s="0" t="n"/>
      <c r="AV244" s="0" t="n"/>
      <c r="AW244" s="0" t="n"/>
      <c r="AX244" s="0" t="n"/>
      <c r="AY244" s="0" t="n"/>
      <c r="AZ244" s="0" t="n"/>
      <c r="BA244" s="0" t="n"/>
      <c r="BB244" s="0" t="n"/>
      <c r="BC244" s="0" t="n"/>
      <c r="BD244" s="0" t="n"/>
      <c r="BE244" s="0" t="n"/>
      <c r="BF244" s="0" t="n"/>
      <c r="BG244" s="0" t="n"/>
      <c r="BH244" s="0" t="n"/>
      <c r="BI244" s="0" t="n"/>
      <c r="BJ244" s="0" t="n"/>
      <c r="BK244" s="0" t="n"/>
      <c r="BL244" s="0" t="n"/>
      <c r="BM244" s="0" t="n"/>
      <c r="BN244" s="0" t="n"/>
      <c r="BO244" s="0" t="n"/>
      <c r="BP244" s="0" t="n"/>
    </row>
    <row outlineLevel="0" r="245">
      <c r="A245" s="331" t="n">
        <f aca="false" ca="false" dt2D="false" dtr="false" t="normal">+A244+1</f>
        <v>229</v>
      </c>
      <c r="B245" s="6" t="n">
        <f aca="false" ca="false" dt2D="false" dtr="false" t="normal">+B244+1</f>
        <v>41</v>
      </c>
      <c r="C245" s="138" t="s">
        <v>177</v>
      </c>
      <c r="D245" s="6" t="s">
        <v>220</v>
      </c>
      <c r="E245" s="27" t="n">
        <f aca="false" ca="true" dt2D="false" dtr="false" t="normal">SUBTOTAL(9, F245:T245)</f>
        <v>21394398.21</v>
      </c>
      <c r="F245" s="18" t="n"/>
      <c r="G245" s="18" t="n">
        <v>0</v>
      </c>
      <c r="H245" s="18" t="n"/>
      <c r="I245" s="18" t="n"/>
      <c r="J245" s="18" t="n">
        <v>0</v>
      </c>
      <c r="K245" s="18" t="n"/>
      <c r="L245" s="18" t="n"/>
      <c r="M245" s="18" t="n">
        <v>0</v>
      </c>
      <c r="N245" s="18" t="n"/>
      <c r="O245" s="18" t="n">
        <v>0</v>
      </c>
      <c r="P245" s="18" t="n">
        <v>21288932.28</v>
      </c>
      <c r="Q245" s="18" t="n">
        <v>0</v>
      </c>
      <c r="R245" s="18" t="n"/>
      <c r="S245" s="18" t="n"/>
      <c r="T245" s="191" t="n">
        <v>105465.93</v>
      </c>
      <c r="U245" s="0" t="n"/>
      <c r="V245" s="333" t="n"/>
      <c r="W245" s="0" t="n"/>
      <c r="X245" s="0" t="n"/>
      <c r="Y245" s="0" t="n"/>
      <c r="Z245" s="0" t="n"/>
      <c r="AA245" s="0" t="n"/>
      <c r="AB245" s="0" t="n"/>
      <c r="AC245" s="0" t="n"/>
      <c r="AD245" s="0" t="n"/>
      <c r="AE245" s="0" t="n"/>
      <c r="AF245" s="0" t="n"/>
      <c r="AG245" s="0" t="n"/>
      <c r="AH245" s="0" t="n"/>
      <c r="AI245" s="0" t="n"/>
      <c r="AJ245" s="0" t="n"/>
      <c r="AK245" s="0" t="n"/>
      <c r="AL245" s="0" t="n"/>
      <c r="AM245" s="0" t="n"/>
      <c r="AN245" s="0" t="n"/>
      <c r="AO245" s="0" t="n"/>
      <c r="AP245" s="0" t="n"/>
      <c r="AQ245" s="0" t="n"/>
      <c r="AR245" s="0" t="n"/>
      <c r="AS245" s="0" t="n"/>
      <c r="AT245" s="0" t="n"/>
      <c r="AU245" s="0" t="n"/>
      <c r="AV245" s="0" t="n"/>
      <c r="AW245" s="0" t="n"/>
      <c r="AX245" s="0" t="n"/>
      <c r="AY245" s="0" t="n"/>
      <c r="AZ245" s="0" t="n"/>
      <c r="BA245" s="0" t="n"/>
      <c r="BB245" s="0" t="n"/>
      <c r="BC245" s="0" t="n"/>
      <c r="BD245" s="0" t="n"/>
      <c r="BE245" s="0" t="n"/>
      <c r="BF245" s="0" t="n"/>
      <c r="BG245" s="0" t="n"/>
      <c r="BH245" s="0" t="n"/>
      <c r="BI245" s="0" t="n"/>
      <c r="BJ245" s="0" t="n"/>
      <c r="BK245" s="0" t="n"/>
      <c r="BL245" s="0" t="n"/>
      <c r="BM245" s="0" t="n"/>
      <c r="BN245" s="0" t="n"/>
      <c r="BO245" s="0" t="n"/>
      <c r="BP245" s="0" t="n"/>
    </row>
    <row outlineLevel="0" r="246">
      <c r="A246" s="331" t="n">
        <f aca="false" ca="false" dt2D="false" dtr="false" t="normal">+A245+1</f>
        <v>230</v>
      </c>
      <c r="B246" s="6" t="n">
        <f aca="false" ca="false" dt2D="false" dtr="false" t="normal">+B245+1</f>
        <v>42</v>
      </c>
      <c r="C246" s="138" t="s">
        <v>177</v>
      </c>
      <c r="D246" s="6" t="s">
        <v>222</v>
      </c>
      <c r="E246" s="27" t="n">
        <f aca="false" ca="true" dt2D="false" dtr="false" t="normal">SUBTOTAL(9, F246:T246)</f>
        <v>6217970.3</v>
      </c>
      <c r="F246" s="18" t="n">
        <v>3795804.42</v>
      </c>
      <c r="G246" s="18" t="n">
        <v>0</v>
      </c>
      <c r="H246" s="18" t="n"/>
      <c r="I246" s="18" t="n">
        <v>2422165.88</v>
      </c>
      <c r="J246" s="18" t="n">
        <v>0</v>
      </c>
      <c r="K246" s="18" t="n"/>
      <c r="L246" s="18" t="n"/>
      <c r="M246" s="18" t="n">
        <v>0</v>
      </c>
      <c r="N246" s="18" t="n"/>
      <c r="O246" s="18" t="n">
        <v>0</v>
      </c>
      <c r="P246" s="18" t="n"/>
      <c r="Q246" s="18" t="n">
        <v>0</v>
      </c>
      <c r="R246" s="18" t="n"/>
      <c r="S246" s="18" t="n"/>
      <c r="T246" s="191" t="n"/>
      <c r="U246" s="0" t="n"/>
      <c r="V246" s="333" t="n"/>
      <c r="W246" s="0" t="n"/>
      <c r="X246" s="0" t="n"/>
      <c r="Y246" s="0" t="n"/>
      <c r="Z246" s="0" t="n"/>
      <c r="AA246" s="0" t="n"/>
      <c r="AB246" s="0" t="n"/>
      <c r="AC246" s="0" t="n"/>
      <c r="AD246" s="0" t="n"/>
      <c r="AE246" s="0" t="n"/>
      <c r="AF246" s="0" t="n"/>
      <c r="AG246" s="0" t="n"/>
      <c r="AH246" s="0" t="n"/>
      <c r="AI246" s="0" t="n"/>
      <c r="AJ246" s="0" t="n"/>
      <c r="AK246" s="0" t="n"/>
      <c r="AL246" s="0" t="n"/>
      <c r="AM246" s="0" t="n"/>
      <c r="AN246" s="0" t="n"/>
      <c r="AO246" s="0" t="n"/>
      <c r="AP246" s="0" t="n"/>
      <c r="AQ246" s="0" t="n"/>
      <c r="AR246" s="0" t="n"/>
      <c r="AS246" s="0" t="n"/>
      <c r="AT246" s="0" t="n"/>
      <c r="AU246" s="0" t="n"/>
      <c r="AV246" s="0" t="n"/>
      <c r="AW246" s="0" t="n"/>
      <c r="AX246" s="0" t="n"/>
      <c r="AY246" s="0" t="n"/>
      <c r="AZ246" s="0" t="n"/>
      <c r="BA246" s="0" t="n"/>
      <c r="BB246" s="0" t="n"/>
      <c r="BC246" s="0" t="n"/>
      <c r="BD246" s="0" t="n"/>
      <c r="BE246" s="0" t="n"/>
      <c r="BF246" s="0" t="n"/>
      <c r="BG246" s="0" t="n"/>
      <c r="BH246" s="0" t="n"/>
      <c r="BI246" s="0" t="n"/>
      <c r="BJ246" s="0" t="n"/>
      <c r="BK246" s="0" t="n"/>
      <c r="BL246" s="0" t="n"/>
      <c r="BM246" s="0" t="n"/>
      <c r="BN246" s="0" t="n"/>
      <c r="BO246" s="0" t="n"/>
      <c r="BP246" s="0" t="n"/>
    </row>
    <row outlineLevel="0" r="247">
      <c r="A247" s="331" t="n">
        <f aca="false" ca="false" dt2D="false" dtr="false" t="normal">+A246+1</f>
        <v>231</v>
      </c>
      <c r="B247" s="6" t="n">
        <f aca="false" ca="false" dt2D="false" dtr="false" t="normal">+B246+1</f>
        <v>43</v>
      </c>
      <c r="C247" s="138" t="s">
        <v>177</v>
      </c>
      <c r="D247" s="6" t="s">
        <v>755</v>
      </c>
      <c r="E247" s="27" t="n">
        <f aca="false" ca="true" dt2D="false" dtr="false" t="normal">SUBTOTAL(9, F247:T247)</f>
        <v>2553789.8600000003</v>
      </c>
      <c r="F247" s="18" t="n"/>
      <c r="G247" s="18" t="n">
        <v>0</v>
      </c>
      <c r="H247" s="18" t="n"/>
      <c r="I247" s="18" t="n">
        <v>2451411.64</v>
      </c>
      <c r="J247" s="18" t="n"/>
      <c r="K247" s="18" t="n"/>
      <c r="L247" s="18" t="n"/>
      <c r="M247" s="18" t="n">
        <v>0</v>
      </c>
      <c r="N247" s="18" t="n"/>
      <c r="O247" s="18" t="n">
        <v>0</v>
      </c>
      <c r="P247" s="18" t="n"/>
      <c r="Q247" s="18" t="n">
        <v>0</v>
      </c>
      <c r="R247" s="18" t="n">
        <v>96378.22</v>
      </c>
      <c r="S247" s="18" t="n">
        <v>6000</v>
      </c>
      <c r="T247" s="191" t="n"/>
      <c r="U247" s="0" t="n"/>
      <c r="V247" s="333" t="n"/>
      <c r="W247" s="0" t="n"/>
      <c r="X247" s="0" t="n"/>
      <c r="Y247" s="0" t="n"/>
      <c r="Z247" s="0" t="n"/>
      <c r="AA247" s="0" t="n"/>
      <c r="AB247" s="0" t="n"/>
      <c r="AC247" s="0" t="n"/>
      <c r="AD247" s="0" t="n"/>
      <c r="AE247" s="0" t="n"/>
      <c r="AF247" s="0" t="n"/>
      <c r="AG247" s="0" t="n"/>
      <c r="AH247" s="0" t="n"/>
      <c r="AI247" s="0" t="n"/>
      <c r="AJ247" s="0" t="n"/>
      <c r="AK247" s="0" t="n"/>
      <c r="AL247" s="0" t="n"/>
      <c r="AM247" s="0" t="n"/>
      <c r="AN247" s="0" t="n"/>
      <c r="AO247" s="0" t="n"/>
      <c r="AP247" s="0" t="n"/>
      <c r="AQ247" s="0" t="n"/>
      <c r="AR247" s="0" t="n"/>
      <c r="AS247" s="0" t="n"/>
      <c r="AT247" s="0" t="n"/>
      <c r="AU247" s="0" t="n"/>
      <c r="AV247" s="0" t="n"/>
      <c r="AW247" s="0" t="n"/>
      <c r="AX247" s="0" t="n"/>
      <c r="AY247" s="0" t="n"/>
      <c r="AZ247" s="0" t="n"/>
      <c r="BA247" s="0" t="n"/>
      <c r="BB247" s="0" t="n"/>
      <c r="BC247" s="0" t="n"/>
      <c r="BD247" s="0" t="n"/>
      <c r="BE247" s="0" t="n"/>
      <c r="BF247" s="0" t="n"/>
      <c r="BG247" s="0" t="n"/>
      <c r="BH247" s="0" t="n"/>
      <c r="BI247" s="0" t="n"/>
      <c r="BJ247" s="0" t="n"/>
      <c r="BK247" s="0" t="n"/>
      <c r="BL247" s="0" t="n"/>
      <c r="BM247" s="0" t="n"/>
      <c r="BN247" s="0" t="n"/>
      <c r="BO247" s="0" t="n"/>
      <c r="BP247" s="0" t="n"/>
    </row>
    <row outlineLevel="0" r="248">
      <c r="A248" s="331" t="n">
        <f aca="false" ca="false" dt2D="false" dtr="false" t="normal">+A247+1</f>
        <v>232</v>
      </c>
      <c r="B248" s="6" t="n">
        <f aca="false" ca="false" dt2D="false" dtr="false" t="normal">+B247+1</f>
        <v>44</v>
      </c>
      <c r="C248" s="138" t="s">
        <v>177</v>
      </c>
      <c r="D248" s="6" t="s">
        <v>226</v>
      </c>
      <c r="E248" s="27" t="n">
        <f aca="false" ca="true" dt2D="false" dtr="false" t="normal">SUBTOTAL(9, F248:T248)</f>
        <v>7129845.5600000005</v>
      </c>
      <c r="F248" s="18" t="n">
        <v>3308322.58</v>
      </c>
      <c r="G248" s="18" t="n">
        <v>2035764.2</v>
      </c>
      <c r="H248" s="18" t="n">
        <v>882116.62</v>
      </c>
      <c r="I248" s="18" t="n">
        <v>903642.16</v>
      </c>
      <c r="J248" s="18" t="n">
        <v>0</v>
      </c>
      <c r="K248" s="18" t="n"/>
      <c r="L248" s="18" t="n"/>
      <c r="M248" s="18" t="n">
        <v>0</v>
      </c>
      <c r="N248" s="18" t="n">
        <v>0</v>
      </c>
      <c r="O248" s="18" t="n">
        <v>0</v>
      </c>
      <c r="P248" s="18" t="n"/>
      <c r="Q248" s="18" t="n">
        <v>0</v>
      </c>
      <c r="R248" s="18" t="n"/>
      <c r="S248" s="18" t="n"/>
      <c r="T248" s="191" t="n"/>
      <c r="U248" s="0" t="n"/>
      <c r="V248" s="333" t="n"/>
      <c r="W248" s="0" t="n"/>
      <c r="X248" s="0" t="n"/>
      <c r="Y248" s="0" t="n"/>
      <c r="Z248" s="0" t="n"/>
      <c r="AA248" s="0" t="n"/>
      <c r="AB248" s="0" t="n"/>
      <c r="AC248" s="0" t="n"/>
      <c r="AD248" s="0" t="n"/>
      <c r="AE248" s="0" t="n"/>
      <c r="AF248" s="0" t="n"/>
      <c r="AG248" s="0" t="n"/>
      <c r="AH248" s="0" t="n"/>
      <c r="AI248" s="0" t="n"/>
      <c r="AJ248" s="0" t="n"/>
      <c r="AK248" s="0" t="n"/>
      <c r="AL248" s="0" t="n"/>
      <c r="AM248" s="0" t="n"/>
      <c r="AN248" s="0" t="n"/>
      <c r="AO248" s="0" t="n"/>
      <c r="AP248" s="0" t="n"/>
      <c r="AQ248" s="0" t="n"/>
      <c r="AR248" s="0" t="n"/>
      <c r="AS248" s="0" t="n"/>
      <c r="AT248" s="0" t="n"/>
      <c r="AU248" s="0" t="n"/>
      <c r="AV248" s="0" t="n"/>
      <c r="AW248" s="0" t="n"/>
      <c r="AX248" s="0" t="n"/>
      <c r="AY248" s="0" t="n"/>
      <c r="AZ248" s="0" t="n"/>
      <c r="BA248" s="0" t="n"/>
      <c r="BB248" s="0" t="n"/>
      <c r="BC248" s="0" t="n"/>
      <c r="BD248" s="0" t="n"/>
      <c r="BE248" s="0" t="n"/>
      <c r="BF248" s="0" t="n"/>
      <c r="BG248" s="0" t="n"/>
      <c r="BH248" s="0" t="n"/>
      <c r="BI248" s="0" t="n"/>
      <c r="BJ248" s="0" t="n"/>
      <c r="BK248" s="0" t="n"/>
      <c r="BL248" s="0" t="n"/>
      <c r="BM248" s="0" t="n"/>
      <c r="BN248" s="0" t="n"/>
      <c r="BO248" s="0" t="n"/>
      <c r="BP248" s="0" t="n"/>
    </row>
    <row outlineLevel="0" r="249">
      <c r="A249" s="331" t="n">
        <f aca="false" ca="false" dt2D="false" dtr="false" t="normal">+A248+1</f>
        <v>233</v>
      </c>
      <c r="B249" s="6" t="n">
        <f aca="false" ca="false" dt2D="false" dtr="false" t="normal">+B248+1</f>
        <v>45</v>
      </c>
      <c r="C249" s="138" t="s">
        <v>177</v>
      </c>
      <c r="D249" s="6" t="s">
        <v>334</v>
      </c>
      <c r="E249" s="203" t="n">
        <f aca="false" ca="true" dt2D="false" dtr="false" t="normal">SUBTOTAL(9, F249:T249)</f>
        <v>14942570.33</v>
      </c>
      <c r="F249" s="18" t="n">
        <v>0</v>
      </c>
      <c r="G249" s="18" t="n">
        <v>0</v>
      </c>
      <c r="H249" s="18" t="n">
        <v>0</v>
      </c>
      <c r="I249" s="18" t="n"/>
      <c r="J249" s="18" t="n">
        <v>0</v>
      </c>
      <c r="K249" s="18" t="n"/>
      <c r="L249" s="18" t="n"/>
      <c r="M249" s="18" t="n"/>
      <c r="N249" s="18" t="n">
        <v>2182360.9</v>
      </c>
      <c r="O249" s="18" t="n">
        <v>0</v>
      </c>
      <c r="P249" s="18" t="n">
        <v>10009863.22</v>
      </c>
      <c r="Q249" s="18" t="n">
        <v>2520155.45</v>
      </c>
      <c r="R249" s="18" t="n">
        <v>212190.76</v>
      </c>
      <c r="S249" s="18" t="n">
        <v>18000</v>
      </c>
      <c r="T249" s="191" t="n"/>
      <c r="U249" s="0" t="n"/>
      <c r="V249" s="333" t="n"/>
      <c r="W249" s="0" t="n"/>
      <c r="X249" s="0" t="n"/>
      <c r="Y249" s="0" t="n"/>
      <c r="Z249" s="0" t="n"/>
      <c r="AA249" s="0" t="n"/>
      <c r="AB249" s="0" t="n"/>
      <c r="AC249" s="0" t="n"/>
      <c r="AD249" s="0" t="n"/>
      <c r="AE249" s="0" t="n"/>
      <c r="AF249" s="0" t="n"/>
      <c r="AG249" s="0" t="n"/>
      <c r="AH249" s="0" t="n"/>
      <c r="AI249" s="0" t="n"/>
      <c r="AJ249" s="0" t="n"/>
      <c r="AK249" s="0" t="n"/>
      <c r="AL249" s="0" t="n"/>
      <c r="AM249" s="0" t="n"/>
      <c r="AN249" s="0" t="n"/>
      <c r="AO249" s="0" t="n"/>
      <c r="AP249" s="0" t="n"/>
      <c r="AQ249" s="0" t="n"/>
      <c r="AR249" s="0" t="n"/>
      <c r="AS249" s="0" t="n"/>
      <c r="AT249" s="0" t="n"/>
      <c r="AU249" s="0" t="n"/>
      <c r="AV249" s="0" t="n"/>
      <c r="AW249" s="0" t="n"/>
      <c r="AX249" s="0" t="n"/>
      <c r="AY249" s="0" t="n"/>
      <c r="AZ249" s="0" t="n"/>
      <c r="BA249" s="0" t="n"/>
      <c r="BB249" s="0" t="n"/>
      <c r="BC249" s="0" t="n"/>
      <c r="BD249" s="0" t="n"/>
      <c r="BE249" s="0" t="n"/>
      <c r="BF249" s="0" t="n"/>
      <c r="BG249" s="0" t="n"/>
      <c r="BH249" s="0" t="n"/>
      <c r="BI249" s="0" t="n"/>
      <c r="BJ249" s="0" t="n"/>
      <c r="BK249" s="0" t="n"/>
      <c r="BL249" s="0" t="n"/>
      <c r="BM249" s="0" t="n"/>
      <c r="BN249" s="0" t="n"/>
      <c r="BO249" s="0" t="n"/>
      <c r="BP249" s="0" t="n"/>
    </row>
    <row outlineLevel="0" r="250">
      <c r="A250" s="331" t="n">
        <f aca="false" ca="false" dt2D="false" dtr="false" t="normal">+A249+1</f>
        <v>234</v>
      </c>
      <c r="B250" s="6" t="n">
        <f aca="false" ca="false" dt2D="false" dtr="false" t="normal">+B249+1</f>
        <v>46</v>
      </c>
      <c r="C250" s="138" t="s">
        <v>177</v>
      </c>
      <c r="D250" s="6" t="s">
        <v>345</v>
      </c>
      <c r="E250" s="27" t="n">
        <f aca="false" ca="true" dt2D="false" dtr="false" t="normal">SUBTOTAL(9, F250:T250)</f>
        <v>950120</v>
      </c>
      <c r="F250" s="18" t="n">
        <v>0</v>
      </c>
      <c r="G250" s="18" t="n">
        <v>0</v>
      </c>
      <c r="H250" s="18" t="n">
        <v>0</v>
      </c>
      <c r="I250" s="18" t="n">
        <v>0</v>
      </c>
      <c r="J250" s="18" t="n">
        <v>950120</v>
      </c>
      <c r="K250" s="18" t="n"/>
      <c r="L250" s="18" t="n"/>
      <c r="M250" s="18" t="n">
        <v>0</v>
      </c>
      <c r="N250" s="18" t="n">
        <v>0</v>
      </c>
      <c r="O250" s="18" t="n">
        <v>0</v>
      </c>
      <c r="P250" s="18" t="n">
        <v>0</v>
      </c>
      <c r="Q250" s="18" t="n"/>
      <c r="R250" s="18" t="n"/>
      <c r="S250" s="18" t="n"/>
      <c r="T250" s="191" t="n"/>
      <c r="U250" s="0" t="n"/>
      <c r="V250" s="333" t="n"/>
      <c r="W250" s="0" t="n"/>
      <c r="X250" s="0" t="n"/>
      <c r="Y250" s="0" t="n"/>
      <c r="Z250" s="0" t="n"/>
      <c r="AA250" s="0" t="n"/>
      <c r="AB250" s="0" t="n"/>
      <c r="AC250" s="0" t="n"/>
      <c r="AD250" s="0" t="n"/>
      <c r="AE250" s="0" t="n"/>
      <c r="AF250" s="0" t="n"/>
      <c r="AG250" s="0" t="n"/>
      <c r="AH250" s="0" t="n"/>
      <c r="AI250" s="0" t="n"/>
      <c r="AJ250" s="0" t="n"/>
      <c r="AK250" s="0" t="n"/>
      <c r="AL250" s="0" t="n"/>
      <c r="AM250" s="0" t="n"/>
      <c r="AN250" s="0" t="n"/>
      <c r="AO250" s="0" t="n"/>
      <c r="AP250" s="0" t="n"/>
      <c r="AQ250" s="0" t="n"/>
      <c r="AR250" s="0" t="n"/>
      <c r="AS250" s="0" t="n"/>
      <c r="AT250" s="0" t="n"/>
      <c r="AU250" s="0" t="n"/>
      <c r="AV250" s="0" t="n"/>
      <c r="AW250" s="0" t="n"/>
      <c r="AX250" s="0" t="n"/>
      <c r="AY250" s="0" t="n"/>
      <c r="AZ250" s="0" t="n"/>
      <c r="BA250" s="0" t="n"/>
      <c r="BB250" s="0" t="n"/>
      <c r="BC250" s="0" t="n"/>
      <c r="BD250" s="0" t="n"/>
      <c r="BE250" s="0" t="n"/>
      <c r="BF250" s="0" t="n"/>
      <c r="BG250" s="0" t="n"/>
      <c r="BH250" s="0" t="n"/>
      <c r="BI250" s="0" t="n"/>
      <c r="BJ250" s="0" t="n"/>
      <c r="BK250" s="0" t="n"/>
      <c r="BL250" s="0" t="n"/>
      <c r="BM250" s="0" t="n"/>
      <c r="BN250" s="0" t="n"/>
      <c r="BO250" s="0" t="n"/>
      <c r="BP250" s="0" t="n"/>
    </row>
    <row outlineLevel="0" r="251">
      <c r="A251" s="331" t="n">
        <f aca="false" ca="false" dt2D="false" dtr="false" t="normal">+A250+1</f>
        <v>235</v>
      </c>
      <c r="B251" s="6" t="n">
        <f aca="false" ca="false" dt2D="false" dtr="false" t="normal">+B250+1</f>
        <v>47</v>
      </c>
      <c r="C251" s="138" t="s">
        <v>177</v>
      </c>
      <c r="D251" s="6" t="s">
        <v>346</v>
      </c>
      <c r="E251" s="203" t="n">
        <f aca="false" ca="true" dt2D="false" dtr="false" t="normal">SUBTOTAL(9, F251:T251)</f>
        <v>5220768.84</v>
      </c>
      <c r="F251" s="18" t="n"/>
      <c r="G251" s="18" t="n"/>
      <c r="H251" s="18" t="n">
        <v>1355646.84</v>
      </c>
      <c r="I251" s="18" t="n"/>
      <c r="J251" s="18" t="n"/>
      <c r="K251" s="18" t="n"/>
      <c r="L251" s="18" t="n"/>
      <c r="M251" s="18" t="n">
        <v>0</v>
      </c>
      <c r="N251" s="18" t="n">
        <v>3865122</v>
      </c>
      <c r="O251" s="18" t="n">
        <v>0</v>
      </c>
      <c r="P251" s="18" t="n"/>
      <c r="Q251" s="18" t="n"/>
      <c r="R251" s="18" t="n"/>
      <c r="S251" s="18" t="n"/>
      <c r="T251" s="191" t="n"/>
      <c r="U251" s="0" t="n"/>
      <c r="V251" s="333" t="n"/>
      <c r="W251" s="0" t="n"/>
      <c r="X251" s="0" t="n"/>
      <c r="Y251" s="0" t="n"/>
      <c r="Z251" s="0" t="n"/>
      <c r="AA251" s="0" t="n"/>
      <c r="AB251" s="0" t="n"/>
      <c r="AC251" s="0" t="n"/>
      <c r="AD251" s="0" t="n"/>
      <c r="AE251" s="0" t="n"/>
      <c r="AF251" s="0" t="n"/>
      <c r="AG251" s="0" t="n"/>
      <c r="AH251" s="0" t="n"/>
      <c r="AI251" s="0" t="n"/>
      <c r="AJ251" s="0" t="n"/>
      <c r="AK251" s="0" t="n"/>
      <c r="AL251" s="0" t="n"/>
      <c r="AM251" s="0" t="n"/>
      <c r="AN251" s="0" t="n"/>
      <c r="AO251" s="0" t="n"/>
      <c r="AP251" s="0" t="n"/>
      <c r="AQ251" s="0" t="n"/>
      <c r="AR251" s="0" t="n"/>
      <c r="AS251" s="0" t="n"/>
      <c r="AT251" s="0" t="n"/>
      <c r="AU251" s="0" t="n"/>
      <c r="AV251" s="0" t="n"/>
      <c r="AW251" s="0" t="n"/>
      <c r="AX251" s="0" t="n"/>
      <c r="AY251" s="0" t="n"/>
      <c r="AZ251" s="0" t="n"/>
      <c r="BA251" s="0" t="n"/>
      <c r="BB251" s="0" t="n"/>
      <c r="BC251" s="0" t="n"/>
      <c r="BD251" s="0" t="n"/>
      <c r="BE251" s="0" t="n"/>
      <c r="BF251" s="0" t="n"/>
      <c r="BG251" s="0" t="n"/>
      <c r="BH251" s="0" t="n"/>
      <c r="BI251" s="0" t="n"/>
      <c r="BJ251" s="0" t="n"/>
      <c r="BK251" s="0" t="n"/>
      <c r="BL251" s="0" t="n"/>
      <c r="BM251" s="0" t="n"/>
      <c r="BN251" s="0" t="n"/>
      <c r="BO251" s="0" t="n"/>
      <c r="BP251" s="0" t="n"/>
    </row>
    <row outlineLevel="0" r="252">
      <c r="A252" s="331" t="n">
        <f aca="false" ca="false" dt2D="false" dtr="false" t="normal">+A251+1</f>
        <v>236</v>
      </c>
      <c r="B252" s="6" t="n">
        <f aca="false" ca="false" dt2D="false" dtr="false" t="normal">+B251+1</f>
        <v>48</v>
      </c>
      <c r="C252" s="138" t="s">
        <v>177</v>
      </c>
      <c r="D252" s="6" t="s">
        <v>522</v>
      </c>
      <c r="E252" s="27" t="n">
        <f aca="false" ca="true" dt2D="false" dtr="false" t="normal">SUBTOTAL(9, F252:T252)</f>
        <v>16398542.43</v>
      </c>
      <c r="F252" s="18" t="n">
        <v>0</v>
      </c>
      <c r="G252" s="18" t="n">
        <v>0</v>
      </c>
      <c r="H252" s="18" t="n">
        <v>0</v>
      </c>
      <c r="I252" s="18" t="n">
        <v>0</v>
      </c>
      <c r="J252" s="18" t="n">
        <v>1554723.07</v>
      </c>
      <c r="K252" s="18" t="n"/>
      <c r="L252" s="18" t="n"/>
      <c r="M252" s="18" t="n">
        <v>0</v>
      </c>
      <c r="N252" s="18" t="n">
        <v>0</v>
      </c>
      <c r="O252" s="18" t="n">
        <v>0</v>
      </c>
      <c r="P252" s="18" t="n"/>
      <c r="Q252" s="18" t="n">
        <v>14843819.36</v>
      </c>
      <c r="R252" s="18" t="n"/>
      <c r="S252" s="18" t="n"/>
      <c r="T252" s="191" t="n"/>
      <c r="U252" s="0" t="n"/>
      <c r="V252" s="333" t="n"/>
      <c r="W252" s="0" t="n"/>
      <c r="X252" s="0" t="n"/>
      <c r="Y252" s="0" t="n"/>
      <c r="Z252" s="0" t="n"/>
      <c r="AA252" s="0" t="n"/>
      <c r="AB252" s="0" t="n"/>
      <c r="AC252" s="0" t="n"/>
      <c r="AD252" s="0" t="n"/>
      <c r="AE252" s="0" t="n"/>
      <c r="AF252" s="0" t="n"/>
      <c r="AG252" s="0" t="n"/>
      <c r="AH252" s="0" t="n"/>
      <c r="AI252" s="0" t="n"/>
      <c r="AJ252" s="0" t="n"/>
      <c r="AK252" s="0" t="n"/>
      <c r="AL252" s="0" t="n"/>
      <c r="AM252" s="0" t="n"/>
      <c r="AN252" s="0" t="n"/>
      <c r="AO252" s="0" t="n"/>
      <c r="AP252" s="0" t="n"/>
      <c r="AQ252" s="0" t="n"/>
      <c r="AR252" s="0" t="n"/>
      <c r="AS252" s="0" t="n"/>
      <c r="AT252" s="0" t="n"/>
      <c r="AU252" s="0" t="n"/>
      <c r="AV252" s="0" t="n"/>
      <c r="AW252" s="0" t="n"/>
      <c r="AX252" s="0" t="n"/>
      <c r="AY252" s="0" t="n"/>
      <c r="AZ252" s="0" t="n"/>
      <c r="BA252" s="0" t="n"/>
      <c r="BB252" s="0" t="n"/>
      <c r="BC252" s="0" t="n"/>
      <c r="BD252" s="0" t="n"/>
      <c r="BE252" s="0" t="n"/>
      <c r="BF252" s="0" t="n"/>
      <c r="BG252" s="0" t="n"/>
      <c r="BH252" s="0" t="n"/>
      <c r="BI252" s="0" t="n"/>
      <c r="BJ252" s="0" t="n"/>
      <c r="BK252" s="0" t="n"/>
      <c r="BL252" s="0" t="n"/>
      <c r="BM252" s="0" t="n"/>
      <c r="BN252" s="0" t="n"/>
      <c r="BO252" s="0" t="n"/>
      <c r="BP252" s="0" t="n"/>
    </row>
    <row outlineLevel="0" r="253">
      <c r="A253" s="331" t="n">
        <f aca="false" ca="false" dt2D="false" dtr="false" t="normal">+A252+1</f>
        <v>237</v>
      </c>
      <c r="B253" s="6" t="n">
        <f aca="false" ca="false" dt2D="false" dtr="false" t="normal">+B252+1</f>
        <v>49</v>
      </c>
      <c r="C253" s="138" t="s">
        <v>177</v>
      </c>
      <c r="D253" s="6" t="s">
        <v>523</v>
      </c>
      <c r="E253" s="203" t="n">
        <f aca="false" ca="true" dt2D="false" dtr="false" t="normal">SUBTOTAL(9, F253:T253)</f>
        <v>25543712.86</v>
      </c>
      <c r="F253" s="18" t="n">
        <v>6875735.22</v>
      </c>
      <c r="G253" s="18" t="n">
        <v>3918496.3</v>
      </c>
      <c r="H253" s="18" t="n">
        <v>3290123.15</v>
      </c>
      <c r="I253" s="18" t="n">
        <v>2154394.91</v>
      </c>
      <c r="J253" s="18" t="n">
        <v>0</v>
      </c>
      <c r="K253" s="18" t="n"/>
      <c r="L253" s="18" t="n"/>
      <c r="M253" s="18" t="n"/>
      <c r="N253" s="18" t="n">
        <v>9062303.33</v>
      </c>
      <c r="O253" s="18" t="n">
        <v>0</v>
      </c>
      <c r="P253" s="18" t="n">
        <v>0</v>
      </c>
      <c r="Q253" s="18" t="n">
        <v>0</v>
      </c>
      <c r="R253" s="18" t="n">
        <v>218659.95</v>
      </c>
      <c r="S253" s="18" t="n">
        <v>24000</v>
      </c>
      <c r="T253" s="191" t="n"/>
      <c r="U253" s="0" t="n"/>
      <c r="V253" s="333" t="n"/>
      <c r="W253" s="0" t="n"/>
      <c r="X253" s="0" t="n"/>
      <c r="Y253" s="0" t="n"/>
      <c r="Z253" s="0" t="n"/>
      <c r="AA253" s="0" t="n"/>
      <c r="AB253" s="0" t="n"/>
      <c r="AC253" s="0" t="n"/>
      <c r="AD253" s="0" t="n"/>
      <c r="AE253" s="0" t="n"/>
      <c r="AF253" s="0" t="n"/>
      <c r="AG253" s="0" t="n"/>
      <c r="AH253" s="0" t="n"/>
      <c r="AI253" s="0" t="n"/>
      <c r="AJ253" s="0" t="n"/>
      <c r="AK253" s="0" t="n"/>
      <c r="AL253" s="0" t="n"/>
      <c r="AM253" s="0" t="n"/>
      <c r="AN253" s="0" t="n"/>
      <c r="AO253" s="0" t="n"/>
      <c r="AP253" s="0" t="n"/>
      <c r="AQ253" s="0" t="n"/>
      <c r="AR253" s="0" t="n"/>
      <c r="AS253" s="0" t="n"/>
      <c r="AT253" s="0" t="n"/>
      <c r="AU253" s="0" t="n"/>
      <c r="AV253" s="0" t="n"/>
      <c r="AW253" s="0" t="n"/>
      <c r="AX253" s="0" t="n"/>
      <c r="AY253" s="0" t="n"/>
      <c r="AZ253" s="0" t="n"/>
      <c r="BA253" s="0" t="n"/>
      <c r="BB253" s="0" t="n"/>
      <c r="BC253" s="0" t="n"/>
      <c r="BD253" s="0" t="n"/>
      <c r="BE253" s="0" t="n"/>
      <c r="BF253" s="0" t="n"/>
      <c r="BG253" s="0" t="n"/>
      <c r="BH253" s="0" t="n"/>
      <c r="BI253" s="0" t="n"/>
      <c r="BJ253" s="0" t="n"/>
      <c r="BK253" s="0" t="n"/>
      <c r="BL253" s="0" t="n"/>
      <c r="BM253" s="0" t="n"/>
      <c r="BN253" s="0" t="n"/>
      <c r="BO253" s="0" t="n"/>
      <c r="BP253" s="0" t="n"/>
    </row>
    <row outlineLevel="0" r="254">
      <c r="A254" s="331" t="n">
        <f aca="false" ca="false" dt2D="false" dtr="false" t="normal">+A253+1</f>
        <v>238</v>
      </c>
      <c r="B254" s="6" t="n">
        <f aca="false" ca="false" dt2D="false" dtr="false" t="normal">+B253+1</f>
        <v>50</v>
      </c>
      <c r="C254" s="138" t="s">
        <v>177</v>
      </c>
      <c r="D254" s="6" t="s">
        <v>352</v>
      </c>
      <c r="E254" s="203" t="n">
        <f aca="false" ca="true" dt2D="false" dtr="false" t="normal">SUBTOTAL(9, F254:T254)</f>
        <v>7988406.0600000005</v>
      </c>
      <c r="F254" s="18" t="n"/>
      <c r="G254" s="18" t="n"/>
      <c r="H254" s="18" t="n"/>
      <c r="I254" s="18" t="n"/>
      <c r="J254" s="18" t="n"/>
      <c r="K254" s="18" t="n"/>
      <c r="L254" s="18" t="n"/>
      <c r="M254" s="18" t="n"/>
      <c r="N254" s="18" t="n">
        <v>7724626.69</v>
      </c>
      <c r="O254" s="18" t="n"/>
      <c r="P254" s="18" t="n"/>
      <c r="Q254" s="18" t="n"/>
      <c r="R254" s="18" t="n">
        <v>239779.37</v>
      </c>
      <c r="S254" s="18" t="n">
        <v>24000</v>
      </c>
      <c r="T254" s="191" t="n"/>
      <c r="U254" s="0" t="n"/>
      <c r="V254" s="333" t="n"/>
      <c r="W254" s="0" t="n"/>
      <c r="X254" s="0" t="n"/>
      <c r="Y254" s="0" t="n"/>
      <c r="Z254" s="0" t="n"/>
      <c r="AA254" s="0" t="n"/>
      <c r="AB254" s="0" t="n"/>
      <c r="AC254" s="0" t="n"/>
      <c r="AD254" s="0" t="n"/>
      <c r="AE254" s="0" t="n"/>
      <c r="AF254" s="0" t="n"/>
      <c r="AG254" s="0" t="n"/>
      <c r="AH254" s="0" t="n"/>
      <c r="AI254" s="0" t="n"/>
      <c r="AJ254" s="0" t="n"/>
      <c r="AK254" s="0" t="n"/>
      <c r="AL254" s="0" t="n"/>
      <c r="AM254" s="0" t="n"/>
      <c r="AN254" s="0" t="n"/>
      <c r="AO254" s="0" t="n"/>
      <c r="AP254" s="0" t="n"/>
      <c r="AQ254" s="0" t="n"/>
      <c r="AR254" s="0" t="n"/>
      <c r="AS254" s="0" t="n"/>
      <c r="AT254" s="0" t="n"/>
      <c r="AU254" s="0" t="n"/>
      <c r="AV254" s="0" t="n"/>
      <c r="AW254" s="0" t="n"/>
      <c r="AX254" s="0" t="n"/>
      <c r="AY254" s="0" t="n"/>
      <c r="AZ254" s="0" t="n"/>
      <c r="BA254" s="0" t="n"/>
      <c r="BB254" s="0" t="n"/>
      <c r="BC254" s="0" t="n"/>
      <c r="BD254" s="0" t="n"/>
      <c r="BE254" s="0" t="n"/>
      <c r="BF254" s="0" t="n"/>
      <c r="BG254" s="0" t="n"/>
      <c r="BH254" s="0" t="n"/>
      <c r="BI254" s="0" t="n"/>
      <c r="BJ254" s="0" t="n"/>
      <c r="BK254" s="0" t="n"/>
      <c r="BL254" s="0" t="n"/>
      <c r="BM254" s="0" t="n"/>
      <c r="BN254" s="0" t="n"/>
      <c r="BO254" s="0" t="n"/>
      <c r="BP254" s="0" t="n"/>
    </row>
    <row outlineLevel="0" r="255">
      <c r="A255" s="331" t="n">
        <f aca="false" ca="false" dt2D="false" dtr="false" t="normal">+A254+1</f>
        <v>239</v>
      </c>
      <c r="B255" s="6" t="n">
        <f aca="false" ca="false" dt2D="false" dtr="false" t="normal">+B254+1</f>
        <v>51</v>
      </c>
      <c r="C255" s="138" t="s">
        <v>177</v>
      </c>
      <c r="D255" s="6" t="s">
        <v>339</v>
      </c>
      <c r="E255" s="203" t="n">
        <f aca="false" ca="true" dt2D="false" dtr="false" t="normal">SUBTOTAL(9, F255:T255)</f>
        <v>10694243.400000002</v>
      </c>
      <c r="F255" s="18" t="n"/>
      <c r="G255" s="18" t="n"/>
      <c r="H255" s="18" t="n">
        <v>1713863.8</v>
      </c>
      <c r="I255" s="18" t="n"/>
      <c r="J255" s="18" t="n"/>
      <c r="K255" s="18" t="n"/>
      <c r="L255" s="18" t="n"/>
      <c r="M255" s="18" t="n">
        <v>0</v>
      </c>
      <c r="N255" s="18" t="n">
        <v>8587544.47</v>
      </c>
      <c r="O255" s="18" t="n">
        <v>0</v>
      </c>
      <c r="P255" s="18" t="n">
        <v>0</v>
      </c>
      <c r="Q255" s="18" t="n">
        <v>0</v>
      </c>
      <c r="R255" s="18" t="n">
        <v>384835.13</v>
      </c>
      <c r="S255" s="18" t="n">
        <v>8000</v>
      </c>
      <c r="T255" s="191" t="n"/>
      <c r="U255" s="0" t="n"/>
      <c r="V255" s="333" t="n"/>
      <c r="W255" s="0" t="n"/>
      <c r="X255" s="0" t="n"/>
      <c r="Y255" s="0" t="n"/>
      <c r="Z255" s="0" t="n"/>
      <c r="AA255" s="0" t="n"/>
      <c r="AB255" s="0" t="n"/>
      <c r="AC255" s="0" t="n"/>
      <c r="AD255" s="0" t="n"/>
      <c r="AE255" s="0" t="n"/>
      <c r="AF255" s="0" t="n"/>
      <c r="AG255" s="0" t="n"/>
      <c r="AH255" s="0" t="n"/>
      <c r="AI255" s="0" t="n"/>
      <c r="AJ255" s="0" t="n"/>
      <c r="AK255" s="0" t="n"/>
      <c r="AL255" s="0" t="n"/>
      <c r="AM255" s="0" t="n"/>
      <c r="AN255" s="0" t="n"/>
      <c r="AO255" s="0" t="n"/>
      <c r="AP255" s="0" t="n"/>
      <c r="AQ255" s="0" t="n"/>
      <c r="AR255" s="0" t="n"/>
      <c r="AS255" s="0" t="n"/>
      <c r="AT255" s="0" t="n"/>
      <c r="AU255" s="0" t="n"/>
      <c r="AV255" s="0" t="n"/>
      <c r="AW255" s="0" t="n"/>
      <c r="AX255" s="0" t="n"/>
      <c r="AY255" s="0" t="n"/>
      <c r="AZ255" s="0" t="n"/>
      <c r="BA255" s="0" t="n"/>
      <c r="BB255" s="0" t="n"/>
      <c r="BC255" s="0" t="n"/>
      <c r="BD255" s="0" t="n"/>
      <c r="BE255" s="0" t="n"/>
      <c r="BF255" s="0" t="n"/>
      <c r="BG255" s="0" t="n"/>
      <c r="BH255" s="0" t="n"/>
      <c r="BI255" s="0" t="n"/>
      <c r="BJ255" s="0" t="n"/>
      <c r="BK255" s="0" t="n"/>
      <c r="BL255" s="0" t="n"/>
      <c r="BM255" s="0" t="n"/>
      <c r="BN255" s="0" t="n"/>
      <c r="BO255" s="0" t="n"/>
      <c r="BP255" s="0" t="n"/>
    </row>
    <row outlineLevel="0" r="256">
      <c r="A256" s="331" t="n">
        <f aca="false" ca="false" dt2D="false" dtr="false" t="normal">+A255+1</f>
        <v>240</v>
      </c>
      <c r="B256" s="6" t="n">
        <f aca="false" ca="false" dt2D="false" dtr="false" t="normal">+B255+1</f>
        <v>52</v>
      </c>
      <c r="C256" s="138" t="s">
        <v>177</v>
      </c>
      <c r="D256" s="6" t="s">
        <v>528</v>
      </c>
      <c r="E256" s="27" t="n">
        <f aca="false" ca="true" dt2D="false" dtr="false" t="normal">SUBTOTAL(9, F256:T256)</f>
        <v>20897027.44</v>
      </c>
      <c r="F256" s="18" t="n">
        <v>4390563.84</v>
      </c>
      <c r="G256" s="18" t="n">
        <v>3052029.01</v>
      </c>
      <c r="H256" s="18" t="n">
        <v>1727150.4</v>
      </c>
      <c r="I256" s="18" t="n">
        <v>1510543.31</v>
      </c>
      <c r="J256" s="18" t="n"/>
      <c r="K256" s="18" t="n"/>
      <c r="L256" s="18" t="n"/>
      <c r="M256" s="18" t="n">
        <v>0</v>
      </c>
      <c r="N256" s="18" t="n">
        <v>0</v>
      </c>
      <c r="O256" s="18" t="n">
        <v>0</v>
      </c>
      <c r="P256" s="18" t="n">
        <v>0</v>
      </c>
      <c r="Q256" s="18" t="n">
        <v>9155754.39</v>
      </c>
      <c r="R256" s="18" t="n">
        <v>1031786.49</v>
      </c>
      <c r="S256" s="18" t="n">
        <v>29200</v>
      </c>
      <c r="T256" s="191" t="n"/>
      <c r="U256" s="0" t="n"/>
      <c r="V256" s="333" t="n"/>
      <c r="W256" s="0" t="n"/>
      <c r="X256" s="0" t="n"/>
      <c r="Y256" s="0" t="n"/>
      <c r="Z256" s="0" t="n"/>
      <c r="AA256" s="0" t="n"/>
      <c r="AB256" s="0" t="n"/>
      <c r="AC256" s="0" t="n"/>
      <c r="AD256" s="0" t="n"/>
      <c r="AE256" s="0" t="n"/>
      <c r="AF256" s="0" t="n"/>
      <c r="AG256" s="0" t="n"/>
      <c r="AH256" s="0" t="n"/>
      <c r="AI256" s="0" t="n"/>
      <c r="AJ256" s="0" t="n"/>
      <c r="AK256" s="0" t="n"/>
      <c r="AL256" s="0" t="n"/>
      <c r="AM256" s="0" t="n"/>
      <c r="AN256" s="0" t="n"/>
      <c r="AO256" s="0" t="n"/>
      <c r="AP256" s="0" t="n"/>
      <c r="AQ256" s="0" t="n"/>
      <c r="AR256" s="0" t="n"/>
      <c r="AS256" s="0" t="n"/>
      <c r="AT256" s="0" t="n"/>
      <c r="AU256" s="0" t="n"/>
      <c r="AV256" s="0" t="n"/>
      <c r="AW256" s="0" t="n"/>
      <c r="AX256" s="0" t="n"/>
      <c r="AY256" s="0" t="n"/>
      <c r="AZ256" s="0" t="n"/>
      <c r="BA256" s="0" t="n"/>
      <c r="BB256" s="0" t="n"/>
      <c r="BC256" s="0" t="n"/>
      <c r="BD256" s="0" t="n"/>
      <c r="BE256" s="0" t="n"/>
      <c r="BF256" s="0" t="n"/>
      <c r="BG256" s="0" t="n"/>
      <c r="BH256" s="0" t="n"/>
      <c r="BI256" s="0" t="n"/>
      <c r="BJ256" s="0" t="n"/>
      <c r="BK256" s="0" t="n"/>
      <c r="BL256" s="0" t="n"/>
      <c r="BM256" s="0" t="n"/>
      <c r="BN256" s="0" t="n"/>
      <c r="BO256" s="0" t="n"/>
      <c r="BP256" s="0" t="n"/>
    </row>
    <row outlineLevel="0" r="257">
      <c r="A257" s="331" t="n">
        <f aca="false" ca="false" dt2D="false" dtr="false" t="normal">+A256+1</f>
        <v>241</v>
      </c>
      <c r="B257" s="6" t="n">
        <f aca="false" ca="false" dt2D="false" dtr="false" t="normal">+B256+1</f>
        <v>53</v>
      </c>
      <c r="C257" s="138" t="s">
        <v>177</v>
      </c>
      <c r="D257" s="6" t="s">
        <v>231</v>
      </c>
      <c r="E257" s="27" t="n">
        <f aca="false" ca="true" dt2D="false" dtr="false" t="normal">SUBTOTAL(9, F257:T257)</f>
        <v>15205863.189999998</v>
      </c>
      <c r="F257" s="18" t="n"/>
      <c r="G257" s="18" t="n">
        <v>5603246.21</v>
      </c>
      <c r="H257" s="18" t="n">
        <v>2551720.82</v>
      </c>
      <c r="I257" s="18" t="n">
        <v>3180773.21</v>
      </c>
      <c r="J257" s="18" t="n"/>
      <c r="K257" s="18" t="n"/>
      <c r="L257" s="18" t="n"/>
      <c r="M257" s="18" t="n">
        <v>0</v>
      </c>
      <c r="N257" s="18" t="n">
        <v>0</v>
      </c>
      <c r="O257" s="18" t="n">
        <v>0</v>
      </c>
      <c r="P257" s="18" t="n">
        <v>0</v>
      </c>
      <c r="Q257" s="18" t="n">
        <v>3870122.95</v>
      </c>
      <c r="R257" s="18" t="n"/>
      <c r="S257" s="18" t="n"/>
      <c r="T257" s="191" t="n"/>
      <c r="U257" s="0" t="n"/>
      <c r="V257" s="333" t="n"/>
      <c r="W257" s="0" t="n"/>
      <c r="X257" s="0" t="n"/>
      <c r="Y257" s="0" t="n"/>
      <c r="Z257" s="0" t="n"/>
      <c r="AA257" s="0" t="n"/>
      <c r="AB257" s="0" t="n"/>
      <c r="AC257" s="0" t="n"/>
      <c r="AD257" s="0" t="n"/>
      <c r="AE257" s="0" t="n"/>
      <c r="AF257" s="0" t="n"/>
      <c r="AG257" s="0" t="n"/>
      <c r="AH257" s="0" t="n"/>
      <c r="AI257" s="0" t="n"/>
      <c r="AJ257" s="0" t="n"/>
      <c r="AK257" s="0" t="n"/>
      <c r="AL257" s="0" t="n"/>
      <c r="AM257" s="0" t="n"/>
      <c r="AN257" s="0" t="n"/>
      <c r="AO257" s="0" t="n"/>
      <c r="AP257" s="0" t="n"/>
      <c r="AQ257" s="0" t="n"/>
      <c r="AR257" s="0" t="n"/>
      <c r="AS257" s="0" t="n"/>
      <c r="AT257" s="0" t="n"/>
      <c r="AU257" s="0" t="n"/>
      <c r="AV257" s="0" t="n"/>
      <c r="AW257" s="0" t="n"/>
      <c r="AX257" s="0" t="n"/>
      <c r="AY257" s="0" t="n"/>
      <c r="AZ257" s="0" t="n"/>
      <c r="BA257" s="0" t="n"/>
      <c r="BB257" s="0" t="n"/>
      <c r="BC257" s="0" t="n"/>
      <c r="BD257" s="0" t="n"/>
      <c r="BE257" s="0" t="n"/>
      <c r="BF257" s="0" t="n"/>
      <c r="BG257" s="0" t="n"/>
      <c r="BH257" s="0" t="n"/>
      <c r="BI257" s="0" t="n"/>
      <c r="BJ257" s="0" t="n"/>
      <c r="BK257" s="0" t="n"/>
      <c r="BL257" s="0" t="n"/>
      <c r="BM257" s="0" t="n"/>
      <c r="BN257" s="0" t="n"/>
      <c r="BO257" s="0" t="n"/>
      <c r="BP257" s="0" t="n"/>
    </row>
    <row outlineLevel="0" r="258">
      <c r="A258" s="331" t="n">
        <f aca="false" ca="false" dt2D="false" dtr="false" t="normal">+A257+1</f>
        <v>242</v>
      </c>
      <c r="B258" s="6" t="n">
        <f aca="false" ca="false" dt2D="false" dtr="false" t="normal">+B257+1</f>
        <v>54</v>
      </c>
      <c r="C258" s="138" t="s">
        <v>177</v>
      </c>
      <c r="D258" s="6" t="s">
        <v>530</v>
      </c>
      <c r="E258" s="27" t="n">
        <f aca="false" ca="true" dt2D="false" dtr="false" t="normal">SUBTOTAL(9, F258:T258)</f>
        <v>1990601.96</v>
      </c>
      <c r="F258" s="18" t="n">
        <v>0</v>
      </c>
      <c r="G258" s="18" t="n">
        <v>0</v>
      </c>
      <c r="H258" s="18" t="n">
        <v>0</v>
      </c>
      <c r="I258" s="18" t="n">
        <v>0</v>
      </c>
      <c r="J258" s="18" t="n">
        <v>1990601.96</v>
      </c>
      <c r="K258" s="18" t="n"/>
      <c r="L258" s="18" t="n"/>
      <c r="M258" s="18" t="n">
        <v>0</v>
      </c>
      <c r="N258" s="18" t="n">
        <v>0</v>
      </c>
      <c r="O258" s="18" t="n">
        <v>0</v>
      </c>
      <c r="P258" s="18" t="n">
        <v>0</v>
      </c>
      <c r="Q258" s="18" t="n">
        <v>0</v>
      </c>
      <c r="R258" s="18" t="n"/>
      <c r="S258" s="18" t="n"/>
      <c r="T258" s="191" t="n"/>
      <c r="U258" s="0" t="n"/>
      <c r="V258" s="333" t="n"/>
      <c r="W258" s="0" t="n"/>
      <c r="X258" s="0" t="n"/>
      <c r="Y258" s="0" t="n"/>
      <c r="Z258" s="0" t="n"/>
      <c r="AA258" s="0" t="n"/>
      <c r="AB258" s="0" t="n"/>
      <c r="AC258" s="0" t="n"/>
      <c r="AD258" s="0" t="n"/>
      <c r="AE258" s="0" t="n"/>
      <c r="AF258" s="0" t="n"/>
      <c r="AG258" s="0" t="n"/>
      <c r="AH258" s="0" t="n"/>
      <c r="AI258" s="0" t="n"/>
      <c r="AJ258" s="0" t="n"/>
      <c r="AK258" s="0" t="n"/>
      <c r="AL258" s="0" t="n"/>
      <c r="AM258" s="0" t="n"/>
      <c r="AN258" s="0" t="n"/>
      <c r="AO258" s="0" t="n"/>
      <c r="AP258" s="0" t="n"/>
      <c r="AQ258" s="0" t="n"/>
      <c r="AR258" s="0" t="n"/>
      <c r="AS258" s="0" t="n"/>
      <c r="AT258" s="0" t="n"/>
      <c r="AU258" s="0" t="n"/>
      <c r="AV258" s="0" t="n"/>
      <c r="AW258" s="0" t="n"/>
      <c r="AX258" s="0" t="n"/>
      <c r="AY258" s="0" t="n"/>
      <c r="AZ258" s="0" t="n"/>
      <c r="BA258" s="0" t="n"/>
      <c r="BB258" s="0" t="n"/>
      <c r="BC258" s="0" t="n"/>
      <c r="BD258" s="0" t="n"/>
      <c r="BE258" s="0" t="n"/>
      <c r="BF258" s="0" t="n"/>
      <c r="BG258" s="0" t="n"/>
      <c r="BH258" s="0" t="n"/>
      <c r="BI258" s="0" t="n"/>
      <c r="BJ258" s="0" t="n"/>
      <c r="BK258" s="0" t="n"/>
      <c r="BL258" s="0" t="n"/>
      <c r="BM258" s="0" t="n"/>
      <c r="BN258" s="0" t="n"/>
      <c r="BO258" s="0" t="n"/>
      <c r="BP258" s="0" t="n"/>
    </row>
    <row outlineLevel="0" r="259">
      <c r="A259" s="331" t="n">
        <f aca="false" ca="false" dt2D="false" dtr="false" t="normal">+A258+1</f>
        <v>243</v>
      </c>
      <c r="B259" s="6" t="n">
        <f aca="false" ca="false" dt2D="false" dtr="false" t="normal">+B258+1</f>
        <v>55</v>
      </c>
      <c r="C259" s="138" t="s">
        <v>177</v>
      </c>
      <c r="D259" s="6" t="s">
        <v>532</v>
      </c>
      <c r="E259" s="203" t="n">
        <f aca="false" ca="true" dt2D="false" dtr="false" t="normal">SUBTOTAL(9, F259:T259)</f>
        <v>1808139.5</v>
      </c>
      <c r="F259" s="18" t="n"/>
      <c r="G259" s="18" t="n"/>
      <c r="H259" s="18" t="n">
        <v>1749772.5</v>
      </c>
      <c r="I259" s="18" t="n"/>
      <c r="J259" s="18" t="n"/>
      <c r="K259" s="18" t="n"/>
      <c r="L259" s="18" t="n"/>
      <c r="M259" s="18" t="n">
        <v>0</v>
      </c>
      <c r="N259" s="18" t="n">
        <v>0</v>
      </c>
      <c r="O259" s="18" t="n">
        <v>0</v>
      </c>
      <c r="P259" s="18" t="n">
        <v>0</v>
      </c>
      <c r="Q259" s="18" t="n">
        <v>0</v>
      </c>
      <c r="R259" s="18" t="n">
        <v>40450.54</v>
      </c>
      <c r="S259" s="18" t="n">
        <v>6000</v>
      </c>
      <c r="T259" s="191" t="n">
        <v>11916.46</v>
      </c>
      <c r="U259" s="0" t="n"/>
      <c r="V259" s="333" t="n"/>
      <c r="W259" s="0" t="n"/>
      <c r="X259" s="0" t="n"/>
      <c r="Y259" s="0" t="n"/>
      <c r="Z259" s="0" t="n"/>
      <c r="AA259" s="0" t="n"/>
      <c r="AB259" s="0" t="n"/>
      <c r="AC259" s="0" t="n"/>
      <c r="AD259" s="0" t="n"/>
      <c r="AE259" s="0" t="n"/>
      <c r="AF259" s="0" t="n"/>
      <c r="AG259" s="0" t="n"/>
      <c r="AH259" s="0" t="n"/>
      <c r="AI259" s="0" t="n"/>
      <c r="AJ259" s="0" t="n"/>
      <c r="AK259" s="0" t="n"/>
      <c r="AL259" s="0" t="n"/>
      <c r="AM259" s="0" t="n"/>
      <c r="AN259" s="0" t="n"/>
      <c r="AO259" s="0" t="n"/>
      <c r="AP259" s="0" t="n"/>
      <c r="AQ259" s="0" t="n"/>
      <c r="AR259" s="0" t="n"/>
      <c r="AS259" s="0" t="n"/>
      <c r="AT259" s="0" t="n"/>
      <c r="AU259" s="0" t="n"/>
      <c r="AV259" s="0" t="n"/>
      <c r="AW259" s="0" t="n"/>
      <c r="AX259" s="0" t="n"/>
      <c r="AY259" s="0" t="n"/>
      <c r="AZ259" s="0" t="n"/>
      <c r="BA259" s="0" t="n"/>
      <c r="BB259" s="0" t="n"/>
      <c r="BC259" s="0" t="n"/>
      <c r="BD259" s="0" t="n"/>
      <c r="BE259" s="0" t="n"/>
      <c r="BF259" s="0" t="n"/>
      <c r="BG259" s="0" t="n"/>
      <c r="BH259" s="0" t="n"/>
      <c r="BI259" s="0" t="n"/>
      <c r="BJ259" s="0" t="n"/>
      <c r="BK259" s="0" t="n"/>
      <c r="BL259" s="0" t="n"/>
      <c r="BM259" s="0" t="n"/>
      <c r="BN259" s="0" t="n"/>
      <c r="BO259" s="0" t="n"/>
      <c r="BP259" s="0" t="n"/>
    </row>
    <row outlineLevel="0" r="260">
      <c r="A260" s="331" t="n">
        <f aca="false" ca="false" dt2D="false" dtr="false" t="normal">+A259+1</f>
        <v>244</v>
      </c>
      <c r="B260" s="6" t="n">
        <f aca="false" ca="false" dt2D="false" dtr="false" t="normal">+B259+1</f>
        <v>56</v>
      </c>
      <c r="C260" s="138" t="s">
        <v>177</v>
      </c>
      <c r="D260" s="6" t="s">
        <v>240</v>
      </c>
      <c r="E260" s="203" t="n">
        <f aca="false" ca="true" dt2D="false" dtr="false" t="normal">SUBTOTAL(9, F260:T260)</f>
        <v>15271354.73</v>
      </c>
      <c r="F260" s="18" t="n"/>
      <c r="G260" s="18" t="n"/>
      <c r="H260" s="18" t="n"/>
      <c r="I260" s="18" t="n"/>
      <c r="J260" s="18" t="n"/>
      <c r="K260" s="18" t="n"/>
      <c r="L260" s="18" t="n"/>
      <c r="M260" s="18" t="n"/>
      <c r="N260" s="18" t="n"/>
      <c r="O260" s="18" t="n"/>
      <c r="P260" s="18" t="n">
        <v>15271354.73</v>
      </c>
      <c r="Q260" s="18" t="n">
        <v>0</v>
      </c>
      <c r="R260" s="18" t="n"/>
      <c r="S260" s="18" t="n"/>
      <c r="T260" s="191" t="n"/>
      <c r="U260" s="0" t="n"/>
      <c r="V260" s="333" t="n"/>
      <c r="W260" s="0" t="n"/>
      <c r="X260" s="0" t="n"/>
      <c r="Y260" s="0" t="n"/>
      <c r="Z260" s="0" t="n"/>
      <c r="AA260" s="0" t="n"/>
      <c r="AB260" s="0" t="n"/>
      <c r="AC260" s="0" t="n"/>
      <c r="AD260" s="0" t="n"/>
      <c r="AE260" s="0" t="n"/>
      <c r="AF260" s="0" t="n"/>
      <c r="AG260" s="0" t="n"/>
      <c r="AH260" s="0" t="n"/>
      <c r="AI260" s="0" t="n"/>
      <c r="AJ260" s="0" t="n"/>
      <c r="AK260" s="0" t="n"/>
      <c r="AL260" s="0" t="n"/>
      <c r="AM260" s="0" t="n"/>
      <c r="AN260" s="0" t="n"/>
      <c r="AO260" s="0" t="n"/>
      <c r="AP260" s="0" t="n"/>
      <c r="AQ260" s="0" t="n"/>
      <c r="AR260" s="0" t="n"/>
      <c r="AS260" s="0" t="n"/>
      <c r="AT260" s="0" t="n"/>
      <c r="AU260" s="0" t="n"/>
      <c r="AV260" s="0" t="n"/>
      <c r="AW260" s="0" t="n"/>
      <c r="AX260" s="0" t="n"/>
      <c r="AY260" s="0" t="n"/>
      <c r="AZ260" s="0" t="n"/>
      <c r="BA260" s="0" t="n"/>
      <c r="BB260" s="0" t="n"/>
      <c r="BC260" s="0" t="n"/>
      <c r="BD260" s="0" t="n"/>
      <c r="BE260" s="0" t="n"/>
      <c r="BF260" s="0" t="n"/>
      <c r="BG260" s="0" t="n"/>
      <c r="BH260" s="0" t="n"/>
      <c r="BI260" s="0" t="n"/>
      <c r="BJ260" s="0" t="n"/>
      <c r="BK260" s="0" t="n"/>
      <c r="BL260" s="0" t="n"/>
      <c r="BM260" s="0" t="n"/>
      <c r="BN260" s="0" t="n"/>
      <c r="BO260" s="0" t="n"/>
      <c r="BP260" s="0" t="n"/>
    </row>
    <row outlineLevel="0" r="261">
      <c r="A261" s="331" t="n">
        <f aca="false" ca="false" dt2D="false" dtr="false" t="normal">+A260+1</f>
        <v>245</v>
      </c>
      <c r="B261" s="6" t="n">
        <f aca="false" ca="false" dt2D="false" dtr="false" t="normal">+B260+1</f>
        <v>57</v>
      </c>
      <c r="C261" s="138" t="s">
        <v>177</v>
      </c>
      <c r="D261" s="6" t="s">
        <v>536</v>
      </c>
      <c r="E261" s="27" t="n">
        <f aca="false" ca="true" dt2D="false" dtr="false" t="normal">SUBTOTAL(9, F261:T261)</f>
        <v>4629807.88</v>
      </c>
      <c r="F261" s="18" t="n">
        <v>4565506.96</v>
      </c>
      <c r="G261" s="18" t="n">
        <v>0</v>
      </c>
      <c r="H261" s="18" t="n">
        <v>0</v>
      </c>
      <c r="I261" s="18" t="n">
        <v>0</v>
      </c>
      <c r="J261" s="18" t="n"/>
      <c r="K261" s="18" t="n"/>
      <c r="L261" s="18" t="n"/>
      <c r="M261" s="18" t="n">
        <v>0</v>
      </c>
      <c r="N261" s="18" t="n">
        <v>0</v>
      </c>
      <c r="O261" s="18" t="n">
        <v>0</v>
      </c>
      <c r="P261" s="18" t="n">
        <v>0</v>
      </c>
      <c r="Q261" s="18" t="n">
        <v>0</v>
      </c>
      <c r="R261" s="18" t="n">
        <v>40300.92</v>
      </c>
      <c r="S261" s="18" t="n">
        <v>24000</v>
      </c>
      <c r="T261" s="191" t="n"/>
      <c r="U261" s="0" t="n"/>
      <c r="V261" s="333" t="n"/>
      <c r="W261" s="0" t="n"/>
      <c r="X261" s="0" t="n"/>
      <c r="Y261" s="0" t="n"/>
      <c r="Z261" s="0" t="n"/>
      <c r="AA261" s="0" t="n"/>
      <c r="AB261" s="0" t="n"/>
      <c r="AC261" s="0" t="n"/>
      <c r="AD261" s="0" t="n"/>
      <c r="AE261" s="0" t="n"/>
      <c r="AF261" s="0" t="n"/>
      <c r="AG261" s="0" t="n"/>
      <c r="AH261" s="0" t="n"/>
      <c r="AI261" s="0" t="n"/>
      <c r="AJ261" s="0" t="n"/>
      <c r="AK261" s="0" t="n"/>
      <c r="AL261" s="0" t="n"/>
      <c r="AM261" s="0" t="n"/>
      <c r="AN261" s="0" t="n"/>
      <c r="AO261" s="0" t="n"/>
      <c r="AP261" s="0" t="n"/>
      <c r="AQ261" s="0" t="n"/>
      <c r="AR261" s="0" t="n"/>
      <c r="AS261" s="0" t="n"/>
      <c r="AT261" s="0" t="n"/>
      <c r="AU261" s="0" t="n"/>
      <c r="AV261" s="0" t="n"/>
      <c r="AW261" s="0" t="n"/>
      <c r="AX261" s="0" t="n"/>
      <c r="AY261" s="0" t="n"/>
      <c r="AZ261" s="0" t="n"/>
      <c r="BA261" s="0" t="n"/>
      <c r="BB261" s="0" t="n"/>
      <c r="BC261" s="0" t="n"/>
      <c r="BD261" s="0" t="n"/>
      <c r="BE261" s="0" t="n"/>
      <c r="BF261" s="0" t="n"/>
      <c r="BG261" s="0" t="n"/>
      <c r="BH261" s="0" t="n"/>
      <c r="BI261" s="0" t="n"/>
      <c r="BJ261" s="0" t="n"/>
      <c r="BK261" s="0" t="n"/>
      <c r="BL261" s="0" t="n"/>
      <c r="BM261" s="0" t="n"/>
      <c r="BN261" s="0" t="n"/>
      <c r="BO261" s="0" t="n"/>
      <c r="BP261" s="0" t="n"/>
    </row>
    <row outlineLevel="0" r="262">
      <c r="A262" s="331" t="n">
        <f aca="false" ca="false" dt2D="false" dtr="false" t="normal">+A261+1</f>
        <v>246</v>
      </c>
      <c r="B262" s="6" t="n">
        <f aca="false" ca="false" dt2D="false" dtr="false" t="normal">+B261+1</f>
        <v>58</v>
      </c>
      <c r="C262" s="138" t="s">
        <v>177</v>
      </c>
      <c r="D262" s="6" t="s">
        <v>358</v>
      </c>
      <c r="E262" s="27" t="n">
        <f aca="false" ca="true" dt2D="false" dtr="false" t="normal">SUBTOTAL(9, F262:T262)</f>
        <v>1142099.19</v>
      </c>
      <c r="F262" s="18" t="n">
        <v>0</v>
      </c>
      <c r="G262" s="18" t="n">
        <v>1100224.76</v>
      </c>
      <c r="H262" s="18" t="n"/>
      <c r="I262" s="18" t="n"/>
      <c r="J262" s="18" t="n"/>
      <c r="K262" s="18" t="n"/>
      <c r="L262" s="18" t="n"/>
      <c r="M262" s="18" t="n">
        <v>0</v>
      </c>
      <c r="N262" s="18" t="n">
        <v>0</v>
      </c>
      <c r="O262" s="18" t="n">
        <v>0</v>
      </c>
      <c r="P262" s="18" t="n"/>
      <c r="Q262" s="18" t="n">
        <v>0</v>
      </c>
      <c r="R262" s="18" t="n"/>
      <c r="S262" s="18" t="n"/>
      <c r="T262" s="191" t="n">
        <v>41874.43</v>
      </c>
      <c r="U262" s="0" t="n"/>
      <c r="V262" s="333" t="n"/>
      <c r="W262" s="0" t="n"/>
      <c r="X262" s="0" t="n"/>
      <c r="Y262" s="0" t="n"/>
      <c r="Z262" s="0" t="n"/>
      <c r="AA262" s="0" t="n"/>
      <c r="AB262" s="0" t="n"/>
      <c r="AC262" s="0" t="n"/>
      <c r="AD262" s="0" t="n"/>
      <c r="AE262" s="0" t="n"/>
      <c r="AF262" s="0" t="n"/>
      <c r="AG262" s="0" t="n"/>
      <c r="AH262" s="0" t="n"/>
      <c r="AI262" s="0" t="n"/>
      <c r="AJ262" s="0" t="n"/>
      <c r="AK262" s="0" t="n"/>
      <c r="AL262" s="0" t="n"/>
      <c r="AM262" s="0" t="n"/>
      <c r="AN262" s="0" t="n"/>
      <c r="AO262" s="0" t="n"/>
      <c r="AP262" s="0" t="n"/>
      <c r="AQ262" s="0" t="n"/>
      <c r="AR262" s="0" t="n"/>
      <c r="AS262" s="0" t="n"/>
      <c r="AT262" s="0" t="n"/>
      <c r="AU262" s="0" t="n"/>
      <c r="AV262" s="0" t="n"/>
      <c r="AW262" s="0" t="n"/>
      <c r="AX262" s="0" t="n"/>
      <c r="AY262" s="0" t="n"/>
      <c r="AZ262" s="0" t="n"/>
      <c r="BA262" s="0" t="n"/>
      <c r="BB262" s="0" t="n"/>
      <c r="BC262" s="0" t="n"/>
      <c r="BD262" s="0" t="n"/>
      <c r="BE262" s="0" t="n"/>
      <c r="BF262" s="0" t="n"/>
      <c r="BG262" s="0" t="n"/>
      <c r="BH262" s="0" t="n"/>
      <c r="BI262" s="0" t="n"/>
      <c r="BJ262" s="0" t="n"/>
      <c r="BK262" s="0" t="n"/>
      <c r="BL262" s="0" t="n"/>
      <c r="BM262" s="0" t="n"/>
      <c r="BN262" s="0" t="n"/>
      <c r="BO262" s="0" t="n"/>
      <c r="BP262" s="0" t="n"/>
    </row>
    <row outlineLevel="0" r="263">
      <c r="A263" s="331" t="n">
        <f aca="false" ca="false" dt2D="false" dtr="false" t="normal">+A262+1</f>
        <v>247</v>
      </c>
      <c r="B263" s="6" t="n">
        <f aca="false" ca="false" dt2D="false" dtr="false" t="normal">+B262+1</f>
        <v>59</v>
      </c>
      <c r="C263" s="138" t="s">
        <v>177</v>
      </c>
      <c r="D263" s="6" t="s">
        <v>243</v>
      </c>
      <c r="E263" s="203" t="n">
        <f aca="false" ca="true" dt2D="false" dtr="false" t="normal">SUBTOTAL(9, F263:T263)</f>
        <v>22799005.56</v>
      </c>
      <c r="F263" s="18" t="n"/>
      <c r="G263" s="18" t="n"/>
      <c r="H263" s="18" t="n"/>
      <c r="I263" s="18" t="n"/>
      <c r="J263" s="18" t="n"/>
      <c r="K263" s="18" t="n"/>
      <c r="L263" s="18" t="n"/>
      <c r="M263" s="18" t="n">
        <v>0</v>
      </c>
      <c r="N263" s="18" t="n"/>
      <c r="O263" s="18" t="n">
        <v>0</v>
      </c>
      <c r="P263" s="18" t="n">
        <v>22799005.56</v>
      </c>
      <c r="Q263" s="18" t="n"/>
      <c r="R263" s="18" t="n"/>
      <c r="S263" s="18" t="n"/>
      <c r="T263" s="191" t="n"/>
      <c r="U263" s="0" t="n"/>
      <c r="V263" s="333" t="n"/>
      <c r="W263" s="0" t="n"/>
      <c r="X263" s="0" t="n"/>
      <c r="Y263" s="0" t="n"/>
      <c r="Z263" s="0" t="n"/>
      <c r="AA263" s="0" t="n"/>
      <c r="AB263" s="0" t="n"/>
      <c r="AC263" s="0" t="n"/>
      <c r="AD263" s="0" t="n"/>
      <c r="AE263" s="0" t="n"/>
      <c r="AF263" s="0" t="n"/>
      <c r="AG263" s="0" t="n"/>
      <c r="AH263" s="0" t="n"/>
      <c r="AI263" s="0" t="n"/>
      <c r="AJ263" s="0" t="n"/>
      <c r="AK263" s="0" t="n"/>
      <c r="AL263" s="0" t="n"/>
      <c r="AM263" s="0" t="n"/>
      <c r="AN263" s="0" t="n"/>
      <c r="AO263" s="0" t="n"/>
      <c r="AP263" s="0" t="n"/>
      <c r="AQ263" s="0" t="n"/>
      <c r="AR263" s="0" t="n"/>
      <c r="AS263" s="0" t="n"/>
      <c r="AT263" s="0" t="n"/>
      <c r="AU263" s="0" t="n"/>
      <c r="AV263" s="0" t="n"/>
      <c r="AW263" s="0" t="n"/>
      <c r="AX263" s="0" t="n"/>
      <c r="AY263" s="0" t="n"/>
      <c r="AZ263" s="0" t="n"/>
      <c r="BA263" s="0" t="n"/>
      <c r="BB263" s="0" t="n"/>
      <c r="BC263" s="0" t="n"/>
      <c r="BD263" s="0" t="n"/>
      <c r="BE263" s="0" t="n"/>
      <c r="BF263" s="0" t="n"/>
      <c r="BG263" s="0" t="n"/>
      <c r="BH263" s="0" t="n"/>
      <c r="BI263" s="0" t="n"/>
      <c r="BJ263" s="0" t="n"/>
      <c r="BK263" s="0" t="n"/>
      <c r="BL263" s="0" t="n"/>
      <c r="BM263" s="0" t="n"/>
      <c r="BN263" s="0" t="n"/>
      <c r="BO263" s="0" t="n"/>
      <c r="BP263" s="0" t="n"/>
    </row>
    <row outlineLevel="0" r="264">
      <c r="A264" s="331" t="n">
        <f aca="false" ca="false" dt2D="false" dtr="false" t="normal">+A263+1</f>
        <v>248</v>
      </c>
      <c r="B264" s="6" t="n">
        <f aca="false" ca="false" dt2D="false" dtr="false" t="normal">+B263+1</f>
        <v>60</v>
      </c>
      <c r="C264" s="138" t="s">
        <v>177</v>
      </c>
      <c r="D264" s="6" t="s">
        <v>245</v>
      </c>
      <c r="E264" s="27" t="n">
        <f aca="false" ca="true" dt2D="false" dtr="false" t="normal">SUBTOTAL(9, F264:T264)</f>
        <v>17774350.73</v>
      </c>
      <c r="F264" s="18" t="n"/>
      <c r="G264" s="18" t="n"/>
      <c r="H264" s="18" t="n">
        <v>4113294.16</v>
      </c>
      <c r="I264" s="18" t="n"/>
      <c r="J264" s="18" t="n"/>
      <c r="K264" s="18" t="n"/>
      <c r="L264" s="18" t="n"/>
      <c r="M264" s="18" t="n">
        <v>0</v>
      </c>
      <c r="N264" s="18" t="n"/>
      <c r="O264" s="18" t="n">
        <v>0</v>
      </c>
      <c r="P264" s="18" t="n"/>
      <c r="Q264" s="18" t="n">
        <v>13661056.57</v>
      </c>
      <c r="R264" s="18" t="n"/>
      <c r="S264" s="18" t="n"/>
      <c r="T264" s="191" t="n"/>
      <c r="U264" s="0" t="n"/>
      <c r="V264" s="333" t="n"/>
      <c r="W264" s="0" t="n"/>
      <c r="X264" s="0" t="n"/>
      <c r="Y264" s="0" t="n"/>
      <c r="Z264" s="0" t="n"/>
      <c r="AA264" s="0" t="n"/>
      <c r="AB264" s="0" t="n"/>
      <c r="AC264" s="0" t="n"/>
      <c r="AD264" s="0" t="n"/>
      <c r="AE264" s="0" t="n"/>
      <c r="AF264" s="0" t="n"/>
      <c r="AG264" s="0" t="n"/>
      <c r="AH264" s="0" t="n"/>
      <c r="AI264" s="0" t="n"/>
      <c r="AJ264" s="0" t="n"/>
      <c r="AK264" s="0" t="n"/>
      <c r="AL264" s="0" t="n"/>
      <c r="AM264" s="0" t="n"/>
      <c r="AN264" s="0" t="n"/>
      <c r="AO264" s="0" t="n"/>
      <c r="AP264" s="0" t="n"/>
      <c r="AQ264" s="0" t="n"/>
      <c r="AR264" s="0" t="n"/>
      <c r="AS264" s="0" t="n"/>
      <c r="AT264" s="0" t="n"/>
      <c r="AU264" s="0" t="n"/>
      <c r="AV264" s="0" t="n"/>
      <c r="AW264" s="0" t="n"/>
      <c r="AX264" s="0" t="n"/>
      <c r="AY264" s="0" t="n"/>
      <c r="AZ264" s="0" t="n"/>
      <c r="BA264" s="0" t="n"/>
      <c r="BB264" s="0" t="n"/>
      <c r="BC264" s="0" t="n"/>
      <c r="BD264" s="0" t="n"/>
      <c r="BE264" s="0" t="n"/>
      <c r="BF264" s="0" t="n"/>
      <c r="BG264" s="0" t="n"/>
      <c r="BH264" s="0" t="n"/>
      <c r="BI264" s="0" t="n"/>
      <c r="BJ264" s="0" t="n"/>
      <c r="BK264" s="0" t="n"/>
      <c r="BL264" s="0" t="n"/>
      <c r="BM264" s="0" t="n"/>
      <c r="BN264" s="0" t="n"/>
      <c r="BO264" s="0" t="n"/>
      <c r="BP264" s="0" t="n"/>
    </row>
    <row outlineLevel="0" r="265">
      <c r="A265" s="331" t="n">
        <f aca="false" ca="false" dt2D="false" dtr="false" t="normal">+A264+1</f>
        <v>249</v>
      </c>
      <c r="B265" s="6" t="n">
        <f aca="false" ca="false" dt2D="false" dtr="false" t="normal">+B264+1</f>
        <v>61</v>
      </c>
      <c r="C265" s="138" t="s">
        <v>177</v>
      </c>
      <c r="D265" s="6" t="s">
        <v>543</v>
      </c>
      <c r="E265" s="27" t="n">
        <f aca="false" ca="true" dt2D="false" dtr="false" t="normal">SUBTOTAL(9, F265:T265)</f>
        <v>5195032.82</v>
      </c>
      <c r="F265" s="18" t="n">
        <v>0</v>
      </c>
      <c r="G265" s="18" t="n">
        <v>0</v>
      </c>
      <c r="H265" s="18" t="n">
        <v>0</v>
      </c>
      <c r="I265" s="18" t="n">
        <v>0</v>
      </c>
      <c r="J265" s="18" t="n">
        <v>0</v>
      </c>
      <c r="K265" s="18" t="n"/>
      <c r="L265" s="18" t="n"/>
      <c r="M265" s="18" t="n">
        <v>0</v>
      </c>
      <c r="N265" s="18" t="n">
        <v>0</v>
      </c>
      <c r="O265" s="18" t="n">
        <v>0</v>
      </c>
      <c r="P265" s="18" t="n">
        <v>0</v>
      </c>
      <c r="Q265" s="18" t="n">
        <v>4977661</v>
      </c>
      <c r="R265" s="18" t="n">
        <v>193371.82</v>
      </c>
      <c r="S265" s="18" t="n">
        <v>24000</v>
      </c>
      <c r="T265" s="191" t="n"/>
      <c r="U265" s="0" t="n"/>
      <c r="V265" s="333" t="n"/>
      <c r="W265" s="0" t="n"/>
      <c r="X265" s="0" t="n"/>
      <c r="Y265" s="0" t="n"/>
      <c r="Z265" s="0" t="n"/>
      <c r="AA265" s="0" t="n"/>
      <c r="AB265" s="0" t="n"/>
      <c r="AC265" s="0" t="n"/>
      <c r="AD265" s="0" t="n"/>
      <c r="AE265" s="0" t="n"/>
      <c r="AF265" s="0" t="n"/>
      <c r="AG265" s="0" t="n"/>
      <c r="AH265" s="0" t="n"/>
      <c r="AI265" s="0" t="n"/>
      <c r="AJ265" s="0" t="n"/>
      <c r="AK265" s="0" t="n"/>
      <c r="AL265" s="0" t="n"/>
      <c r="AM265" s="0" t="n"/>
      <c r="AN265" s="0" t="n"/>
      <c r="AO265" s="0" t="n"/>
      <c r="AP265" s="0" t="n"/>
      <c r="AQ265" s="0" t="n"/>
      <c r="AR265" s="0" t="n"/>
      <c r="AS265" s="0" t="n"/>
      <c r="AT265" s="0" t="n"/>
      <c r="AU265" s="0" t="n"/>
      <c r="AV265" s="0" t="n"/>
      <c r="AW265" s="0" t="n"/>
      <c r="AX265" s="0" t="n"/>
      <c r="AY265" s="0" t="n"/>
      <c r="AZ265" s="0" t="n"/>
      <c r="BA265" s="0" t="n"/>
      <c r="BB265" s="0" t="n"/>
      <c r="BC265" s="0" t="n"/>
      <c r="BD265" s="0" t="n"/>
      <c r="BE265" s="0" t="n"/>
      <c r="BF265" s="0" t="n"/>
      <c r="BG265" s="0" t="n"/>
      <c r="BH265" s="0" t="n"/>
      <c r="BI265" s="0" t="n"/>
      <c r="BJ265" s="0" t="n"/>
      <c r="BK265" s="0" t="n"/>
      <c r="BL265" s="0" t="n"/>
      <c r="BM265" s="0" t="n"/>
      <c r="BN265" s="0" t="n"/>
      <c r="BO265" s="0" t="n"/>
      <c r="BP265" s="0" t="n"/>
    </row>
    <row outlineLevel="0" r="266">
      <c r="A266" s="331" t="n">
        <f aca="false" ca="false" dt2D="false" dtr="false" t="normal">+A265+1</f>
        <v>250</v>
      </c>
      <c r="B266" s="6" t="n">
        <f aca="false" ca="false" dt2D="false" dtr="false" t="normal">+B265+1</f>
        <v>62</v>
      </c>
      <c r="C266" s="138" t="s">
        <v>177</v>
      </c>
      <c r="D266" s="6" t="s">
        <v>546</v>
      </c>
      <c r="E266" s="203" t="n">
        <f aca="false" ca="true" dt2D="false" dtr="false" t="normal">SUBTOTAL(9, F266:T266)</f>
        <v>32945367.9550254</v>
      </c>
      <c r="F266" s="18" t="n">
        <v>3333540.05</v>
      </c>
      <c r="G266" s="18" t="n">
        <v>0</v>
      </c>
      <c r="H266" s="18" t="n">
        <v>1549799.6</v>
      </c>
      <c r="I266" s="18" t="n">
        <v>0</v>
      </c>
      <c r="J266" s="18" t="n">
        <v>0</v>
      </c>
      <c r="K266" s="18" t="n"/>
      <c r="L266" s="18" t="n"/>
      <c r="M266" s="18" t="n">
        <v>0</v>
      </c>
      <c r="N266" s="18" t="n">
        <v>13493182.9250254</v>
      </c>
      <c r="O266" s="18" t="n">
        <v>0</v>
      </c>
      <c r="P266" s="18" t="n">
        <v>14103016.03</v>
      </c>
      <c r="Q266" s="18" t="n">
        <v>0</v>
      </c>
      <c r="R266" s="18" t="n">
        <v>456271.36</v>
      </c>
      <c r="S266" s="18" t="n">
        <v>9557.99</v>
      </c>
      <c r="T266" s="191" t="n"/>
      <c r="U266" s="0" t="n"/>
      <c r="V266" s="333" t="n"/>
      <c r="W266" s="0" t="n"/>
      <c r="X266" s="0" t="n"/>
      <c r="Y266" s="0" t="n"/>
      <c r="Z266" s="0" t="n"/>
      <c r="AA266" s="0" t="n"/>
      <c r="AB266" s="0" t="n"/>
      <c r="AC266" s="0" t="n"/>
      <c r="AD266" s="0" t="n"/>
      <c r="AE266" s="0" t="n"/>
      <c r="AF266" s="0" t="n"/>
      <c r="AG266" s="0" t="n"/>
      <c r="AH266" s="0" t="n"/>
      <c r="AI266" s="0" t="n"/>
      <c r="AJ266" s="0" t="n"/>
      <c r="AK266" s="0" t="n"/>
      <c r="AL266" s="0" t="n"/>
      <c r="AM266" s="0" t="n"/>
      <c r="AN266" s="0" t="n"/>
      <c r="AO266" s="0" t="n"/>
      <c r="AP266" s="0" t="n"/>
      <c r="AQ266" s="0" t="n"/>
      <c r="AR266" s="0" t="n"/>
      <c r="AS266" s="0" t="n"/>
      <c r="AT266" s="0" t="n"/>
      <c r="AU266" s="0" t="n"/>
      <c r="AV266" s="0" t="n"/>
      <c r="AW266" s="0" t="n"/>
      <c r="AX266" s="0" t="n"/>
      <c r="AY266" s="0" t="n"/>
      <c r="AZ266" s="0" t="n"/>
      <c r="BA266" s="0" t="n"/>
      <c r="BB266" s="0" t="n"/>
      <c r="BC266" s="0" t="n"/>
      <c r="BD266" s="0" t="n"/>
      <c r="BE266" s="0" t="n"/>
      <c r="BF266" s="0" t="n"/>
      <c r="BG266" s="0" t="n"/>
      <c r="BH266" s="0" t="n"/>
      <c r="BI266" s="0" t="n"/>
      <c r="BJ266" s="0" t="n"/>
      <c r="BK266" s="0" t="n"/>
      <c r="BL266" s="0" t="n"/>
      <c r="BM266" s="0" t="n"/>
      <c r="BN266" s="0" t="n"/>
      <c r="BO266" s="0" t="n"/>
      <c r="BP266" s="0" t="n"/>
    </row>
    <row outlineLevel="0" r="267">
      <c r="A267" s="331" t="n">
        <f aca="false" ca="false" dt2D="false" dtr="false" t="normal">+A266+1</f>
        <v>251</v>
      </c>
      <c r="B267" s="6" t="n">
        <f aca="false" ca="false" dt2D="false" dtr="false" t="normal">+B266+1</f>
        <v>63</v>
      </c>
      <c r="C267" s="138" t="s">
        <v>177</v>
      </c>
      <c r="D267" s="6" t="s">
        <v>249</v>
      </c>
      <c r="E267" s="27" t="n">
        <f aca="false" ca="true" dt2D="false" dtr="false" t="normal">SUBTOTAL(9, F267:T267)</f>
        <v>5621995.850000001</v>
      </c>
      <c r="F267" s="18" t="n"/>
      <c r="G267" s="18" t="n"/>
      <c r="H267" s="18" t="n"/>
      <c r="I267" s="18" t="n"/>
      <c r="J267" s="18" t="n"/>
      <c r="K267" s="18" t="n"/>
      <c r="L267" s="18" t="n"/>
      <c r="M267" s="18" t="n"/>
      <c r="N267" s="18" t="n">
        <v>5556548.12</v>
      </c>
      <c r="O267" s="18" t="n">
        <v>0</v>
      </c>
      <c r="P267" s="18" t="n">
        <v>0</v>
      </c>
      <c r="Q267" s="18" t="n">
        <v>0</v>
      </c>
      <c r="R267" s="18" t="n"/>
      <c r="S267" s="18" t="n"/>
      <c r="T267" s="191" t="n">
        <v>65447.73</v>
      </c>
      <c r="U267" s="0" t="n"/>
      <c r="V267" s="333" t="n"/>
      <c r="W267" s="0" t="n"/>
      <c r="X267" s="0" t="n"/>
      <c r="Y267" s="0" t="n"/>
      <c r="Z267" s="0" t="n"/>
      <c r="AA267" s="0" t="n"/>
      <c r="AB267" s="0" t="n"/>
      <c r="AC267" s="0" t="n"/>
      <c r="AD267" s="0" t="n"/>
      <c r="AE267" s="0" t="n"/>
      <c r="AF267" s="0" t="n"/>
      <c r="AG267" s="0" t="n"/>
      <c r="AH267" s="0" t="n"/>
      <c r="AI267" s="0" t="n"/>
      <c r="AJ267" s="0" t="n"/>
      <c r="AK267" s="0" t="n"/>
      <c r="AL267" s="0" t="n"/>
      <c r="AM267" s="0" t="n"/>
      <c r="AN267" s="0" t="n"/>
      <c r="AO267" s="0" t="n"/>
      <c r="AP267" s="0" t="n"/>
      <c r="AQ267" s="0" t="n"/>
      <c r="AR267" s="0" t="n"/>
      <c r="AS267" s="0" t="n"/>
      <c r="AT267" s="0" t="n"/>
      <c r="AU267" s="0" t="n"/>
      <c r="AV267" s="0" t="n"/>
      <c r="AW267" s="0" t="n"/>
      <c r="AX267" s="0" t="n"/>
      <c r="AY267" s="0" t="n"/>
      <c r="AZ267" s="0" t="n"/>
      <c r="BA267" s="0" t="n"/>
      <c r="BB267" s="0" t="n"/>
      <c r="BC267" s="0" t="n"/>
      <c r="BD267" s="0" t="n"/>
      <c r="BE267" s="0" t="n"/>
      <c r="BF267" s="0" t="n"/>
      <c r="BG267" s="0" t="n"/>
      <c r="BH267" s="0" t="n"/>
      <c r="BI267" s="0" t="n"/>
      <c r="BJ267" s="0" t="n"/>
      <c r="BK267" s="0" t="n"/>
      <c r="BL267" s="0" t="n"/>
      <c r="BM267" s="0" t="n"/>
      <c r="BN267" s="0" t="n"/>
      <c r="BO267" s="0" t="n"/>
      <c r="BP267" s="0" t="n"/>
    </row>
    <row outlineLevel="0" r="268">
      <c r="A268" s="331" t="n">
        <f aca="false" ca="false" dt2D="false" dtr="false" t="normal">+A267+1</f>
        <v>252</v>
      </c>
      <c r="B268" s="6" t="n">
        <f aca="false" ca="false" dt2D="false" dtr="false" t="normal">+B267+1</f>
        <v>64</v>
      </c>
      <c r="C268" s="138" t="s">
        <v>177</v>
      </c>
      <c r="D268" s="6" t="s">
        <v>548</v>
      </c>
      <c r="E268" s="27" t="n">
        <f aca="false" ca="true" dt2D="false" dtr="false" t="normal">SUBTOTAL(9, F268:T268)</f>
        <v>17091814.77</v>
      </c>
      <c r="F268" s="18" t="n">
        <v>8885029.46</v>
      </c>
      <c r="G268" s="18" t="n"/>
      <c r="H268" s="18" t="n">
        <v>3892363.59</v>
      </c>
      <c r="I268" s="18" t="n">
        <v>4001179.24</v>
      </c>
      <c r="J268" s="18" t="n"/>
      <c r="K268" s="18" t="n"/>
      <c r="L268" s="18" t="n"/>
      <c r="M268" s="18" t="n"/>
      <c r="N268" s="18" t="n"/>
      <c r="O268" s="18" t="n"/>
      <c r="P268" s="18" t="n"/>
      <c r="Q268" s="18" t="n"/>
      <c r="R268" s="18" t="n">
        <v>123177.46</v>
      </c>
      <c r="S268" s="18" t="n">
        <v>18000</v>
      </c>
      <c r="T268" s="191" t="n">
        <f aca="false" ca="false" dt2D="false" dtr="false" t="normal">88883.94+41863.41+41317.67</f>
        <v>172065.02000000002</v>
      </c>
      <c r="U268" s="0" t="n"/>
      <c r="V268" s="333" t="n"/>
      <c r="W268" s="0" t="n"/>
      <c r="X268" s="0" t="n"/>
      <c r="Y268" s="0" t="n"/>
      <c r="Z268" s="0" t="n"/>
      <c r="AA268" s="0" t="n"/>
      <c r="AB268" s="0" t="n"/>
      <c r="AC268" s="0" t="n"/>
      <c r="AD268" s="0" t="n"/>
      <c r="AE268" s="0" t="n"/>
      <c r="AF268" s="0" t="n"/>
      <c r="AG268" s="0" t="n"/>
      <c r="AH268" s="0" t="n"/>
      <c r="AI268" s="0" t="n"/>
      <c r="AJ268" s="0" t="n"/>
      <c r="AK268" s="0" t="n"/>
      <c r="AL268" s="0" t="n"/>
      <c r="AM268" s="0" t="n"/>
      <c r="AN268" s="0" t="n"/>
      <c r="AO268" s="0" t="n"/>
      <c r="AP268" s="0" t="n"/>
      <c r="AQ268" s="0" t="n"/>
      <c r="AR268" s="0" t="n"/>
      <c r="AS268" s="0" t="n"/>
      <c r="AT268" s="0" t="n"/>
      <c r="AU268" s="0" t="n"/>
      <c r="AV268" s="0" t="n"/>
      <c r="AW268" s="0" t="n"/>
      <c r="AX268" s="0" t="n"/>
      <c r="AY268" s="0" t="n"/>
      <c r="AZ268" s="0" t="n"/>
      <c r="BA268" s="0" t="n"/>
      <c r="BB268" s="0" t="n"/>
      <c r="BC268" s="0" t="n"/>
      <c r="BD268" s="0" t="n"/>
      <c r="BE268" s="0" t="n"/>
      <c r="BF268" s="0" t="n"/>
      <c r="BG268" s="0" t="n"/>
      <c r="BH268" s="0" t="n"/>
      <c r="BI268" s="0" t="n"/>
      <c r="BJ268" s="0" t="n"/>
      <c r="BK268" s="0" t="n"/>
      <c r="BL268" s="0" t="n"/>
      <c r="BM268" s="0" t="n"/>
      <c r="BN268" s="0" t="n"/>
      <c r="BO268" s="0" t="n"/>
      <c r="BP268" s="0" t="n"/>
    </row>
    <row outlineLevel="0" r="269">
      <c r="A269" s="331" t="n">
        <f aca="false" ca="false" dt2D="false" dtr="false" t="normal">+A268+1</f>
        <v>253</v>
      </c>
      <c r="B269" s="6" t="n">
        <f aca="false" ca="false" dt2D="false" dtr="false" t="normal">+B268+1</f>
        <v>65</v>
      </c>
      <c r="C269" s="138" t="s">
        <v>177</v>
      </c>
      <c r="D269" s="6" t="s">
        <v>551</v>
      </c>
      <c r="E269" s="27" t="n">
        <f aca="false" ca="true" dt2D="false" dtr="false" t="normal">SUBTOTAL(9, F269:T269)</f>
        <v>17417470.40795056</v>
      </c>
      <c r="F269" s="18" t="n"/>
      <c r="G269" s="18" t="n"/>
      <c r="H269" s="18" t="n"/>
      <c r="I269" s="18" t="n"/>
      <c r="J269" s="18" t="n"/>
      <c r="K269" s="18" t="n"/>
      <c r="L269" s="18" t="n"/>
      <c r="M269" s="18" t="n">
        <v>0</v>
      </c>
      <c r="N269" s="18" t="n">
        <v>9298128.97</v>
      </c>
      <c r="O269" s="18" t="n">
        <v>0</v>
      </c>
      <c r="P269" s="18" t="n"/>
      <c r="Q269" s="18" t="n">
        <v>6906225.37</v>
      </c>
      <c r="R269" s="18" t="n">
        <v>332847.41</v>
      </c>
      <c r="S269" s="18" t="n">
        <v>24835</v>
      </c>
      <c r="T269" s="191" t="n">
        <v>855433.657950562</v>
      </c>
      <c r="U269" s="0" t="n"/>
      <c r="V269" s="333" t="n"/>
      <c r="W269" s="0" t="n"/>
      <c r="X269" s="0" t="n"/>
      <c r="Y269" s="0" t="n"/>
      <c r="Z269" s="0" t="n"/>
      <c r="AA269" s="0" t="n"/>
      <c r="AB269" s="0" t="n"/>
      <c r="AC269" s="0" t="n"/>
      <c r="AD269" s="0" t="n"/>
      <c r="AE269" s="0" t="n"/>
      <c r="AF269" s="0" t="n"/>
      <c r="AG269" s="0" t="n"/>
      <c r="AH269" s="0" t="n"/>
      <c r="AI269" s="0" t="n"/>
      <c r="AJ269" s="0" t="n"/>
      <c r="AK269" s="0" t="n"/>
      <c r="AL269" s="0" t="n"/>
      <c r="AM269" s="0" t="n"/>
      <c r="AN269" s="0" t="n"/>
      <c r="AO269" s="0" t="n"/>
      <c r="AP269" s="0" t="n"/>
      <c r="AQ269" s="0" t="n"/>
      <c r="AR269" s="0" t="n"/>
      <c r="AS269" s="0" t="n"/>
      <c r="AT269" s="0" t="n"/>
      <c r="AU269" s="0" t="n"/>
      <c r="AV269" s="0" t="n"/>
      <c r="AW269" s="0" t="n"/>
      <c r="AX269" s="0" t="n"/>
      <c r="AY269" s="0" t="n"/>
      <c r="AZ269" s="0" t="n"/>
      <c r="BA269" s="0" t="n"/>
      <c r="BB269" s="0" t="n"/>
      <c r="BC269" s="0" t="n"/>
      <c r="BD269" s="0" t="n"/>
      <c r="BE269" s="0" t="n"/>
      <c r="BF269" s="0" t="n"/>
      <c r="BG269" s="0" t="n"/>
      <c r="BH269" s="0" t="n"/>
      <c r="BI269" s="0" t="n"/>
      <c r="BJ269" s="0" t="n"/>
      <c r="BK269" s="0" t="n"/>
      <c r="BL269" s="0" t="n"/>
      <c r="BM269" s="0" t="n"/>
      <c r="BN269" s="0" t="n"/>
      <c r="BO269" s="0" t="n"/>
      <c r="BP269" s="0" t="n"/>
    </row>
    <row outlineLevel="0" r="270">
      <c r="A270" s="331" t="n">
        <f aca="false" ca="false" dt2D="false" dtr="false" t="normal">+A269+1</f>
        <v>254</v>
      </c>
      <c r="B270" s="6" t="n">
        <f aca="false" ca="false" dt2D="false" dtr="false" t="normal">+B269+1</f>
        <v>66</v>
      </c>
      <c r="C270" s="138" t="s">
        <v>177</v>
      </c>
      <c r="D270" s="6" t="s">
        <v>554</v>
      </c>
      <c r="E270" s="27" t="n">
        <f aca="false" ca="true" dt2D="false" dtr="false" t="normal">SUBTOTAL(9, F270:T270)</f>
        <v>17197808.294846922</v>
      </c>
      <c r="F270" s="18" t="n"/>
      <c r="G270" s="18" t="n"/>
      <c r="H270" s="18" t="n"/>
      <c r="I270" s="18" t="n"/>
      <c r="J270" s="18" t="n"/>
      <c r="K270" s="18" t="n"/>
      <c r="L270" s="18" t="n"/>
      <c r="M270" s="18" t="n">
        <v>0</v>
      </c>
      <c r="N270" s="18" t="n">
        <v>9298128.97</v>
      </c>
      <c r="O270" s="18" t="n">
        <v>0</v>
      </c>
      <c r="P270" s="18" t="n"/>
      <c r="Q270" s="18" t="n">
        <v>6697684.28</v>
      </c>
      <c r="R270" s="18" t="n">
        <v>328986.36</v>
      </c>
      <c r="S270" s="18" t="n">
        <v>24747</v>
      </c>
      <c r="T270" s="191" t="n">
        <v>848261.684846923</v>
      </c>
      <c r="U270" s="0" t="n"/>
      <c r="V270" s="333" t="n"/>
      <c r="W270" s="0" t="n"/>
      <c r="X270" s="0" t="n"/>
      <c r="Y270" s="0" t="n"/>
      <c r="Z270" s="0" t="n"/>
      <c r="AA270" s="0" t="n"/>
      <c r="AB270" s="0" t="n"/>
      <c r="AC270" s="0" t="n"/>
      <c r="AD270" s="0" t="n"/>
      <c r="AE270" s="0" t="n"/>
      <c r="AF270" s="0" t="n"/>
      <c r="AG270" s="0" t="n"/>
      <c r="AH270" s="0" t="n"/>
      <c r="AI270" s="0" t="n"/>
      <c r="AJ270" s="0" t="n"/>
      <c r="AK270" s="0" t="n"/>
      <c r="AL270" s="0" t="n"/>
      <c r="AM270" s="0" t="n"/>
      <c r="AN270" s="0" t="n"/>
      <c r="AO270" s="0" t="n"/>
      <c r="AP270" s="0" t="n"/>
      <c r="AQ270" s="0" t="n"/>
      <c r="AR270" s="0" t="n"/>
      <c r="AS270" s="0" t="n"/>
      <c r="AT270" s="0" t="n"/>
      <c r="AU270" s="0" t="n"/>
      <c r="AV270" s="0" t="n"/>
      <c r="AW270" s="0" t="n"/>
      <c r="AX270" s="0" t="n"/>
      <c r="AY270" s="0" t="n"/>
      <c r="AZ270" s="0" t="n"/>
      <c r="BA270" s="0" t="n"/>
      <c r="BB270" s="0" t="n"/>
      <c r="BC270" s="0" t="n"/>
      <c r="BD270" s="0" t="n"/>
      <c r="BE270" s="0" t="n"/>
      <c r="BF270" s="0" t="n"/>
      <c r="BG270" s="0" t="n"/>
      <c r="BH270" s="0" t="n"/>
      <c r="BI270" s="0" t="n"/>
      <c r="BJ270" s="0" t="n"/>
      <c r="BK270" s="0" t="n"/>
      <c r="BL270" s="0" t="n"/>
      <c r="BM270" s="0" t="n"/>
      <c r="BN270" s="0" t="n"/>
      <c r="BO270" s="0" t="n"/>
      <c r="BP270" s="0" t="n"/>
    </row>
    <row outlineLevel="0" r="271">
      <c r="A271" s="331" t="n">
        <f aca="false" ca="false" dt2D="false" dtr="false" t="normal">+A270+1</f>
        <v>255</v>
      </c>
      <c r="B271" s="6" t="n">
        <f aca="false" ca="false" dt2D="false" dtr="false" t="normal">+B270+1</f>
        <v>67</v>
      </c>
      <c r="C271" s="138" t="s">
        <v>177</v>
      </c>
      <c r="D271" s="6" t="s">
        <v>555</v>
      </c>
      <c r="E271" s="27" t="n">
        <f aca="false" ca="true" dt2D="false" dtr="false" t="normal">SUBTOTAL(9, F271:T271)</f>
        <v>6942751.8404994</v>
      </c>
      <c r="F271" s="18" t="n">
        <v>0</v>
      </c>
      <c r="G271" s="18" t="n">
        <v>0</v>
      </c>
      <c r="H271" s="18" t="n">
        <v>0</v>
      </c>
      <c r="I271" s="18" t="n">
        <v>0</v>
      </c>
      <c r="J271" s="18" t="n">
        <v>0</v>
      </c>
      <c r="K271" s="18" t="n"/>
      <c r="L271" s="18" t="n"/>
      <c r="M271" s="18" t="n">
        <v>0</v>
      </c>
      <c r="N271" s="18" t="n">
        <v>6718705.38</v>
      </c>
      <c r="O271" s="18" t="n">
        <v>0</v>
      </c>
      <c r="P271" s="18" t="n">
        <v>0</v>
      </c>
      <c r="Q271" s="18" t="n">
        <v>0</v>
      </c>
      <c r="R271" s="18" t="n"/>
      <c r="S271" s="18" t="n"/>
      <c r="T271" s="191" t="n">
        <v>224046.4604994</v>
      </c>
    </row>
    <row outlineLevel="0" r="272">
      <c r="A272" s="331" t="n">
        <f aca="false" ca="false" dt2D="false" dtr="false" t="normal">+A271+1</f>
        <v>256</v>
      </c>
      <c r="B272" s="6" t="n">
        <f aca="false" ca="false" dt2D="false" dtr="false" t="normal">+B271+1</f>
        <v>68</v>
      </c>
      <c r="C272" s="138" t="s">
        <v>177</v>
      </c>
      <c r="D272" s="6" t="s">
        <v>367</v>
      </c>
      <c r="E272" s="27" t="n">
        <f aca="false" ca="true" dt2D="false" dtr="false" t="normal">SUBTOTAL(9, F272:T272)</f>
        <v>5504992.41</v>
      </c>
      <c r="F272" s="18" t="n"/>
      <c r="G272" s="18" t="n"/>
      <c r="H272" s="18" t="n"/>
      <c r="I272" s="18" t="n"/>
      <c r="J272" s="18" t="n"/>
      <c r="K272" s="18" t="n"/>
      <c r="L272" s="18" t="n"/>
      <c r="M272" s="18" t="n"/>
      <c r="N272" s="18" t="n"/>
      <c r="O272" s="18" t="n"/>
      <c r="P272" s="18" t="n"/>
      <c r="Q272" s="18" t="n">
        <v>5289247.08</v>
      </c>
      <c r="R272" s="18" t="n">
        <v>212316.76</v>
      </c>
      <c r="S272" s="18" t="n">
        <v>3428.57</v>
      </c>
      <c r="T272" s="191" t="n"/>
      <c r="U272" s="0" t="n"/>
      <c r="V272" s="333" t="n"/>
      <c r="W272" s="0" t="n"/>
      <c r="X272" s="0" t="n"/>
      <c r="Y272" s="0" t="n"/>
      <c r="Z272" s="0" t="n"/>
      <c r="AA272" s="0" t="n"/>
      <c r="AB272" s="0" t="n"/>
      <c r="AC272" s="0" t="n"/>
      <c r="AD272" s="0" t="n"/>
      <c r="AE272" s="0" t="n"/>
      <c r="AF272" s="0" t="n"/>
      <c r="AG272" s="0" t="n"/>
      <c r="AH272" s="0" t="n"/>
      <c r="AI272" s="0" t="n"/>
      <c r="AJ272" s="0" t="n"/>
      <c r="AK272" s="0" t="n"/>
      <c r="AL272" s="0" t="n"/>
      <c r="AM272" s="0" t="n"/>
      <c r="AN272" s="0" t="n"/>
      <c r="AO272" s="0" t="n"/>
      <c r="AP272" s="0" t="n"/>
      <c r="AQ272" s="0" t="n"/>
      <c r="AR272" s="0" t="n"/>
      <c r="AS272" s="0" t="n"/>
      <c r="AT272" s="0" t="n"/>
      <c r="AU272" s="0" t="n"/>
      <c r="AV272" s="0" t="n"/>
      <c r="AW272" s="0" t="n"/>
      <c r="AX272" s="0" t="n"/>
      <c r="AY272" s="0" t="n"/>
      <c r="AZ272" s="0" t="n"/>
      <c r="BA272" s="0" t="n"/>
      <c r="BB272" s="0" t="n"/>
      <c r="BC272" s="0" t="n"/>
      <c r="BD272" s="0" t="n"/>
      <c r="BE272" s="0" t="n"/>
      <c r="BF272" s="0" t="n"/>
      <c r="BG272" s="0" t="n"/>
      <c r="BH272" s="0" t="n"/>
      <c r="BI272" s="0" t="n"/>
      <c r="BJ272" s="0" t="n"/>
      <c r="BK272" s="0" t="n"/>
      <c r="BL272" s="0" t="n"/>
      <c r="BM272" s="0" t="n"/>
      <c r="BN272" s="0" t="n"/>
      <c r="BO272" s="0" t="n"/>
      <c r="BP272" s="0" t="n"/>
    </row>
    <row outlineLevel="0" r="273">
      <c r="A273" s="331" t="n">
        <f aca="false" ca="false" dt2D="false" dtr="false" t="normal">+A272+1</f>
        <v>257</v>
      </c>
      <c r="B273" s="6" t="n">
        <f aca="false" ca="false" dt2D="false" dtr="false" t="normal">+B272+1</f>
        <v>69</v>
      </c>
      <c r="C273" s="138" t="s">
        <v>177</v>
      </c>
      <c r="D273" s="6" t="s">
        <v>378</v>
      </c>
      <c r="E273" s="27" t="n">
        <f aca="false" ca="true" dt2D="false" dtr="false" t="normal">SUBTOTAL(9, F273:T273)</f>
        <v>45207079.57000001</v>
      </c>
      <c r="F273" s="18" t="n">
        <v>7625174.93</v>
      </c>
      <c r="G273" s="18" t="n"/>
      <c r="H273" s="18" t="n">
        <v>2990319.15</v>
      </c>
      <c r="I273" s="18" t="n">
        <v>3967819.86</v>
      </c>
      <c r="J273" s="18" t="n"/>
      <c r="K273" s="18" t="n"/>
      <c r="L273" s="18" t="n"/>
      <c r="M273" s="18" t="n">
        <v>0</v>
      </c>
      <c r="N273" s="18" t="n">
        <v>9797526</v>
      </c>
      <c r="O273" s="18" t="n">
        <v>0</v>
      </c>
      <c r="P273" s="18" t="n">
        <v>9608317.2</v>
      </c>
      <c r="Q273" s="18" t="n">
        <v>10107495.6</v>
      </c>
      <c r="R273" s="18" t="n">
        <v>937678.84</v>
      </c>
      <c r="S273" s="18" t="n">
        <v>42000</v>
      </c>
      <c r="T273" s="191" t="n">
        <f aca="false" ca="false" dt2D="false" dtr="false" t="normal">77529.37+24664.76+28553.86</f>
        <v>130747.98999999999</v>
      </c>
      <c r="U273" s="0" t="n"/>
      <c r="V273" s="333" t="n"/>
      <c r="W273" s="0" t="n"/>
      <c r="X273" s="0" t="n"/>
      <c r="Y273" s="0" t="n"/>
      <c r="Z273" s="0" t="n"/>
      <c r="AA273" s="0" t="n"/>
      <c r="AB273" s="0" t="n"/>
      <c r="AC273" s="0" t="n"/>
      <c r="AD273" s="0" t="n"/>
      <c r="AE273" s="0" t="n"/>
      <c r="AF273" s="0" t="n"/>
      <c r="AG273" s="0" t="n"/>
      <c r="AH273" s="0" t="n"/>
      <c r="AI273" s="0" t="n"/>
      <c r="AJ273" s="0" t="n"/>
      <c r="AK273" s="0" t="n"/>
      <c r="AL273" s="0" t="n"/>
      <c r="AM273" s="0" t="n"/>
      <c r="AN273" s="0" t="n"/>
      <c r="AO273" s="0" t="n"/>
      <c r="AP273" s="0" t="n"/>
      <c r="AQ273" s="0" t="n"/>
      <c r="AR273" s="0" t="n"/>
      <c r="AS273" s="0" t="n"/>
      <c r="AT273" s="0" t="n"/>
      <c r="AU273" s="0" t="n"/>
      <c r="AV273" s="0" t="n"/>
      <c r="AW273" s="0" t="n"/>
      <c r="AX273" s="0" t="n"/>
      <c r="AY273" s="0" t="n"/>
      <c r="AZ273" s="0" t="n"/>
      <c r="BA273" s="0" t="n"/>
      <c r="BB273" s="0" t="n"/>
      <c r="BC273" s="0" t="n"/>
      <c r="BD273" s="0" t="n"/>
      <c r="BE273" s="0" t="n"/>
      <c r="BF273" s="0" t="n"/>
      <c r="BG273" s="0" t="n"/>
      <c r="BH273" s="0" t="n"/>
      <c r="BI273" s="0" t="n"/>
      <c r="BJ273" s="0" t="n"/>
      <c r="BK273" s="0" t="n"/>
      <c r="BL273" s="0" t="n"/>
      <c r="BM273" s="0" t="n"/>
      <c r="BN273" s="0" t="n"/>
      <c r="BO273" s="0" t="n"/>
      <c r="BP273" s="0" t="n"/>
    </row>
    <row outlineLevel="0" r="274">
      <c r="A274" s="331" t="n">
        <f aca="false" ca="false" dt2D="false" dtr="false" t="normal">+A273+1</f>
        <v>258</v>
      </c>
      <c r="B274" s="6" t="n">
        <f aca="false" ca="false" dt2D="false" dtr="false" t="normal">+B273+1</f>
        <v>70</v>
      </c>
      <c r="C274" s="138" t="s">
        <v>177</v>
      </c>
      <c r="D274" s="6" t="s">
        <v>380</v>
      </c>
      <c r="E274" s="27" t="n">
        <f aca="false" ca="true" dt2D="false" dtr="false" t="normal">SUBTOTAL(9, F274:T274)</f>
        <v>974673.41</v>
      </c>
      <c r="F274" s="18" t="n"/>
      <c r="G274" s="18" t="n"/>
      <c r="H274" s="18" t="n">
        <v>0</v>
      </c>
      <c r="I274" s="18" t="n">
        <v>0</v>
      </c>
      <c r="J274" s="18" t="n">
        <v>974673.41</v>
      </c>
      <c r="K274" s="18" t="n"/>
      <c r="L274" s="18" t="n"/>
      <c r="M274" s="18" t="n">
        <v>0</v>
      </c>
      <c r="N274" s="18" t="n"/>
      <c r="O274" s="18" t="n">
        <v>0</v>
      </c>
      <c r="P274" s="18" t="n">
        <v>0</v>
      </c>
      <c r="Q274" s="18" t="n">
        <v>0</v>
      </c>
      <c r="R274" s="18" t="n"/>
      <c r="S274" s="18" t="n"/>
      <c r="T274" s="191" t="n"/>
      <c r="U274" s="0" t="n"/>
      <c r="V274" s="333" t="n"/>
      <c r="W274" s="0" t="n"/>
      <c r="X274" s="0" t="n"/>
      <c r="Y274" s="0" t="n"/>
      <c r="Z274" s="0" t="n"/>
      <c r="AA274" s="0" t="n"/>
      <c r="AB274" s="0" t="n"/>
      <c r="AC274" s="0" t="n"/>
      <c r="AD274" s="0" t="n"/>
      <c r="AE274" s="0" t="n"/>
      <c r="AF274" s="0" t="n"/>
      <c r="AG274" s="0" t="n"/>
      <c r="AH274" s="0" t="n"/>
      <c r="AI274" s="0" t="n"/>
      <c r="AJ274" s="0" t="n"/>
      <c r="AK274" s="0" t="n"/>
      <c r="AL274" s="0" t="n"/>
      <c r="AM274" s="0" t="n"/>
      <c r="AN274" s="0" t="n"/>
      <c r="AO274" s="0" t="n"/>
      <c r="AP274" s="0" t="n"/>
      <c r="AQ274" s="0" t="n"/>
      <c r="AR274" s="0" t="n"/>
      <c r="AS274" s="0" t="n"/>
      <c r="AT274" s="0" t="n"/>
      <c r="AU274" s="0" t="n"/>
      <c r="AV274" s="0" t="n"/>
      <c r="AW274" s="0" t="n"/>
      <c r="AX274" s="0" t="n"/>
      <c r="AY274" s="0" t="n"/>
      <c r="AZ274" s="0" t="n"/>
      <c r="BA274" s="0" t="n"/>
      <c r="BB274" s="0" t="n"/>
      <c r="BC274" s="0" t="n"/>
      <c r="BD274" s="0" t="n"/>
      <c r="BE274" s="0" t="n"/>
      <c r="BF274" s="0" t="n"/>
      <c r="BG274" s="0" t="n"/>
      <c r="BH274" s="0" t="n"/>
      <c r="BI274" s="0" t="n"/>
      <c r="BJ274" s="0" t="n"/>
      <c r="BK274" s="0" t="n"/>
      <c r="BL274" s="0" t="n"/>
      <c r="BM274" s="0" t="n"/>
      <c r="BN274" s="0" t="n"/>
      <c r="BO274" s="0" t="n"/>
      <c r="BP274" s="0" t="n"/>
    </row>
    <row outlineLevel="0" r="275">
      <c r="A275" s="331" t="n">
        <f aca="false" ca="false" dt2D="false" dtr="false" t="normal">+A274+1</f>
        <v>259</v>
      </c>
      <c r="B275" s="6" t="n">
        <f aca="false" ca="false" dt2D="false" dtr="false" t="normal">+B274+1</f>
        <v>71</v>
      </c>
      <c r="C275" s="138" t="s">
        <v>177</v>
      </c>
      <c r="D275" s="6" t="s">
        <v>560</v>
      </c>
      <c r="E275" s="27" t="n">
        <f aca="false" ca="true" dt2D="false" dtr="false" t="normal">SUBTOTAL(9, F275:T275)</f>
        <v>13852053.299999999</v>
      </c>
      <c r="F275" s="18" t="n">
        <v>7567432.08</v>
      </c>
      <c r="G275" s="18" t="n"/>
      <c r="H275" s="18" t="n">
        <v>3408090.02</v>
      </c>
      <c r="I275" s="18" t="n">
        <v>2646922.32</v>
      </c>
      <c r="J275" s="18" t="n"/>
      <c r="K275" s="18" t="n"/>
      <c r="L275" s="18" t="n"/>
      <c r="M275" s="18" t="n">
        <v>0</v>
      </c>
      <c r="N275" s="18" t="n">
        <v>0</v>
      </c>
      <c r="O275" s="18" t="n">
        <v>0</v>
      </c>
      <c r="P275" s="18" t="n">
        <v>0</v>
      </c>
      <c r="Q275" s="18" t="n">
        <v>0</v>
      </c>
      <c r="R275" s="18" t="n">
        <v>89396.34</v>
      </c>
      <c r="S275" s="18" t="n"/>
      <c r="T275" s="191" t="n">
        <f aca="false" ca="false" dt2D="false" dtr="false" t="normal">78680.24+30208.91+31323.39</f>
        <v>140212.54</v>
      </c>
      <c r="U275" s="0" t="n"/>
      <c r="V275" s="333" t="n"/>
      <c r="W275" s="0" t="n"/>
      <c r="X275" s="0" t="n"/>
      <c r="Y275" s="0" t="n"/>
      <c r="Z275" s="0" t="n"/>
      <c r="AA275" s="0" t="n"/>
      <c r="AB275" s="0" t="n"/>
      <c r="AC275" s="0" t="n"/>
      <c r="AD275" s="0" t="n"/>
      <c r="AE275" s="0" t="n"/>
      <c r="AF275" s="0" t="n"/>
      <c r="AG275" s="0" t="n"/>
      <c r="AH275" s="0" t="n"/>
      <c r="AI275" s="0" t="n"/>
      <c r="AJ275" s="0" t="n"/>
      <c r="AK275" s="0" t="n"/>
      <c r="AL275" s="0" t="n"/>
      <c r="AM275" s="0" t="n"/>
      <c r="AN275" s="0" t="n"/>
      <c r="AO275" s="0" t="n"/>
      <c r="AP275" s="0" t="n"/>
      <c r="AQ275" s="0" t="n"/>
      <c r="AR275" s="0" t="n"/>
      <c r="AS275" s="0" t="n"/>
      <c r="AT275" s="0" t="n"/>
      <c r="AU275" s="0" t="n"/>
      <c r="AV275" s="0" t="n"/>
      <c r="AW275" s="0" t="n"/>
      <c r="AX275" s="0" t="n"/>
      <c r="AY275" s="0" t="n"/>
      <c r="AZ275" s="0" t="n"/>
      <c r="BA275" s="0" t="n"/>
      <c r="BB275" s="0" t="n"/>
      <c r="BC275" s="0" t="n"/>
      <c r="BD275" s="0" t="n"/>
      <c r="BE275" s="0" t="n"/>
      <c r="BF275" s="0" t="n"/>
      <c r="BG275" s="0" t="n"/>
      <c r="BH275" s="0" t="n"/>
      <c r="BI275" s="0" t="n"/>
      <c r="BJ275" s="0" t="n"/>
      <c r="BK275" s="0" t="n"/>
      <c r="BL275" s="0" t="n"/>
      <c r="BM275" s="0" t="n"/>
      <c r="BN275" s="0" t="n"/>
      <c r="BO275" s="0" t="n"/>
      <c r="BP275" s="0" t="n"/>
    </row>
    <row outlineLevel="0" r="276">
      <c r="A276" s="331" t="n">
        <f aca="false" ca="false" dt2D="false" dtr="false" t="normal">+A275+1</f>
        <v>260</v>
      </c>
      <c r="B276" s="6" t="n">
        <f aca="false" ca="false" dt2D="false" dtr="false" t="normal">+B275+1</f>
        <v>72</v>
      </c>
      <c r="C276" s="138" t="s">
        <v>177</v>
      </c>
      <c r="D276" s="6" t="s">
        <v>263</v>
      </c>
      <c r="E276" s="27" t="n">
        <f aca="false" ca="true" dt2D="false" dtr="false" t="normal">SUBTOTAL(9, F276:T276)</f>
        <v>7219456.87</v>
      </c>
      <c r="F276" s="18" t="n">
        <v>0</v>
      </c>
      <c r="G276" s="18" t="n"/>
      <c r="H276" s="18" t="n"/>
      <c r="I276" s="18" t="n"/>
      <c r="J276" s="18" t="n"/>
      <c r="K276" s="18" t="n"/>
      <c r="L276" s="18" t="n"/>
      <c r="M276" s="18" t="n">
        <v>0</v>
      </c>
      <c r="N276" s="18" t="n">
        <v>0</v>
      </c>
      <c r="O276" s="18" t="n">
        <v>0</v>
      </c>
      <c r="P276" s="18" t="n">
        <v>0</v>
      </c>
      <c r="Q276" s="18" t="n">
        <v>7219456.87</v>
      </c>
      <c r="R276" s="18" t="n"/>
      <c r="S276" s="18" t="n"/>
      <c r="T276" s="191" t="n"/>
      <c r="U276" s="0" t="n"/>
      <c r="V276" s="333" t="n"/>
      <c r="W276" s="0" t="n"/>
      <c r="X276" s="0" t="n"/>
      <c r="Y276" s="0" t="n"/>
      <c r="Z276" s="0" t="n"/>
      <c r="AA276" s="0" t="n"/>
      <c r="AB276" s="0" t="n"/>
      <c r="AC276" s="0" t="n"/>
      <c r="AD276" s="0" t="n"/>
      <c r="AE276" s="0" t="n"/>
      <c r="AF276" s="0" t="n"/>
      <c r="AG276" s="0" t="n"/>
      <c r="AH276" s="0" t="n"/>
      <c r="AI276" s="0" t="n"/>
      <c r="AJ276" s="0" t="n"/>
      <c r="AK276" s="0" t="n"/>
      <c r="AL276" s="0" t="n"/>
      <c r="AM276" s="0" t="n"/>
      <c r="AN276" s="0" t="n"/>
      <c r="AO276" s="0" t="n"/>
      <c r="AP276" s="0" t="n"/>
      <c r="AQ276" s="0" t="n"/>
      <c r="AR276" s="0" t="n"/>
      <c r="AS276" s="0" t="n"/>
      <c r="AT276" s="0" t="n"/>
      <c r="AU276" s="0" t="n"/>
      <c r="AV276" s="0" t="n"/>
      <c r="AW276" s="0" t="n"/>
      <c r="AX276" s="0" t="n"/>
      <c r="AY276" s="0" t="n"/>
      <c r="AZ276" s="0" t="n"/>
      <c r="BA276" s="0" t="n"/>
      <c r="BB276" s="0" t="n"/>
      <c r="BC276" s="0" t="n"/>
      <c r="BD276" s="0" t="n"/>
      <c r="BE276" s="0" t="n"/>
      <c r="BF276" s="0" t="n"/>
      <c r="BG276" s="0" t="n"/>
      <c r="BH276" s="0" t="n"/>
      <c r="BI276" s="0" t="n"/>
      <c r="BJ276" s="0" t="n"/>
      <c r="BK276" s="0" t="n"/>
      <c r="BL276" s="0" t="n"/>
      <c r="BM276" s="0" t="n"/>
      <c r="BN276" s="0" t="n"/>
      <c r="BO276" s="0" t="n"/>
      <c r="BP276" s="0" t="n"/>
    </row>
    <row outlineLevel="0" r="277">
      <c r="A277" s="331" t="n">
        <f aca="false" ca="false" dt2D="false" dtr="false" t="normal">+A276+1</f>
        <v>261</v>
      </c>
      <c r="B277" s="6" t="n">
        <f aca="false" ca="false" dt2D="false" dtr="false" t="normal">+B276+1</f>
        <v>73</v>
      </c>
      <c r="C277" s="138" t="s">
        <v>177</v>
      </c>
      <c r="D277" s="6" t="s">
        <v>265</v>
      </c>
      <c r="E277" s="27" t="n">
        <f aca="false" ca="true" dt2D="false" dtr="false" t="normal">SUBTOTAL(9, F277:T277)</f>
        <v>942256.83</v>
      </c>
      <c r="F277" s="18" t="n"/>
      <c r="G277" s="18" t="n"/>
      <c r="H277" s="18" t="n">
        <v>942256.83</v>
      </c>
      <c r="I277" s="18" t="n"/>
      <c r="J277" s="18" t="n"/>
      <c r="K277" s="18" t="n"/>
      <c r="L277" s="18" t="n"/>
      <c r="M277" s="18" t="n">
        <v>0</v>
      </c>
      <c r="N277" s="18" t="n"/>
      <c r="O277" s="18" t="n">
        <v>0</v>
      </c>
      <c r="P277" s="18" t="n">
        <v>0</v>
      </c>
      <c r="Q277" s="18" t="n">
        <v>0</v>
      </c>
      <c r="R277" s="18" t="n"/>
      <c r="S277" s="18" t="n"/>
      <c r="T277" s="191" t="n"/>
      <c r="U277" s="0" t="n"/>
      <c r="V277" s="333" t="n"/>
      <c r="W277" s="0" t="n"/>
      <c r="X277" s="0" t="n"/>
      <c r="Y277" s="0" t="n"/>
      <c r="Z277" s="0" t="n"/>
      <c r="AA277" s="0" t="n"/>
      <c r="AB277" s="0" t="n"/>
      <c r="AC277" s="0" t="n"/>
      <c r="AD277" s="0" t="n"/>
      <c r="AE277" s="0" t="n"/>
      <c r="AF277" s="0" t="n"/>
      <c r="AG277" s="0" t="n"/>
      <c r="AH277" s="0" t="n"/>
      <c r="AI277" s="0" t="n"/>
      <c r="AJ277" s="0" t="n"/>
      <c r="AK277" s="0" t="n"/>
      <c r="AL277" s="0" t="n"/>
      <c r="AM277" s="0" t="n"/>
      <c r="AN277" s="0" t="n"/>
      <c r="AO277" s="0" t="n"/>
      <c r="AP277" s="0" t="n"/>
      <c r="AQ277" s="0" t="n"/>
      <c r="AR277" s="0" t="n"/>
      <c r="AS277" s="0" t="n"/>
      <c r="AT277" s="0" t="n"/>
      <c r="AU277" s="0" t="n"/>
      <c r="AV277" s="0" t="n"/>
      <c r="AW277" s="0" t="n"/>
      <c r="AX277" s="0" t="n"/>
      <c r="AY277" s="0" t="n"/>
      <c r="AZ277" s="0" t="n"/>
      <c r="BA277" s="0" t="n"/>
      <c r="BB277" s="0" t="n"/>
      <c r="BC277" s="0" t="n"/>
      <c r="BD277" s="0" t="n"/>
      <c r="BE277" s="0" t="n"/>
      <c r="BF277" s="0" t="n"/>
      <c r="BG277" s="0" t="n"/>
      <c r="BH277" s="0" t="n"/>
      <c r="BI277" s="0" t="n"/>
      <c r="BJ277" s="0" t="n"/>
      <c r="BK277" s="0" t="n"/>
      <c r="BL277" s="0" t="n"/>
      <c r="BM277" s="0" t="n"/>
      <c r="BN277" s="0" t="n"/>
      <c r="BO277" s="0" t="n"/>
      <c r="BP277" s="0" t="n"/>
    </row>
    <row outlineLevel="0" r="278">
      <c r="A278" s="331" t="n">
        <f aca="false" ca="false" dt2D="false" dtr="false" t="normal">+A277+1</f>
        <v>262</v>
      </c>
      <c r="B278" s="6" t="n">
        <f aca="false" ca="false" dt2D="false" dtr="false" t="normal">+B277+1</f>
        <v>74</v>
      </c>
      <c r="C278" s="138" t="s">
        <v>177</v>
      </c>
      <c r="D278" s="6" t="s">
        <v>389</v>
      </c>
      <c r="E278" s="203" t="n">
        <f aca="false" ca="true" dt2D="false" dtr="false" t="normal">SUBTOTAL(9, F278:T278)</f>
        <v>4053130.36</v>
      </c>
      <c r="F278" s="18" t="n"/>
      <c r="G278" s="18" t="n"/>
      <c r="H278" s="18" t="n"/>
      <c r="I278" s="18" t="n"/>
      <c r="J278" s="18" t="n"/>
      <c r="K278" s="18" t="n"/>
      <c r="L278" s="18" t="n"/>
      <c r="M278" s="18" t="n">
        <v>0</v>
      </c>
      <c r="N278" s="18" t="n">
        <v>4009059.65</v>
      </c>
      <c r="O278" s="18" t="n">
        <v>0</v>
      </c>
      <c r="P278" s="18" t="n">
        <v>0</v>
      </c>
      <c r="Q278" s="18" t="n">
        <v>0</v>
      </c>
      <c r="R278" s="18" t="n">
        <v>39270.71</v>
      </c>
      <c r="S278" s="18" t="n">
        <v>4800</v>
      </c>
      <c r="T278" s="191" t="n"/>
      <c r="U278" s="0" t="n"/>
      <c r="V278" s="333" t="n"/>
      <c r="W278" s="0" t="n"/>
      <c r="X278" s="0" t="n"/>
      <c r="Y278" s="0" t="n"/>
      <c r="Z278" s="0" t="n"/>
      <c r="AA278" s="0" t="n"/>
      <c r="AB278" s="0" t="n"/>
      <c r="AC278" s="0" t="n"/>
      <c r="AD278" s="0" t="n"/>
      <c r="AE278" s="0" t="n"/>
      <c r="AF278" s="0" t="n"/>
      <c r="AG278" s="0" t="n"/>
      <c r="AH278" s="0" t="n"/>
      <c r="AI278" s="0" t="n"/>
      <c r="AJ278" s="0" t="n"/>
      <c r="AK278" s="0" t="n"/>
      <c r="AL278" s="0" t="n"/>
      <c r="AM278" s="0" t="n"/>
      <c r="AN278" s="0" t="n"/>
      <c r="AO278" s="0" t="n"/>
      <c r="AP278" s="0" t="n"/>
      <c r="AQ278" s="0" t="n"/>
      <c r="AR278" s="0" t="n"/>
      <c r="AS278" s="0" t="n"/>
      <c r="AT278" s="0" t="n"/>
      <c r="AU278" s="0" t="n"/>
      <c r="AV278" s="0" t="n"/>
      <c r="AW278" s="0" t="n"/>
      <c r="AX278" s="0" t="n"/>
      <c r="AY278" s="0" t="n"/>
      <c r="AZ278" s="0" t="n"/>
      <c r="BA278" s="0" t="n"/>
      <c r="BB278" s="0" t="n"/>
      <c r="BC278" s="0" t="n"/>
      <c r="BD278" s="0" t="n"/>
      <c r="BE278" s="0" t="n"/>
      <c r="BF278" s="0" t="n"/>
      <c r="BG278" s="0" t="n"/>
      <c r="BH278" s="0" t="n"/>
      <c r="BI278" s="0" t="n"/>
      <c r="BJ278" s="0" t="n"/>
      <c r="BK278" s="0" t="n"/>
      <c r="BL278" s="0" t="n"/>
      <c r="BM278" s="0" t="n"/>
      <c r="BN278" s="0" t="n"/>
      <c r="BO278" s="0" t="n"/>
      <c r="BP278" s="0" t="n"/>
    </row>
    <row outlineLevel="0" r="279">
      <c r="A279" s="331" t="n">
        <f aca="false" ca="false" dt2D="false" dtr="false" t="normal">+A278+1</f>
        <v>263</v>
      </c>
      <c r="B279" s="6" t="n">
        <f aca="false" ca="false" dt2D="false" dtr="false" t="normal">+B278+1</f>
        <v>75</v>
      </c>
      <c r="C279" s="138" t="s">
        <v>177</v>
      </c>
      <c r="D279" s="6" t="s">
        <v>565</v>
      </c>
      <c r="E279" s="203" t="n">
        <f aca="false" ca="true" dt2D="false" dtr="false" t="normal">SUBTOTAL(9, F279:T279)</f>
        <v>14089697.18</v>
      </c>
      <c r="F279" s="18" t="n"/>
      <c r="G279" s="18" t="n"/>
      <c r="H279" s="18" t="n"/>
      <c r="I279" s="18" t="n"/>
      <c r="J279" s="18" t="n"/>
      <c r="K279" s="18" t="n"/>
      <c r="L279" s="18" t="n"/>
      <c r="M279" s="18" t="n">
        <v>13862649.6</v>
      </c>
      <c r="N279" s="18" t="n"/>
      <c r="O279" s="18" t="n"/>
      <c r="P279" s="18" t="n"/>
      <c r="Q279" s="18" t="n"/>
      <c r="R279" s="18" t="n">
        <v>203887.58</v>
      </c>
      <c r="S279" s="18" t="n">
        <v>23160</v>
      </c>
      <c r="T279" s="191" t="n"/>
      <c r="U279" s="0" t="n"/>
      <c r="V279" s="333" t="n"/>
      <c r="W279" s="0" t="n"/>
      <c r="X279" s="0" t="n"/>
      <c r="Y279" s="0" t="n"/>
      <c r="Z279" s="0" t="n"/>
      <c r="AA279" s="0" t="n"/>
      <c r="AB279" s="0" t="n"/>
      <c r="AC279" s="0" t="n"/>
      <c r="AD279" s="0" t="n"/>
      <c r="AE279" s="0" t="n"/>
      <c r="AF279" s="0" t="n"/>
      <c r="AG279" s="0" t="n"/>
      <c r="AH279" s="0" t="n"/>
      <c r="AI279" s="0" t="n"/>
      <c r="AJ279" s="0" t="n"/>
      <c r="AK279" s="0" t="n"/>
      <c r="AL279" s="0" t="n"/>
      <c r="AM279" s="0" t="n"/>
      <c r="AN279" s="0" t="n"/>
      <c r="AO279" s="0" t="n"/>
      <c r="AP279" s="0" t="n"/>
      <c r="AQ279" s="0" t="n"/>
      <c r="AR279" s="0" t="n"/>
      <c r="AS279" s="0" t="n"/>
      <c r="AT279" s="0" t="n"/>
      <c r="AU279" s="0" t="n"/>
      <c r="AV279" s="0" t="n"/>
      <c r="AW279" s="0" t="n"/>
      <c r="AX279" s="0" t="n"/>
      <c r="AY279" s="0" t="n"/>
      <c r="AZ279" s="0" t="n"/>
      <c r="BA279" s="0" t="n"/>
      <c r="BB279" s="0" t="n"/>
      <c r="BC279" s="0" t="n"/>
      <c r="BD279" s="0" t="n"/>
      <c r="BE279" s="0" t="n"/>
      <c r="BF279" s="0" t="n"/>
      <c r="BG279" s="0" t="n"/>
      <c r="BH279" s="0" t="n"/>
      <c r="BI279" s="0" t="n"/>
      <c r="BJ279" s="0" t="n"/>
      <c r="BK279" s="0" t="n"/>
      <c r="BL279" s="0" t="n"/>
      <c r="BM279" s="0" t="n"/>
      <c r="BN279" s="0" t="n"/>
      <c r="BO279" s="0" t="n"/>
      <c r="BP279" s="0" t="n"/>
    </row>
    <row outlineLevel="0" r="280">
      <c r="A280" s="331" t="n">
        <f aca="false" ca="false" dt2D="false" dtr="false" t="normal">+A279+1</f>
        <v>264</v>
      </c>
      <c r="B280" s="6" t="n">
        <f aca="false" ca="false" dt2D="false" dtr="false" t="normal">+B279+1</f>
        <v>76</v>
      </c>
      <c r="C280" s="138" t="s">
        <v>177</v>
      </c>
      <c r="D280" s="6" t="s">
        <v>274</v>
      </c>
      <c r="E280" s="27" t="n">
        <f aca="false" ca="true" dt2D="false" dtr="false" t="normal">SUBTOTAL(9, F280:T280)</f>
        <v>1843690.17</v>
      </c>
      <c r="F280" s="18" t="n"/>
      <c r="G280" s="18" t="n"/>
      <c r="H280" s="18" t="n">
        <v>1824432.9</v>
      </c>
      <c r="I280" s="18" t="n"/>
      <c r="J280" s="18" t="n"/>
      <c r="K280" s="18" t="n"/>
      <c r="L280" s="18" t="n"/>
      <c r="M280" s="18" t="n">
        <v>0</v>
      </c>
      <c r="N280" s="18" t="n">
        <v>0</v>
      </c>
      <c r="O280" s="18" t="n">
        <v>0</v>
      </c>
      <c r="P280" s="18" t="n">
        <v>0</v>
      </c>
      <c r="Q280" s="18" t="n">
        <v>0</v>
      </c>
      <c r="R280" s="18" t="n"/>
      <c r="S280" s="18" t="n"/>
      <c r="T280" s="191" t="n">
        <v>19257.27</v>
      </c>
      <c r="U280" s="0" t="n"/>
      <c r="V280" s="333" t="n"/>
      <c r="W280" s="0" t="n"/>
      <c r="X280" s="0" t="n"/>
      <c r="Y280" s="0" t="n"/>
      <c r="Z280" s="0" t="n"/>
      <c r="AA280" s="0" t="n"/>
      <c r="AB280" s="0" t="n"/>
      <c r="AC280" s="0" t="n"/>
      <c r="AD280" s="0" t="n"/>
      <c r="AE280" s="0" t="n"/>
      <c r="AF280" s="0" t="n"/>
      <c r="AG280" s="0" t="n"/>
      <c r="AH280" s="0" t="n"/>
      <c r="AI280" s="0" t="n"/>
      <c r="AJ280" s="0" t="n"/>
      <c r="AK280" s="0" t="n"/>
      <c r="AL280" s="0" t="n"/>
      <c r="AM280" s="0" t="n"/>
      <c r="AN280" s="0" t="n"/>
      <c r="AO280" s="0" t="n"/>
      <c r="AP280" s="0" t="n"/>
      <c r="AQ280" s="0" t="n"/>
      <c r="AR280" s="0" t="n"/>
      <c r="AS280" s="0" t="n"/>
      <c r="AT280" s="0" t="n"/>
      <c r="AU280" s="0" t="n"/>
      <c r="AV280" s="0" t="n"/>
      <c r="AW280" s="0" t="n"/>
      <c r="AX280" s="0" t="n"/>
      <c r="AY280" s="0" t="n"/>
      <c r="AZ280" s="0" t="n"/>
      <c r="BA280" s="0" t="n"/>
      <c r="BB280" s="0" t="n"/>
      <c r="BC280" s="0" t="n"/>
      <c r="BD280" s="0" t="n"/>
      <c r="BE280" s="0" t="n"/>
      <c r="BF280" s="0" t="n"/>
      <c r="BG280" s="0" t="n"/>
      <c r="BH280" s="0" t="n"/>
      <c r="BI280" s="0" t="n"/>
      <c r="BJ280" s="0" t="n"/>
      <c r="BK280" s="0" t="n"/>
      <c r="BL280" s="0" t="n"/>
      <c r="BM280" s="0" t="n"/>
      <c r="BN280" s="0" t="n"/>
      <c r="BO280" s="0" t="n"/>
      <c r="BP280" s="0" t="n"/>
    </row>
    <row outlineLevel="0" r="281">
      <c r="A281" s="331" t="n">
        <f aca="false" ca="false" dt2D="false" dtr="false" t="normal">+A280+1</f>
        <v>265</v>
      </c>
      <c r="B281" s="6" t="n">
        <f aca="false" ca="false" dt2D="false" dtr="false" t="normal">+B280+1</f>
        <v>77</v>
      </c>
      <c r="C281" s="138" t="s">
        <v>177</v>
      </c>
      <c r="D281" s="6" t="s">
        <v>399</v>
      </c>
      <c r="E281" s="27" t="n">
        <f aca="false" ca="true" dt2D="false" dtr="false" t="normal">SUBTOTAL(9, F281:T281)</f>
        <v>7026376.8</v>
      </c>
      <c r="F281" s="18" t="n"/>
      <c r="G281" s="18" t="n">
        <v>343509.18</v>
      </c>
      <c r="H281" s="18" t="n">
        <v>1218249.92</v>
      </c>
      <c r="I281" s="18" t="n">
        <v>605983.06</v>
      </c>
      <c r="J281" s="18" t="n"/>
      <c r="K281" s="18" t="n"/>
      <c r="L281" s="18" t="n"/>
      <c r="M281" s="18" t="n"/>
      <c r="N281" s="18" t="n">
        <v>4289726.93</v>
      </c>
      <c r="O281" s="18" t="n"/>
      <c r="P281" s="18" t="n"/>
      <c r="Q281" s="18" t="n"/>
      <c r="R281" s="18" t="n">
        <v>555193.42</v>
      </c>
      <c r="S281" s="18" t="n">
        <v>13714.29</v>
      </c>
      <c r="T281" s="191" t="n"/>
      <c r="U281" s="0" t="n"/>
      <c r="V281" s="333" t="n"/>
      <c r="W281" s="0" t="n"/>
      <c r="X281" s="0" t="n"/>
      <c r="Y281" s="0" t="n"/>
      <c r="Z281" s="0" t="n"/>
      <c r="AA281" s="0" t="n"/>
      <c r="AB281" s="0" t="n"/>
      <c r="AC281" s="0" t="n"/>
      <c r="AD281" s="0" t="n"/>
      <c r="AE281" s="0" t="n"/>
      <c r="AF281" s="0" t="n"/>
      <c r="AG281" s="0" t="n"/>
      <c r="AH281" s="0" t="n"/>
      <c r="AI281" s="0" t="n"/>
      <c r="AJ281" s="0" t="n"/>
      <c r="AK281" s="0" t="n"/>
      <c r="AL281" s="0" t="n"/>
      <c r="AM281" s="0" t="n"/>
      <c r="AN281" s="0" t="n"/>
      <c r="AO281" s="0" t="n"/>
      <c r="AP281" s="0" t="n"/>
      <c r="AQ281" s="0" t="n"/>
      <c r="AR281" s="0" t="n"/>
      <c r="AS281" s="0" t="n"/>
      <c r="AT281" s="0" t="n"/>
      <c r="AU281" s="0" t="n"/>
      <c r="AV281" s="0" t="n"/>
      <c r="AW281" s="0" t="n"/>
      <c r="AX281" s="0" t="n"/>
      <c r="AY281" s="0" t="n"/>
      <c r="AZ281" s="0" t="n"/>
      <c r="BA281" s="0" t="n"/>
      <c r="BB281" s="0" t="n"/>
      <c r="BC281" s="0" t="n"/>
      <c r="BD281" s="0" t="n"/>
      <c r="BE281" s="0" t="n"/>
      <c r="BF281" s="0" t="n"/>
      <c r="BG281" s="0" t="n"/>
      <c r="BH281" s="0" t="n"/>
      <c r="BI281" s="0" t="n"/>
      <c r="BJ281" s="0" t="n"/>
      <c r="BK281" s="0" t="n"/>
      <c r="BL281" s="0" t="n"/>
      <c r="BM281" s="0" t="n"/>
      <c r="BN281" s="0" t="n"/>
      <c r="BO281" s="0" t="n"/>
      <c r="BP281" s="0" t="n"/>
    </row>
    <row outlineLevel="0" r="282">
      <c r="A282" s="331" t="n">
        <f aca="false" ca="false" dt2D="false" dtr="false" t="normal">+A281+1</f>
        <v>266</v>
      </c>
      <c r="B282" s="6" t="n">
        <f aca="false" ca="false" dt2D="false" dtr="false" t="normal">+B281+1</f>
        <v>78</v>
      </c>
      <c r="C282" s="138" t="s">
        <v>177</v>
      </c>
      <c r="D282" s="6" t="s">
        <v>281</v>
      </c>
      <c r="E282" s="27" t="n">
        <f aca="false" ca="true" dt2D="false" dtr="false" t="normal">SUBTOTAL(9, F282:T282)</f>
        <v>8130696.91</v>
      </c>
      <c r="F282" s="18" t="n"/>
      <c r="G282" s="18" t="n"/>
      <c r="H282" s="18" t="n">
        <v>271883.74</v>
      </c>
      <c r="I282" s="18" t="n">
        <v>1331235.81</v>
      </c>
      <c r="J282" s="18" t="n"/>
      <c r="K282" s="18" t="n"/>
      <c r="L282" s="18" t="n"/>
      <c r="M282" s="18" t="n"/>
      <c r="N282" s="18" t="n"/>
      <c r="O282" s="18" t="n"/>
      <c r="P282" s="18" t="n"/>
      <c r="Q282" s="18" t="n">
        <v>6391541.46</v>
      </c>
      <c r="R282" s="18" t="n">
        <v>124035.9</v>
      </c>
      <c r="S282" s="18" t="n">
        <v>12000</v>
      </c>
      <c r="T282" s="191" t="n"/>
      <c r="U282" s="0" t="n"/>
      <c r="V282" s="333" t="n"/>
      <c r="W282" s="0" t="n"/>
      <c r="X282" s="0" t="n"/>
      <c r="Y282" s="0" t="n"/>
      <c r="Z282" s="0" t="n"/>
      <c r="AA282" s="0" t="n"/>
      <c r="AB282" s="0" t="n"/>
      <c r="AC282" s="0" t="n"/>
      <c r="AD282" s="0" t="n"/>
      <c r="AE282" s="0" t="n"/>
      <c r="AF282" s="0" t="n"/>
      <c r="AG282" s="0" t="n"/>
      <c r="AH282" s="0" t="n"/>
      <c r="AI282" s="0" t="n"/>
      <c r="AJ282" s="0" t="n"/>
      <c r="AK282" s="0" t="n"/>
      <c r="AL282" s="0" t="n"/>
      <c r="AM282" s="0" t="n"/>
      <c r="AN282" s="0" t="n"/>
      <c r="AO282" s="0" t="n"/>
      <c r="AP282" s="0" t="n"/>
      <c r="AQ282" s="0" t="n"/>
      <c r="AR282" s="0" t="n"/>
      <c r="AS282" s="0" t="n"/>
      <c r="AT282" s="0" t="n"/>
      <c r="AU282" s="0" t="n"/>
      <c r="AV282" s="0" t="n"/>
      <c r="AW282" s="0" t="n"/>
      <c r="AX282" s="0" t="n"/>
      <c r="AY282" s="0" t="n"/>
      <c r="AZ282" s="0" t="n"/>
      <c r="BA282" s="0" t="n"/>
      <c r="BB282" s="0" t="n"/>
      <c r="BC282" s="0" t="n"/>
      <c r="BD282" s="0" t="n"/>
      <c r="BE282" s="0" t="n"/>
      <c r="BF282" s="0" t="n"/>
      <c r="BG282" s="0" t="n"/>
      <c r="BH282" s="0" t="n"/>
      <c r="BI282" s="0" t="n"/>
      <c r="BJ282" s="0" t="n"/>
      <c r="BK282" s="0" t="n"/>
      <c r="BL282" s="0" t="n"/>
      <c r="BM282" s="0" t="n"/>
      <c r="BN282" s="0" t="n"/>
      <c r="BO282" s="0" t="n"/>
      <c r="BP282" s="0" t="n"/>
    </row>
    <row outlineLevel="0" r="283">
      <c r="A283" s="331" t="n">
        <f aca="false" ca="false" dt2D="false" dtr="false" t="normal">+A282+1</f>
        <v>267</v>
      </c>
      <c r="B283" s="6" t="n">
        <f aca="false" ca="false" dt2D="false" dtr="false" t="normal">+B282+1</f>
        <v>79</v>
      </c>
      <c r="C283" s="138" t="s">
        <v>177</v>
      </c>
      <c r="D283" s="6" t="s">
        <v>396</v>
      </c>
      <c r="E283" s="203" t="n">
        <f aca="false" ca="true" dt2D="false" dtr="false" t="normal">SUBTOTAL(9, F283:T283)</f>
        <v>6665821.88</v>
      </c>
      <c r="F283" s="18" t="n">
        <v>2848325.83</v>
      </c>
      <c r="G283" s="18" t="n"/>
      <c r="H283" s="18" t="n"/>
      <c r="I283" s="18" t="n"/>
      <c r="J283" s="18" t="n"/>
      <c r="K283" s="18" t="n"/>
      <c r="L283" s="18" t="n"/>
      <c r="M283" s="18" t="n">
        <v>0</v>
      </c>
      <c r="N283" s="18" t="n">
        <v>3676704.18</v>
      </c>
      <c r="O283" s="18" t="n">
        <v>0</v>
      </c>
      <c r="P283" s="18" t="n"/>
      <c r="Q283" s="18" t="n"/>
      <c r="R283" s="18" t="n">
        <v>133934.73</v>
      </c>
      <c r="S283" s="18" t="n">
        <v>6857.14</v>
      </c>
      <c r="T283" s="191" t="n"/>
      <c r="U283" s="0" t="n"/>
      <c r="V283" s="333" t="n"/>
      <c r="W283" s="0" t="n"/>
      <c r="X283" s="0" t="n"/>
      <c r="Y283" s="0" t="n"/>
      <c r="Z283" s="0" t="n"/>
      <c r="AA283" s="0" t="n"/>
      <c r="AB283" s="0" t="n"/>
      <c r="AC283" s="0" t="n"/>
      <c r="AD283" s="0" t="n"/>
      <c r="AE283" s="0" t="n"/>
      <c r="AF283" s="0" t="n"/>
      <c r="AG283" s="0" t="n"/>
      <c r="AH283" s="0" t="n"/>
      <c r="AI283" s="0" t="n"/>
      <c r="AJ283" s="0" t="n"/>
      <c r="AK283" s="0" t="n"/>
      <c r="AL283" s="0" t="n"/>
      <c r="AM283" s="0" t="n"/>
      <c r="AN283" s="0" t="n"/>
      <c r="AO283" s="0" t="n"/>
      <c r="AP283" s="0" t="n"/>
      <c r="AQ283" s="0" t="n"/>
      <c r="AR283" s="0" t="n"/>
      <c r="AS283" s="0" t="n"/>
      <c r="AT283" s="0" t="n"/>
      <c r="AU283" s="0" t="n"/>
      <c r="AV283" s="0" t="n"/>
      <c r="AW283" s="0" t="n"/>
      <c r="AX283" s="0" t="n"/>
      <c r="AY283" s="0" t="n"/>
      <c r="AZ283" s="0" t="n"/>
      <c r="BA283" s="0" t="n"/>
      <c r="BB283" s="0" t="n"/>
      <c r="BC283" s="0" t="n"/>
      <c r="BD283" s="0" t="n"/>
      <c r="BE283" s="0" t="n"/>
      <c r="BF283" s="0" t="n"/>
      <c r="BG283" s="0" t="n"/>
      <c r="BH283" s="0" t="n"/>
      <c r="BI283" s="0" t="n"/>
      <c r="BJ283" s="0" t="n"/>
      <c r="BK283" s="0" t="n"/>
      <c r="BL283" s="0" t="n"/>
      <c r="BM283" s="0" t="n"/>
      <c r="BN283" s="0" t="n"/>
      <c r="BO283" s="0" t="n"/>
      <c r="BP283" s="0" t="n"/>
    </row>
    <row outlineLevel="0" r="284">
      <c r="A284" s="331" t="n">
        <f aca="false" ca="false" dt2D="false" dtr="false" t="normal">+A283+1</f>
        <v>268</v>
      </c>
      <c r="B284" s="6" t="n">
        <f aca="false" ca="false" dt2D="false" dtr="false" t="normal">+B283+1</f>
        <v>80</v>
      </c>
      <c r="C284" s="138" t="s">
        <v>177</v>
      </c>
      <c r="D284" s="6" t="s">
        <v>572</v>
      </c>
      <c r="E284" s="27" t="n">
        <f aca="false" ca="true" dt2D="false" dtr="false" t="normal">SUBTOTAL(9, F284:T284)</f>
        <v>1421417.84</v>
      </c>
      <c r="F284" s="18" t="n">
        <v>0</v>
      </c>
      <c r="G284" s="18" t="n">
        <v>0</v>
      </c>
      <c r="H284" s="18" t="n">
        <v>0</v>
      </c>
      <c r="I284" s="18" t="n">
        <v>0</v>
      </c>
      <c r="J284" s="18" t="n">
        <v>1421417.84</v>
      </c>
      <c r="K284" s="18" t="n"/>
      <c r="L284" s="18" t="n"/>
      <c r="M284" s="18" t="n">
        <v>0</v>
      </c>
      <c r="N284" s="18" t="n">
        <v>0</v>
      </c>
      <c r="O284" s="18" t="n">
        <v>0</v>
      </c>
      <c r="P284" s="18" t="n">
        <v>0</v>
      </c>
      <c r="Q284" s="18" t="n"/>
      <c r="R284" s="18" t="n"/>
      <c r="S284" s="18" t="n"/>
      <c r="T284" s="191" t="n"/>
      <c r="U284" s="0" t="n"/>
      <c r="V284" s="333" t="n"/>
      <c r="W284" s="0" t="n"/>
      <c r="X284" s="0" t="n"/>
      <c r="Y284" s="0" t="n"/>
      <c r="Z284" s="0" t="n"/>
      <c r="AA284" s="0" t="n"/>
      <c r="AB284" s="0" t="n"/>
      <c r="AC284" s="0" t="n"/>
      <c r="AD284" s="0" t="n"/>
      <c r="AE284" s="0" t="n"/>
      <c r="AF284" s="0" t="n"/>
      <c r="AG284" s="0" t="n"/>
      <c r="AH284" s="0" t="n"/>
      <c r="AI284" s="0" t="n"/>
      <c r="AJ284" s="0" t="n"/>
      <c r="AK284" s="0" t="n"/>
      <c r="AL284" s="0" t="n"/>
      <c r="AM284" s="0" t="n"/>
      <c r="AN284" s="0" t="n"/>
      <c r="AO284" s="0" t="n"/>
      <c r="AP284" s="0" t="n"/>
      <c r="AQ284" s="0" t="n"/>
      <c r="AR284" s="0" t="n"/>
      <c r="AS284" s="0" t="n"/>
      <c r="AT284" s="0" t="n"/>
      <c r="AU284" s="0" t="n"/>
      <c r="AV284" s="0" t="n"/>
      <c r="AW284" s="0" t="n"/>
      <c r="AX284" s="0" t="n"/>
      <c r="AY284" s="0" t="n"/>
      <c r="AZ284" s="0" t="n"/>
      <c r="BA284" s="0" t="n"/>
      <c r="BB284" s="0" t="n"/>
      <c r="BC284" s="0" t="n"/>
      <c r="BD284" s="0" t="n"/>
      <c r="BE284" s="0" t="n"/>
      <c r="BF284" s="0" t="n"/>
      <c r="BG284" s="0" t="n"/>
      <c r="BH284" s="0" t="n"/>
      <c r="BI284" s="0" t="n"/>
      <c r="BJ284" s="0" t="n"/>
      <c r="BK284" s="0" t="n"/>
      <c r="BL284" s="0" t="n"/>
      <c r="BM284" s="0" t="n"/>
      <c r="BN284" s="0" t="n"/>
      <c r="BO284" s="0" t="n"/>
      <c r="BP284" s="0" t="n"/>
    </row>
    <row outlineLevel="0" r="285">
      <c r="A285" s="331" t="n">
        <f aca="false" ca="false" dt2D="false" dtr="false" t="normal">+A284+1</f>
        <v>269</v>
      </c>
      <c r="B285" s="6" t="n">
        <f aca="false" ca="false" dt2D="false" dtr="false" t="normal">+B284+1</f>
        <v>81</v>
      </c>
      <c r="C285" s="138" t="s">
        <v>177</v>
      </c>
      <c r="D285" s="6" t="s">
        <v>573</v>
      </c>
      <c r="E285" s="27" t="n">
        <f aca="false" ca="true" dt2D="false" dtr="false" t="normal">SUBTOTAL(9, F285:T285)</f>
        <v>1405107.53</v>
      </c>
      <c r="F285" s="18" t="n">
        <v>0</v>
      </c>
      <c r="G285" s="18" t="n">
        <v>0</v>
      </c>
      <c r="H285" s="18" t="n">
        <v>0</v>
      </c>
      <c r="I285" s="18" t="n">
        <v>0</v>
      </c>
      <c r="J285" s="18" t="n">
        <v>1405107.53</v>
      </c>
      <c r="K285" s="18" t="n"/>
      <c r="L285" s="18" t="n"/>
      <c r="M285" s="18" t="n">
        <v>0</v>
      </c>
      <c r="N285" s="18" t="n">
        <v>0</v>
      </c>
      <c r="O285" s="18" t="n">
        <v>0</v>
      </c>
      <c r="P285" s="18" t="n">
        <v>0</v>
      </c>
      <c r="Q285" s="18" t="n"/>
      <c r="R285" s="18" t="n"/>
      <c r="S285" s="18" t="n"/>
      <c r="T285" s="191" t="n"/>
      <c r="U285" s="0" t="n"/>
      <c r="V285" s="333" t="n"/>
      <c r="W285" s="0" t="n"/>
      <c r="X285" s="0" t="n"/>
      <c r="Y285" s="0" t="n"/>
      <c r="Z285" s="0" t="n"/>
      <c r="AA285" s="0" t="n"/>
      <c r="AB285" s="0" t="n"/>
      <c r="AC285" s="0" t="n"/>
      <c r="AD285" s="0" t="n"/>
      <c r="AE285" s="0" t="n"/>
      <c r="AF285" s="0" t="n"/>
      <c r="AG285" s="0" t="n"/>
      <c r="AH285" s="0" t="n"/>
      <c r="AI285" s="0" t="n"/>
      <c r="AJ285" s="0" t="n"/>
      <c r="AK285" s="0" t="n"/>
      <c r="AL285" s="0" t="n"/>
      <c r="AM285" s="0" t="n"/>
      <c r="AN285" s="0" t="n"/>
      <c r="AO285" s="0" t="n"/>
      <c r="AP285" s="0" t="n"/>
      <c r="AQ285" s="0" t="n"/>
      <c r="AR285" s="0" t="n"/>
      <c r="AS285" s="0" t="n"/>
      <c r="AT285" s="0" t="n"/>
      <c r="AU285" s="0" t="n"/>
      <c r="AV285" s="0" t="n"/>
      <c r="AW285" s="0" t="n"/>
      <c r="AX285" s="0" t="n"/>
      <c r="AY285" s="0" t="n"/>
      <c r="AZ285" s="0" t="n"/>
      <c r="BA285" s="0" t="n"/>
      <c r="BB285" s="0" t="n"/>
      <c r="BC285" s="0" t="n"/>
      <c r="BD285" s="0" t="n"/>
      <c r="BE285" s="0" t="n"/>
      <c r="BF285" s="0" t="n"/>
      <c r="BG285" s="0" t="n"/>
      <c r="BH285" s="0" t="n"/>
      <c r="BI285" s="0" t="n"/>
      <c r="BJ285" s="0" t="n"/>
      <c r="BK285" s="0" t="n"/>
      <c r="BL285" s="0" t="n"/>
      <c r="BM285" s="0" t="n"/>
      <c r="BN285" s="0" t="n"/>
      <c r="BO285" s="0" t="n"/>
      <c r="BP285" s="0" t="n"/>
    </row>
    <row outlineLevel="0" r="286">
      <c r="A286" s="331" t="n">
        <f aca="false" ca="false" dt2D="false" dtr="false" t="normal">+A285+1</f>
        <v>270</v>
      </c>
      <c r="B286" s="6" t="n">
        <f aca="false" ca="false" dt2D="false" dtr="false" t="normal">+B285+1</f>
        <v>82</v>
      </c>
      <c r="C286" s="138" t="s">
        <v>177</v>
      </c>
      <c r="D286" s="6" t="s">
        <v>575</v>
      </c>
      <c r="E286" s="27" t="n">
        <f aca="false" ca="true" dt2D="false" dtr="false" t="normal">SUBTOTAL(9, F286:T286)</f>
        <v>1413665.12</v>
      </c>
      <c r="F286" s="18" t="n">
        <v>0</v>
      </c>
      <c r="G286" s="18" t="n">
        <v>0</v>
      </c>
      <c r="H286" s="18" t="n">
        <v>0</v>
      </c>
      <c r="I286" s="18" t="n">
        <v>0</v>
      </c>
      <c r="J286" s="18" t="n">
        <v>1413665.12</v>
      </c>
      <c r="K286" s="18" t="n"/>
      <c r="L286" s="18" t="n"/>
      <c r="M286" s="18" t="n">
        <v>0</v>
      </c>
      <c r="N286" s="18" t="n">
        <v>0</v>
      </c>
      <c r="O286" s="18" t="n">
        <v>0</v>
      </c>
      <c r="P286" s="18" t="n">
        <v>0</v>
      </c>
      <c r="Q286" s="18" t="n"/>
      <c r="R286" s="18" t="n"/>
      <c r="S286" s="18" t="n"/>
      <c r="T286" s="191" t="n"/>
      <c r="U286" s="0" t="n"/>
      <c r="V286" s="333" t="n"/>
      <c r="W286" s="0" t="n"/>
      <c r="X286" s="0" t="n"/>
      <c r="Y286" s="0" t="n"/>
      <c r="Z286" s="0" t="n"/>
      <c r="AA286" s="0" t="n"/>
      <c r="AB286" s="0" t="n"/>
      <c r="AC286" s="0" t="n"/>
      <c r="AD286" s="0" t="n"/>
      <c r="AE286" s="0" t="n"/>
      <c r="AF286" s="0" t="n"/>
      <c r="AG286" s="0" t="n"/>
      <c r="AH286" s="0" t="n"/>
      <c r="AI286" s="0" t="n"/>
      <c r="AJ286" s="0" t="n"/>
      <c r="AK286" s="0" t="n"/>
      <c r="AL286" s="0" t="n"/>
      <c r="AM286" s="0" t="n"/>
      <c r="AN286" s="0" t="n"/>
      <c r="AO286" s="0" t="n"/>
      <c r="AP286" s="0" t="n"/>
      <c r="AQ286" s="0" t="n"/>
      <c r="AR286" s="0" t="n"/>
      <c r="AS286" s="0" t="n"/>
      <c r="AT286" s="0" t="n"/>
      <c r="AU286" s="0" t="n"/>
      <c r="AV286" s="0" t="n"/>
      <c r="AW286" s="0" t="n"/>
      <c r="AX286" s="0" t="n"/>
      <c r="AY286" s="0" t="n"/>
      <c r="AZ286" s="0" t="n"/>
      <c r="BA286" s="0" t="n"/>
      <c r="BB286" s="0" t="n"/>
      <c r="BC286" s="0" t="n"/>
      <c r="BD286" s="0" t="n"/>
      <c r="BE286" s="0" t="n"/>
      <c r="BF286" s="0" t="n"/>
      <c r="BG286" s="0" t="n"/>
      <c r="BH286" s="0" t="n"/>
      <c r="BI286" s="0" t="n"/>
      <c r="BJ286" s="0" t="n"/>
      <c r="BK286" s="0" t="n"/>
      <c r="BL286" s="0" t="n"/>
      <c r="BM286" s="0" t="n"/>
      <c r="BN286" s="0" t="n"/>
      <c r="BO286" s="0" t="n"/>
      <c r="BP286" s="0" t="n"/>
    </row>
    <row outlineLevel="0" r="287">
      <c r="A287" s="331" t="n">
        <f aca="false" ca="false" dt2D="false" dtr="false" t="normal">+A286+1</f>
        <v>271</v>
      </c>
      <c r="B287" s="6" t="n">
        <f aca="false" ca="false" dt2D="false" dtr="false" t="normal">+B286+1</f>
        <v>83</v>
      </c>
      <c r="C287" s="138" t="s">
        <v>177</v>
      </c>
      <c r="D287" s="6" t="s">
        <v>576</v>
      </c>
      <c r="E287" s="27" t="n">
        <f aca="false" ca="true" dt2D="false" dtr="false" t="normal">SUBTOTAL(9, F287:T287)</f>
        <v>17110940.63</v>
      </c>
      <c r="F287" s="18" t="n">
        <v>5599699.6</v>
      </c>
      <c r="G287" s="18" t="n"/>
      <c r="H287" s="18" t="n">
        <v>2421941.33</v>
      </c>
      <c r="I287" s="18" t="n">
        <v>1626971.98</v>
      </c>
      <c r="J287" s="18" t="n"/>
      <c r="K287" s="18" t="n"/>
      <c r="L287" s="18" t="n"/>
      <c r="M287" s="18" t="n">
        <v>0</v>
      </c>
      <c r="N287" s="18" t="n">
        <v>7300062.82</v>
      </c>
      <c r="O287" s="18" t="n">
        <v>0</v>
      </c>
      <c r="P287" s="18" t="n">
        <v>0</v>
      </c>
      <c r="Q287" s="18" t="n"/>
      <c r="R287" s="18" t="n">
        <v>143064.9</v>
      </c>
      <c r="S287" s="18" t="n">
        <v>19200</v>
      </c>
      <c r="T287" s="191" t="n"/>
      <c r="U287" s="0" t="n"/>
      <c r="V287" s="333" t="n"/>
      <c r="W287" s="0" t="n"/>
      <c r="X287" s="0" t="n"/>
      <c r="Y287" s="0" t="n"/>
      <c r="Z287" s="0" t="n"/>
      <c r="AA287" s="0" t="n"/>
      <c r="AB287" s="0" t="n"/>
      <c r="AC287" s="0" t="n"/>
      <c r="AD287" s="0" t="n"/>
      <c r="AE287" s="0" t="n"/>
      <c r="AF287" s="0" t="n"/>
      <c r="AG287" s="0" t="n"/>
      <c r="AH287" s="0" t="n"/>
      <c r="AI287" s="0" t="n"/>
      <c r="AJ287" s="0" t="n"/>
      <c r="AK287" s="0" t="n"/>
      <c r="AL287" s="0" t="n"/>
      <c r="AM287" s="0" t="n"/>
      <c r="AN287" s="0" t="n"/>
      <c r="AO287" s="0" t="n"/>
      <c r="AP287" s="0" t="n"/>
      <c r="AQ287" s="0" t="n"/>
      <c r="AR287" s="0" t="n"/>
      <c r="AS287" s="0" t="n"/>
      <c r="AT287" s="0" t="n"/>
      <c r="AU287" s="0" t="n"/>
      <c r="AV287" s="0" t="n"/>
      <c r="AW287" s="0" t="n"/>
      <c r="AX287" s="0" t="n"/>
      <c r="AY287" s="0" t="n"/>
      <c r="AZ287" s="0" t="n"/>
      <c r="BA287" s="0" t="n"/>
      <c r="BB287" s="0" t="n"/>
      <c r="BC287" s="0" t="n"/>
      <c r="BD287" s="0" t="n"/>
      <c r="BE287" s="0" t="n"/>
      <c r="BF287" s="0" t="n"/>
      <c r="BG287" s="0" t="n"/>
      <c r="BH287" s="0" t="n"/>
      <c r="BI287" s="0" t="n"/>
      <c r="BJ287" s="0" t="n"/>
      <c r="BK287" s="0" t="n"/>
      <c r="BL287" s="0" t="n"/>
      <c r="BM287" s="0" t="n"/>
      <c r="BN287" s="0" t="n"/>
      <c r="BO287" s="0" t="n"/>
      <c r="BP287" s="0" t="n"/>
    </row>
    <row outlineLevel="0" r="288">
      <c r="A288" s="331" t="n">
        <f aca="false" ca="false" dt2D="false" dtr="false" t="normal">+A287+1</f>
        <v>272</v>
      </c>
      <c r="B288" s="6" t="n">
        <f aca="false" ca="false" dt2D="false" dtr="false" t="normal">+B287+1</f>
        <v>84</v>
      </c>
      <c r="C288" s="138" t="s">
        <v>177</v>
      </c>
      <c r="D288" s="6" t="s">
        <v>577</v>
      </c>
      <c r="E288" s="27" t="n">
        <f aca="false" ca="true" dt2D="false" dtr="false" t="normal">SUBTOTAL(9, F288:T288)</f>
        <v>16447028.85</v>
      </c>
      <c r="F288" s="18" t="n">
        <v>5635685.27</v>
      </c>
      <c r="G288" s="18" t="n"/>
      <c r="H288" s="18" t="n">
        <v>2462247.36</v>
      </c>
      <c r="I288" s="18" t="n">
        <v>1533694.94</v>
      </c>
      <c r="J288" s="18" t="n"/>
      <c r="K288" s="18" t="n"/>
      <c r="L288" s="18" t="n"/>
      <c r="M288" s="18" t="n">
        <v>0</v>
      </c>
      <c r="N288" s="18" t="n">
        <v>6654965.23</v>
      </c>
      <c r="O288" s="18" t="n">
        <v>0</v>
      </c>
      <c r="P288" s="18" t="n">
        <v>0</v>
      </c>
      <c r="Q288" s="18" t="n">
        <v>0</v>
      </c>
      <c r="R288" s="18" t="n">
        <v>141236.05</v>
      </c>
      <c r="S288" s="18" t="n">
        <v>19200</v>
      </c>
      <c r="T288" s="191" t="n"/>
      <c r="U288" s="0" t="n"/>
      <c r="V288" s="333" t="n"/>
      <c r="W288" s="0" t="n"/>
      <c r="X288" s="0" t="n"/>
      <c r="Y288" s="0" t="n"/>
      <c r="Z288" s="0" t="n"/>
      <c r="AA288" s="0" t="n"/>
      <c r="AB288" s="0" t="n"/>
      <c r="AC288" s="0" t="n"/>
      <c r="AD288" s="0" t="n"/>
      <c r="AE288" s="0" t="n"/>
      <c r="AF288" s="0" t="n"/>
      <c r="AG288" s="0" t="n"/>
      <c r="AH288" s="0" t="n"/>
      <c r="AI288" s="0" t="n"/>
      <c r="AJ288" s="0" t="n"/>
      <c r="AK288" s="0" t="n"/>
      <c r="AL288" s="0" t="n"/>
      <c r="AM288" s="0" t="n"/>
      <c r="AN288" s="0" t="n"/>
      <c r="AO288" s="0" t="n"/>
      <c r="AP288" s="0" t="n"/>
      <c r="AQ288" s="0" t="n"/>
      <c r="AR288" s="0" t="n"/>
      <c r="AS288" s="0" t="n"/>
      <c r="AT288" s="0" t="n"/>
      <c r="AU288" s="0" t="n"/>
      <c r="AV288" s="0" t="n"/>
      <c r="AW288" s="0" t="n"/>
      <c r="AX288" s="0" t="n"/>
      <c r="AY288" s="0" t="n"/>
      <c r="AZ288" s="0" t="n"/>
      <c r="BA288" s="0" t="n"/>
      <c r="BB288" s="0" t="n"/>
      <c r="BC288" s="0" t="n"/>
      <c r="BD288" s="0" t="n"/>
      <c r="BE288" s="0" t="n"/>
      <c r="BF288" s="0" t="n"/>
      <c r="BG288" s="0" t="n"/>
      <c r="BH288" s="0" t="n"/>
      <c r="BI288" s="0" t="n"/>
      <c r="BJ288" s="0" t="n"/>
      <c r="BK288" s="0" t="n"/>
      <c r="BL288" s="0" t="n"/>
      <c r="BM288" s="0" t="n"/>
      <c r="BN288" s="0" t="n"/>
      <c r="BO288" s="0" t="n"/>
      <c r="BP288" s="0" t="n"/>
    </row>
    <row outlineLevel="0" r="289">
      <c r="A289" s="331" t="n">
        <f aca="false" ca="false" dt2D="false" dtr="false" t="normal">+A288+1</f>
        <v>273</v>
      </c>
      <c r="B289" s="6" t="n">
        <f aca="false" ca="false" dt2D="false" dtr="false" t="normal">+B288+1</f>
        <v>85</v>
      </c>
      <c r="C289" s="138" t="s">
        <v>177</v>
      </c>
      <c r="D289" s="6" t="s">
        <v>579</v>
      </c>
      <c r="E289" s="27" t="n">
        <f aca="false" ca="true" dt2D="false" dtr="false" t="normal">SUBTOTAL(9, F289:T289)</f>
        <v>15858041.98</v>
      </c>
      <c r="F289" s="18" t="n"/>
      <c r="G289" s="18" t="n"/>
      <c r="H289" s="18" t="n">
        <v>1704018.34</v>
      </c>
      <c r="I289" s="18" t="n">
        <v>1334515.24</v>
      </c>
      <c r="J289" s="18" t="n"/>
      <c r="K289" s="18" t="n"/>
      <c r="L289" s="18" t="n"/>
      <c r="M289" s="18" t="n">
        <v>0</v>
      </c>
      <c r="N289" s="18" t="n">
        <v>6866520.98</v>
      </c>
      <c r="O289" s="18" t="n">
        <v>0</v>
      </c>
      <c r="P289" s="18" t="n">
        <v>0</v>
      </c>
      <c r="Q289" s="18" t="n">
        <v>5952987.42</v>
      </c>
      <c r="R289" s="18" t="n"/>
      <c r="S289" s="18" t="n"/>
      <c r="T289" s="191" t="n"/>
      <c r="U289" s="0" t="n"/>
      <c r="V289" s="333" t="n"/>
      <c r="W289" s="0" t="n"/>
      <c r="X289" s="0" t="n"/>
      <c r="Y289" s="0" t="n"/>
      <c r="Z289" s="0" t="n"/>
      <c r="AA289" s="0" t="n"/>
      <c r="AB289" s="0" t="n"/>
      <c r="AC289" s="0" t="n"/>
      <c r="AD289" s="0" t="n"/>
      <c r="AE289" s="0" t="n"/>
      <c r="AF289" s="0" t="n"/>
      <c r="AG289" s="0" t="n"/>
      <c r="AH289" s="0" t="n"/>
      <c r="AI289" s="0" t="n"/>
      <c r="AJ289" s="0" t="n"/>
      <c r="AK289" s="0" t="n"/>
      <c r="AL289" s="0" t="n"/>
      <c r="AM289" s="0" t="n"/>
      <c r="AN289" s="0" t="n"/>
      <c r="AO289" s="0" t="n"/>
      <c r="AP289" s="0" t="n"/>
      <c r="AQ289" s="0" t="n"/>
      <c r="AR289" s="0" t="n"/>
      <c r="AS289" s="0" t="n"/>
      <c r="AT289" s="0" t="n"/>
      <c r="AU289" s="0" t="n"/>
      <c r="AV289" s="0" t="n"/>
      <c r="AW289" s="0" t="n"/>
      <c r="AX289" s="0" t="n"/>
      <c r="AY289" s="0" t="n"/>
      <c r="AZ289" s="0" t="n"/>
      <c r="BA289" s="0" t="n"/>
      <c r="BB289" s="0" t="n"/>
      <c r="BC289" s="0" t="n"/>
      <c r="BD289" s="0" t="n"/>
      <c r="BE289" s="0" t="n"/>
      <c r="BF289" s="0" t="n"/>
      <c r="BG289" s="0" t="n"/>
      <c r="BH289" s="0" t="n"/>
      <c r="BI289" s="0" t="n"/>
      <c r="BJ289" s="0" t="n"/>
      <c r="BK289" s="0" t="n"/>
      <c r="BL289" s="0" t="n"/>
      <c r="BM289" s="0" t="n"/>
      <c r="BN289" s="0" t="n"/>
      <c r="BO289" s="0" t="n"/>
      <c r="BP289" s="0" t="n"/>
    </row>
    <row outlineLevel="0" r="290">
      <c r="A290" s="331" t="n">
        <f aca="false" ca="false" dt2D="false" dtr="false" t="normal">+A289+1</f>
        <v>274</v>
      </c>
      <c r="B290" s="6" t="n">
        <f aca="false" ca="false" dt2D="false" dtr="false" t="normal">+B289+1</f>
        <v>86</v>
      </c>
      <c r="C290" s="138" t="s">
        <v>177</v>
      </c>
      <c r="D290" s="6" t="s">
        <v>580</v>
      </c>
      <c r="E290" s="27" t="n">
        <f aca="false" ca="true" dt2D="false" dtr="false" t="normal">SUBTOTAL(9, F290:T290)</f>
        <v>1512746.4</v>
      </c>
      <c r="F290" s="18" t="n">
        <v>0</v>
      </c>
      <c r="G290" s="18" t="n">
        <v>0</v>
      </c>
      <c r="H290" s="18" t="n">
        <v>0</v>
      </c>
      <c r="I290" s="18" t="n">
        <v>0</v>
      </c>
      <c r="J290" s="18" t="n">
        <v>1512746.4</v>
      </c>
      <c r="K290" s="18" t="n"/>
      <c r="L290" s="18" t="n"/>
      <c r="M290" s="18" t="n">
        <v>0</v>
      </c>
      <c r="N290" s="18" t="n">
        <v>0</v>
      </c>
      <c r="O290" s="18" t="n">
        <v>0</v>
      </c>
      <c r="P290" s="18" t="n">
        <v>0</v>
      </c>
      <c r="Q290" s="18" t="n">
        <v>0</v>
      </c>
      <c r="R290" s="18" t="n"/>
      <c r="S290" s="18" t="n"/>
      <c r="T290" s="191" t="n"/>
      <c r="U290" s="0" t="n"/>
      <c r="V290" s="333" t="n"/>
      <c r="W290" s="0" t="n"/>
      <c r="X290" s="0" t="n"/>
      <c r="Y290" s="0" t="n"/>
      <c r="Z290" s="0" t="n"/>
      <c r="AA290" s="0" t="n"/>
      <c r="AB290" s="0" t="n"/>
      <c r="AC290" s="0" t="n"/>
      <c r="AD290" s="0" t="n"/>
      <c r="AE290" s="0" t="n"/>
      <c r="AF290" s="0" t="n"/>
      <c r="AG290" s="0" t="n"/>
      <c r="AH290" s="0" t="n"/>
      <c r="AI290" s="0" t="n"/>
      <c r="AJ290" s="0" t="n"/>
      <c r="AK290" s="0" t="n"/>
      <c r="AL290" s="0" t="n"/>
      <c r="AM290" s="0" t="n"/>
      <c r="AN290" s="0" t="n"/>
      <c r="AO290" s="0" t="n"/>
      <c r="AP290" s="0" t="n"/>
      <c r="AQ290" s="0" t="n"/>
      <c r="AR290" s="0" t="n"/>
      <c r="AS290" s="0" t="n"/>
      <c r="AT290" s="0" t="n"/>
      <c r="AU290" s="0" t="n"/>
      <c r="AV290" s="0" t="n"/>
      <c r="AW290" s="0" t="n"/>
      <c r="AX290" s="0" t="n"/>
      <c r="AY290" s="0" t="n"/>
      <c r="AZ290" s="0" t="n"/>
      <c r="BA290" s="0" t="n"/>
      <c r="BB290" s="0" t="n"/>
      <c r="BC290" s="0" t="n"/>
      <c r="BD290" s="0" t="n"/>
      <c r="BE290" s="0" t="n"/>
      <c r="BF290" s="0" t="n"/>
      <c r="BG290" s="0" t="n"/>
      <c r="BH290" s="0" t="n"/>
      <c r="BI290" s="0" t="n"/>
      <c r="BJ290" s="0" t="n"/>
      <c r="BK290" s="0" t="n"/>
      <c r="BL290" s="0" t="n"/>
      <c r="BM290" s="0" t="n"/>
      <c r="BN290" s="0" t="n"/>
      <c r="BO290" s="0" t="n"/>
      <c r="BP290" s="0" t="n"/>
    </row>
    <row outlineLevel="0" r="291">
      <c r="A291" s="331" t="n">
        <f aca="false" ca="false" dt2D="false" dtr="false" t="normal">+A290+1</f>
        <v>275</v>
      </c>
      <c r="B291" s="6" t="n">
        <f aca="false" ca="false" dt2D="false" dtr="false" t="normal">+B290+1</f>
        <v>87</v>
      </c>
      <c r="C291" s="138" t="s">
        <v>177</v>
      </c>
      <c r="D291" s="6" t="s">
        <v>288</v>
      </c>
      <c r="E291" s="27" t="n">
        <f aca="false" ca="true" dt2D="false" dtr="false" t="normal">SUBTOTAL(9, F291:T291)</f>
        <v>1512746.4</v>
      </c>
      <c r="F291" s="18" t="n">
        <v>0</v>
      </c>
      <c r="G291" s="18" t="n">
        <v>0</v>
      </c>
      <c r="H291" s="18" t="n">
        <v>0</v>
      </c>
      <c r="I291" s="18" t="n">
        <v>0</v>
      </c>
      <c r="J291" s="18" t="n">
        <v>1512746.4</v>
      </c>
      <c r="K291" s="18" t="n"/>
      <c r="L291" s="18" t="n"/>
      <c r="M291" s="18" t="n">
        <v>0</v>
      </c>
      <c r="N291" s="18" t="n">
        <v>0</v>
      </c>
      <c r="O291" s="18" t="n">
        <v>0</v>
      </c>
      <c r="P291" s="18" t="n">
        <v>0</v>
      </c>
      <c r="Q291" s="18" t="n"/>
      <c r="R291" s="18" t="n"/>
      <c r="S291" s="18" t="n"/>
      <c r="T291" s="191" t="n"/>
      <c r="U291" s="0" t="n"/>
      <c r="V291" s="333" t="n"/>
      <c r="W291" s="0" t="n"/>
      <c r="X291" s="0" t="n"/>
      <c r="Y291" s="0" t="n"/>
      <c r="Z291" s="0" t="n"/>
      <c r="AA291" s="0" t="n"/>
      <c r="AB291" s="0" t="n"/>
      <c r="AC291" s="0" t="n"/>
      <c r="AD291" s="0" t="n"/>
      <c r="AE291" s="0" t="n"/>
      <c r="AF291" s="0" t="n"/>
      <c r="AG291" s="0" t="n"/>
      <c r="AH291" s="0" t="n"/>
      <c r="AI291" s="0" t="n"/>
      <c r="AJ291" s="0" t="n"/>
      <c r="AK291" s="0" t="n"/>
      <c r="AL291" s="0" t="n"/>
      <c r="AM291" s="0" t="n"/>
      <c r="AN291" s="0" t="n"/>
      <c r="AO291" s="0" t="n"/>
      <c r="AP291" s="0" t="n"/>
      <c r="AQ291" s="0" t="n"/>
      <c r="AR291" s="0" t="n"/>
      <c r="AS291" s="0" t="n"/>
      <c r="AT291" s="0" t="n"/>
      <c r="AU291" s="0" t="n"/>
      <c r="AV291" s="0" t="n"/>
      <c r="AW291" s="0" t="n"/>
      <c r="AX291" s="0" t="n"/>
      <c r="AY291" s="0" t="n"/>
      <c r="AZ291" s="0" t="n"/>
      <c r="BA291" s="0" t="n"/>
      <c r="BB291" s="0" t="n"/>
      <c r="BC291" s="0" t="n"/>
      <c r="BD291" s="0" t="n"/>
      <c r="BE291" s="0" t="n"/>
      <c r="BF291" s="0" t="n"/>
      <c r="BG291" s="0" t="n"/>
      <c r="BH291" s="0" t="n"/>
      <c r="BI291" s="0" t="n"/>
      <c r="BJ291" s="0" t="n"/>
      <c r="BK291" s="0" t="n"/>
      <c r="BL291" s="0" t="n"/>
      <c r="BM291" s="0" t="n"/>
      <c r="BN291" s="0" t="n"/>
      <c r="BO291" s="0" t="n"/>
      <c r="BP291" s="0" t="n"/>
    </row>
    <row outlineLevel="0" r="292">
      <c r="A292" s="331" t="n">
        <f aca="false" ca="false" dt2D="false" dtr="false" t="normal">+A291+1</f>
        <v>276</v>
      </c>
      <c r="B292" s="6" t="n">
        <f aca="false" ca="false" dt2D="false" dtr="false" t="normal">+B291+1</f>
        <v>88</v>
      </c>
      <c r="C292" s="138" t="s">
        <v>177</v>
      </c>
      <c r="D292" s="6" t="s">
        <v>283</v>
      </c>
      <c r="E292" s="27" t="n">
        <f aca="false" ca="true" dt2D="false" dtr="false" t="normal">SUBTOTAL(9, F292:T292)</f>
        <v>5508552.49</v>
      </c>
      <c r="F292" s="18" t="n">
        <v>5508552.49</v>
      </c>
      <c r="G292" s="18" t="n"/>
      <c r="H292" s="18" t="n"/>
      <c r="I292" s="18" t="n"/>
      <c r="J292" s="18" t="n"/>
      <c r="K292" s="18" t="n"/>
      <c r="L292" s="18" t="n"/>
      <c r="M292" s="18" t="n"/>
      <c r="N292" s="18" t="n"/>
      <c r="O292" s="18" t="n"/>
      <c r="P292" s="18" t="n"/>
      <c r="Q292" s="18" t="n"/>
      <c r="R292" s="18" t="n"/>
      <c r="S292" s="18" t="n"/>
      <c r="T292" s="191" t="n"/>
      <c r="U292" s="0" t="n"/>
      <c r="V292" s="333" t="n"/>
      <c r="W292" s="0" t="n"/>
      <c r="X292" s="0" t="n"/>
      <c r="Y292" s="0" t="n"/>
      <c r="Z292" s="0" t="n"/>
      <c r="AA292" s="0" t="n"/>
      <c r="AB292" s="0" t="n"/>
      <c r="AC292" s="0" t="n"/>
      <c r="AD292" s="0" t="n"/>
      <c r="AE292" s="0" t="n"/>
      <c r="AF292" s="0" t="n"/>
      <c r="AG292" s="0" t="n"/>
      <c r="AH292" s="0" t="n"/>
      <c r="AI292" s="0" t="n"/>
      <c r="AJ292" s="0" t="n"/>
      <c r="AK292" s="0" t="n"/>
      <c r="AL292" s="0" t="n"/>
      <c r="AM292" s="0" t="n"/>
      <c r="AN292" s="0" t="n"/>
      <c r="AO292" s="0" t="n"/>
      <c r="AP292" s="0" t="n"/>
      <c r="AQ292" s="0" t="n"/>
      <c r="AR292" s="0" t="n"/>
      <c r="AS292" s="0" t="n"/>
      <c r="AT292" s="0" t="n"/>
      <c r="AU292" s="0" t="n"/>
      <c r="AV292" s="0" t="n"/>
      <c r="AW292" s="0" t="n"/>
      <c r="AX292" s="0" t="n"/>
      <c r="AY292" s="0" t="n"/>
      <c r="AZ292" s="0" t="n"/>
      <c r="BA292" s="0" t="n"/>
      <c r="BB292" s="0" t="n"/>
      <c r="BC292" s="0" t="n"/>
      <c r="BD292" s="0" t="n"/>
      <c r="BE292" s="0" t="n"/>
      <c r="BF292" s="0" t="n"/>
      <c r="BG292" s="0" t="n"/>
      <c r="BH292" s="0" t="n"/>
      <c r="BI292" s="0" t="n"/>
      <c r="BJ292" s="0" t="n"/>
      <c r="BK292" s="0" t="n"/>
      <c r="BL292" s="0" t="n"/>
      <c r="BM292" s="0" t="n"/>
      <c r="BN292" s="0" t="n"/>
      <c r="BO292" s="0" t="n"/>
      <c r="BP292" s="0" t="n"/>
    </row>
    <row outlineLevel="0" r="293">
      <c r="A293" s="331" t="n">
        <f aca="false" ca="false" dt2D="false" dtr="false" t="normal">+A292+1</f>
        <v>277</v>
      </c>
      <c r="B293" s="6" t="n">
        <f aca="false" ca="false" dt2D="false" dtr="false" t="normal">+B292+1</f>
        <v>89</v>
      </c>
      <c r="C293" s="138" t="s">
        <v>177</v>
      </c>
      <c r="D293" s="6" t="s">
        <v>285</v>
      </c>
      <c r="E293" s="27" t="n">
        <f aca="false" ca="true" dt2D="false" dtr="false" t="normal">SUBTOTAL(9, F293:T293)</f>
        <v>4422689.51</v>
      </c>
      <c r="F293" s="18" t="n"/>
      <c r="G293" s="18" t="n">
        <v>2875942.18</v>
      </c>
      <c r="H293" s="18" t="n"/>
      <c r="I293" s="18" t="n">
        <v>1546747.33</v>
      </c>
      <c r="J293" s="18" t="n"/>
      <c r="K293" s="18" t="n"/>
      <c r="L293" s="18" t="n"/>
      <c r="M293" s="18" t="n"/>
      <c r="N293" s="18" t="n"/>
      <c r="O293" s="18" t="n"/>
      <c r="P293" s="18" t="n"/>
      <c r="Q293" s="18" t="n"/>
      <c r="R293" s="18" t="n"/>
      <c r="S293" s="18" t="n"/>
      <c r="T293" s="191" t="n"/>
      <c r="U293" s="0" t="n"/>
      <c r="V293" s="333" t="n"/>
      <c r="W293" s="0" t="n"/>
      <c r="X293" s="0" t="n"/>
      <c r="Y293" s="0" t="n"/>
      <c r="Z293" s="0" t="n"/>
      <c r="AA293" s="0" t="n"/>
      <c r="AB293" s="0" t="n"/>
      <c r="AC293" s="0" t="n"/>
      <c r="AD293" s="0" t="n"/>
      <c r="AE293" s="0" t="n"/>
      <c r="AF293" s="0" t="n"/>
      <c r="AG293" s="0" t="n"/>
      <c r="AH293" s="0" t="n"/>
      <c r="AI293" s="0" t="n"/>
      <c r="AJ293" s="0" t="n"/>
      <c r="AK293" s="0" t="n"/>
      <c r="AL293" s="0" t="n"/>
      <c r="AM293" s="0" t="n"/>
      <c r="AN293" s="0" t="n"/>
      <c r="AO293" s="0" t="n"/>
      <c r="AP293" s="0" t="n"/>
      <c r="AQ293" s="0" t="n"/>
      <c r="AR293" s="0" t="n"/>
      <c r="AS293" s="0" t="n"/>
      <c r="AT293" s="0" t="n"/>
      <c r="AU293" s="0" t="n"/>
      <c r="AV293" s="0" t="n"/>
      <c r="AW293" s="0" t="n"/>
      <c r="AX293" s="0" t="n"/>
      <c r="AY293" s="0" t="n"/>
      <c r="AZ293" s="0" t="n"/>
      <c r="BA293" s="0" t="n"/>
      <c r="BB293" s="0" t="n"/>
      <c r="BC293" s="0" t="n"/>
      <c r="BD293" s="0" t="n"/>
      <c r="BE293" s="0" t="n"/>
      <c r="BF293" s="0" t="n"/>
      <c r="BG293" s="0" t="n"/>
      <c r="BH293" s="0" t="n"/>
      <c r="BI293" s="0" t="n"/>
      <c r="BJ293" s="0" t="n"/>
      <c r="BK293" s="0" t="n"/>
      <c r="BL293" s="0" t="n"/>
      <c r="BM293" s="0" t="n"/>
      <c r="BN293" s="0" t="n"/>
      <c r="BO293" s="0" t="n"/>
      <c r="BP293" s="0" t="n"/>
    </row>
    <row outlineLevel="0" r="294">
      <c r="A294" s="331" t="n">
        <f aca="false" ca="false" dt2D="false" dtr="false" t="normal">+A293+1</f>
        <v>278</v>
      </c>
      <c r="B294" s="6" t="n">
        <f aca="false" ca="false" dt2D="false" dtr="false" t="normal">+B293+1</f>
        <v>90</v>
      </c>
      <c r="C294" s="138" t="s">
        <v>177</v>
      </c>
      <c r="D294" s="6" t="s">
        <v>294</v>
      </c>
      <c r="E294" s="27" t="n">
        <f aca="false" ca="true" dt2D="false" dtr="false" t="normal">SUBTOTAL(9, F294:T294)</f>
        <v>12520284.639999999</v>
      </c>
      <c r="F294" s="18" t="n">
        <v>7864219.14</v>
      </c>
      <c r="G294" s="18" t="n"/>
      <c r="H294" s="18" t="n">
        <v>2874656.38</v>
      </c>
      <c r="I294" s="18" t="n">
        <v>1502641.16</v>
      </c>
      <c r="J294" s="18" t="n"/>
      <c r="K294" s="18" t="n"/>
      <c r="L294" s="18" t="n"/>
      <c r="M294" s="18" t="n"/>
      <c r="N294" s="18" t="n"/>
      <c r="O294" s="18" t="n"/>
      <c r="P294" s="18" t="n"/>
      <c r="Q294" s="18" t="n"/>
      <c r="R294" s="18" t="n">
        <v>112877.92</v>
      </c>
      <c r="S294" s="18" t="n">
        <v>12000</v>
      </c>
      <c r="T294" s="191" t="n">
        <f aca="false" ca="false" dt2D="false" dtr="false" t="normal">84308.92+34015.04+35566.08</f>
        <v>153890.03999999998</v>
      </c>
      <c r="U294" s="0" t="n"/>
      <c r="V294" s="333" t="n"/>
      <c r="W294" s="0" t="n"/>
      <c r="X294" s="0" t="n"/>
      <c r="Y294" s="0" t="n"/>
      <c r="Z294" s="0" t="n"/>
      <c r="AA294" s="0" t="n"/>
      <c r="AB294" s="0" t="n"/>
      <c r="AC294" s="0" t="n"/>
      <c r="AD294" s="0" t="n"/>
      <c r="AE294" s="0" t="n"/>
      <c r="AF294" s="0" t="n"/>
      <c r="AG294" s="0" t="n"/>
      <c r="AH294" s="0" t="n"/>
      <c r="AI294" s="0" t="n"/>
      <c r="AJ294" s="0" t="n"/>
      <c r="AK294" s="0" t="n"/>
      <c r="AL294" s="0" t="n"/>
      <c r="AM294" s="0" t="n"/>
      <c r="AN294" s="0" t="n"/>
      <c r="AO294" s="0" t="n"/>
      <c r="AP294" s="0" t="n"/>
      <c r="AQ294" s="0" t="n"/>
      <c r="AR294" s="0" t="n"/>
      <c r="AS294" s="0" t="n"/>
      <c r="AT294" s="0" t="n"/>
      <c r="AU294" s="0" t="n"/>
      <c r="AV294" s="0" t="n"/>
      <c r="AW294" s="0" t="n"/>
      <c r="AX294" s="0" t="n"/>
      <c r="AY294" s="0" t="n"/>
      <c r="AZ294" s="0" t="n"/>
      <c r="BA294" s="0" t="n"/>
      <c r="BB294" s="0" t="n"/>
      <c r="BC294" s="0" t="n"/>
      <c r="BD294" s="0" t="n"/>
      <c r="BE294" s="0" t="n"/>
      <c r="BF294" s="0" t="n"/>
      <c r="BG294" s="0" t="n"/>
      <c r="BH294" s="0" t="n"/>
      <c r="BI294" s="0" t="n"/>
      <c r="BJ294" s="0" t="n"/>
      <c r="BK294" s="0" t="n"/>
      <c r="BL294" s="0" t="n"/>
      <c r="BM294" s="0" t="n"/>
      <c r="BN294" s="0" t="n"/>
      <c r="BO294" s="0" t="n"/>
      <c r="BP294" s="0" t="n"/>
    </row>
    <row outlineLevel="0" r="295">
      <c r="A295" s="331" t="n">
        <f aca="false" ca="false" dt2D="false" dtr="false" t="normal">+A294+1</f>
        <v>279</v>
      </c>
      <c r="B295" s="6" t="n">
        <f aca="false" ca="false" dt2D="false" dtr="false" t="normal">+B294+1</f>
        <v>91</v>
      </c>
      <c r="C295" s="138" t="s">
        <v>177</v>
      </c>
      <c r="D295" s="6" t="s">
        <v>409</v>
      </c>
      <c r="E295" s="27" t="n">
        <f aca="false" ca="true" dt2D="false" dtr="false" t="normal">SUBTOTAL(9, F295:T295)</f>
        <v>3423941.28</v>
      </c>
      <c r="F295" s="18" t="n"/>
      <c r="G295" s="18" t="n"/>
      <c r="H295" s="18" t="n">
        <v>3294191.61</v>
      </c>
      <c r="I295" s="18" t="n"/>
      <c r="J295" s="18" t="n"/>
      <c r="K295" s="18" t="n"/>
      <c r="L295" s="18" t="n"/>
      <c r="M295" s="18" t="n"/>
      <c r="N295" s="18" t="n"/>
      <c r="O295" s="18" t="n"/>
      <c r="P295" s="18" t="n"/>
      <c r="Q295" s="18" t="n"/>
      <c r="R295" s="18" t="n">
        <v>125749.67</v>
      </c>
      <c r="S295" s="18" t="n">
        <v>4000</v>
      </c>
      <c r="T295" s="191" t="n"/>
      <c r="U295" s="0" t="n"/>
      <c r="V295" s="333" t="n"/>
      <c r="W295" s="0" t="n"/>
      <c r="X295" s="0" t="n"/>
      <c r="Y295" s="0" t="n"/>
      <c r="Z295" s="0" t="n"/>
      <c r="AA295" s="0" t="n"/>
      <c r="AB295" s="0" t="n"/>
      <c r="AC295" s="0" t="n"/>
      <c r="AD295" s="0" t="n"/>
      <c r="AE295" s="0" t="n"/>
      <c r="AF295" s="0" t="n"/>
      <c r="AG295" s="0" t="n"/>
      <c r="AH295" s="0" t="n"/>
      <c r="AI295" s="0" t="n"/>
      <c r="AJ295" s="0" t="n"/>
      <c r="AK295" s="0" t="n"/>
      <c r="AL295" s="0" t="n"/>
      <c r="AM295" s="0" t="n"/>
      <c r="AN295" s="0" t="n"/>
      <c r="AO295" s="0" t="n"/>
      <c r="AP295" s="0" t="n"/>
      <c r="AQ295" s="0" t="n"/>
      <c r="AR295" s="0" t="n"/>
      <c r="AS295" s="0" t="n"/>
      <c r="AT295" s="0" t="n"/>
      <c r="AU295" s="0" t="n"/>
      <c r="AV295" s="0" t="n"/>
      <c r="AW295" s="0" t="n"/>
      <c r="AX295" s="0" t="n"/>
      <c r="AY295" s="0" t="n"/>
      <c r="AZ295" s="0" t="n"/>
      <c r="BA295" s="0" t="n"/>
      <c r="BB295" s="0" t="n"/>
      <c r="BC295" s="0" t="n"/>
      <c r="BD295" s="0" t="n"/>
      <c r="BE295" s="0" t="n"/>
      <c r="BF295" s="0" t="n"/>
      <c r="BG295" s="0" t="n"/>
      <c r="BH295" s="0" t="n"/>
      <c r="BI295" s="0" t="n"/>
      <c r="BJ295" s="0" t="n"/>
      <c r="BK295" s="0" t="n"/>
      <c r="BL295" s="0" t="n"/>
      <c r="BM295" s="0" t="n"/>
      <c r="BN295" s="0" t="n"/>
      <c r="BO295" s="0" t="n"/>
      <c r="BP295" s="0" t="n"/>
    </row>
    <row outlineLevel="0" r="296">
      <c r="A296" s="331" t="n">
        <f aca="false" ca="false" dt2D="false" dtr="false" t="normal">+A295+1</f>
        <v>280</v>
      </c>
      <c r="B296" s="6" t="n">
        <f aca="false" ca="false" dt2D="false" dtr="false" t="normal">+B295+1</f>
        <v>92</v>
      </c>
      <c r="C296" s="138" t="s">
        <v>177</v>
      </c>
      <c r="D296" s="6" t="s">
        <v>299</v>
      </c>
      <c r="E296" s="27" t="n">
        <f aca="false" ca="true" dt2D="false" dtr="false" t="normal">SUBTOTAL(9, F296:T296)</f>
        <v>11419908.120000001</v>
      </c>
      <c r="F296" s="18" t="n"/>
      <c r="G296" s="18" t="n">
        <v>0</v>
      </c>
      <c r="H296" s="18" t="n">
        <v>0</v>
      </c>
      <c r="I296" s="18" t="n">
        <v>0</v>
      </c>
      <c r="J296" s="18" t="n"/>
      <c r="K296" s="18" t="n"/>
      <c r="L296" s="18" t="n"/>
      <c r="M296" s="18" t="n">
        <v>0</v>
      </c>
      <c r="N296" s="18" t="n">
        <v>7369291.12</v>
      </c>
      <c r="O296" s="18" t="n">
        <v>0</v>
      </c>
      <c r="P296" s="18" t="n">
        <v>0</v>
      </c>
      <c r="Q296" s="18" t="n">
        <v>4050617</v>
      </c>
      <c r="R296" s="18" t="n"/>
      <c r="S296" s="18" t="n"/>
      <c r="T296" s="191" t="n"/>
      <c r="U296" s="0" t="n"/>
      <c r="V296" s="333" t="n"/>
      <c r="W296" s="0" t="n"/>
      <c r="X296" s="0" t="n"/>
      <c r="Y296" s="0" t="n"/>
      <c r="Z296" s="0" t="n"/>
      <c r="AA296" s="0" t="n"/>
      <c r="AB296" s="0" t="n"/>
      <c r="AC296" s="0" t="n"/>
      <c r="AD296" s="0" t="n"/>
      <c r="AE296" s="0" t="n"/>
      <c r="AF296" s="0" t="n"/>
      <c r="AG296" s="0" t="n"/>
      <c r="AH296" s="0" t="n"/>
      <c r="AI296" s="0" t="n"/>
      <c r="AJ296" s="0" t="n"/>
      <c r="AK296" s="0" t="n"/>
      <c r="AL296" s="0" t="n"/>
      <c r="AM296" s="0" t="n"/>
      <c r="AN296" s="0" t="n"/>
      <c r="AO296" s="0" t="n"/>
      <c r="AP296" s="0" t="n"/>
      <c r="AQ296" s="0" t="n"/>
      <c r="AR296" s="0" t="n"/>
      <c r="AS296" s="0" t="n"/>
      <c r="AT296" s="0" t="n"/>
      <c r="AU296" s="0" t="n"/>
      <c r="AV296" s="0" t="n"/>
      <c r="AW296" s="0" t="n"/>
      <c r="AX296" s="0" t="n"/>
      <c r="AY296" s="0" t="n"/>
      <c r="AZ296" s="0" t="n"/>
      <c r="BA296" s="0" t="n"/>
      <c r="BB296" s="0" t="n"/>
      <c r="BC296" s="0" t="n"/>
      <c r="BD296" s="0" t="n"/>
      <c r="BE296" s="0" t="n"/>
      <c r="BF296" s="0" t="n"/>
      <c r="BG296" s="0" t="n"/>
      <c r="BH296" s="0" t="n"/>
      <c r="BI296" s="0" t="n"/>
      <c r="BJ296" s="0" t="n"/>
      <c r="BK296" s="0" t="n"/>
      <c r="BL296" s="0" t="n"/>
      <c r="BM296" s="0" t="n"/>
      <c r="BN296" s="0" t="n"/>
      <c r="BO296" s="0" t="n"/>
      <c r="BP296" s="0" t="n"/>
    </row>
    <row outlineLevel="0" r="297">
      <c r="A297" s="331" t="n">
        <f aca="false" ca="false" dt2D="false" dtr="false" t="normal">+A296+1</f>
        <v>281</v>
      </c>
      <c r="B297" s="6" t="n">
        <f aca="false" ca="false" dt2D="false" dtr="false" t="normal">+B296+1</f>
        <v>93</v>
      </c>
      <c r="C297" s="138" t="s">
        <v>177</v>
      </c>
      <c r="D297" s="6" t="s">
        <v>583</v>
      </c>
      <c r="E297" s="203" t="n">
        <f aca="false" ca="true" dt2D="false" dtr="false" t="normal">SUBTOTAL(9, F297:T297)</f>
        <v>1566527.86</v>
      </c>
      <c r="F297" s="18" t="n">
        <v>0</v>
      </c>
      <c r="G297" s="18" t="n">
        <v>0</v>
      </c>
      <c r="H297" s="18" t="n">
        <v>1566527.86</v>
      </c>
      <c r="I297" s="18" t="n">
        <v>0</v>
      </c>
      <c r="J297" s="18" t="n">
        <v>0</v>
      </c>
      <c r="K297" s="18" t="n"/>
      <c r="L297" s="18" t="n"/>
      <c r="M297" s="18" t="n">
        <v>0</v>
      </c>
      <c r="N297" s="18" t="n">
        <v>0</v>
      </c>
      <c r="O297" s="18" t="n">
        <v>0</v>
      </c>
      <c r="P297" s="18" t="n"/>
      <c r="Q297" s="18" t="n">
        <v>0</v>
      </c>
      <c r="R297" s="18" t="n"/>
      <c r="S297" s="18" t="n"/>
      <c r="T297" s="191" t="n"/>
      <c r="U297" s="0" t="n"/>
      <c r="V297" s="333" t="n"/>
      <c r="W297" s="0" t="n"/>
      <c r="X297" s="0" t="n"/>
      <c r="Y297" s="0" t="n"/>
      <c r="Z297" s="0" t="n"/>
      <c r="AA297" s="0" t="n"/>
      <c r="AB297" s="0" t="n"/>
      <c r="AC297" s="0" t="n"/>
      <c r="AD297" s="0" t="n"/>
      <c r="AE297" s="0" t="n"/>
      <c r="AF297" s="0" t="n"/>
      <c r="AG297" s="0" t="n"/>
      <c r="AH297" s="0" t="n"/>
      <c r="AI297" s="0" t="n"/>
      <c r="AJ297" s="0" t="n"/>
      <c r="AK297" s="0" t="n"/>
      <c r="AL297" s="0" t="n"/>
      <c r="AM297" s="0" t="n"/>
      <c r="AN297" s="0" t="n"/>
      <c r="AO297" s="0" t="n"/>
      <c r="AP297" s="0" t="n"/>
      <c r="AQ297" s="0" t="n"/>
      <c r="AR297" s="0" t="n"/>
      <c r="AS297" s="0" t="n"/>
      <c r="AT297" s="0" t="n"/>
      <c r="AU297" s="0" t="n"/>
      <c r="AV297" s="0" t="n"/>
      <c r="AW297" s="0" t="n"/>
      <c r="AX297" s="0" t="n"/>
      <c r="AY297" s="0" t="n"/>
      <c r="AZ297" s="0" t="n"/>
      <c r="BA297" s="0" t="n"/>
      <c r="BB297" s="0" t="n"/>
      <c r="BC297" s="0" t="n"/>
      <c r="BD297" s="0" t="n"/>
      <c r="BE297" s="0" t="n"/>
      <c r="BF297" s="0" t="n"/>
      <c r="BG297" s="0" t="n"/>
      <c r="BH297" s="0" t="n"/>
      <c r="BI297" s="0" t="n"/>
      <c r="BJ297" s="0" t="n"/>
      <c r="BK297" s="0" t="n"/>
      <c r="BL297" s="0" t="n"/>
      <c r="BM297" s="0" t="n"/>
      <c r="BN297" s="0" t="n"/>
      <c r="BO297" s="0" t="n"/>
      <c r="BP297" s="0" t="n"/>
    </row>
    <row outlineLevel="0" r="298">
      <c r="A298" s="331" t="n">
        <f aca="false" ca="false" dt2D="false" dtr="false" t="normal">+A297+1</f>
        <v>282</v>
      </c>
      <c r="B298" s="6" t="n">
        <f aca="false" ca="false" dt2D="false" dtr="false" t="normal">+B297+1</f>
        <v>94</v>
      </c>
      <c r="C298" s="138" t="s">
        <v>177</v>
      </c>
      <c r="D298" s="6" t="s">
        <v>301</v>
      </c>
      <c r="E298" s="203" t="n">
        <f aca="false" ca="true" dt2D="false" dtr="false" t="normal">SUBTOTAL(9, F298:T298)</f>
        <v>2910825.57</v>
      </c>
      <c r="F298" s="18" t="n">
        <v>2910825.57</v>
      </c>
      <c r="G298" s="18" t="n"/>
      <c r="H298" s="18" t="n"/>
      <c r="I298" s="18" t="n"/>
      <c r="J298" s="18" t="n"/>
      <c r="K298" s="18" t="n"/>
      <c r="L298" s="18" t="n"/>
      <c r="M298" s="18" t="n"/>
      <c r="N298" s="18" t="n"/>
      <c r="O298" s="18" t="n"/>
      <c r="P298" s="18" t="n"/>
      <c r="Q298" s="18" t="n"/>
      <c r="R298" s="18" t="n"/>
      <c r="S298" s="18" t="n"/>
      <c r="T298" s="191" t="n"/>
      <c r="U298" s="0" t="n"/>
      <c r="V298" s="333" t="n"/>
      <c r="W298" s="0" t="n"/>
      <c r="X298" s="0" t="n"/>
      <c r="Y298" s="0" t="n"/>
      <c r="Z298" s="0" t="n"/>
      <c r="AA298" s="0" t="n"/>
      <c r="AB298" s="0" t="n"/>
      <c r="AC298" s="0" t="n"/>
      <c r="AD298" s="0" t="n"/>
      <c r="AE298" s="0" t="n"/>
      <c r="AF298" s="0" t="n"/>
      <c r="AG298" s="0" t="n"/>
      <c r="AH298" s="0" t="n"/>
      <c r="AI298" s="0" t="n"/>
      <c r="AJ298" s="0" t="n"/>
      <c r="AK298" s="0" t="n"/>
      <c r="AL298" s="0" t="n"/>
      <c r="AM298" s="0" t="n"/>
      <c r="AN298" s="0" t="n"/>
      <c r="AO298" s="0" t="n"/>
      <c r="AP298" s="0" t="n"/>
      <c r="AQ298" s="0" t="n"/>
      <c r="AR298" s="0" t="n"/>
      <c r="AS298" s="0" t="n"/>
      <c r="AT298" s="0" t="n"/>
      <c r="AU298" s="0" t="n"/>
      <c r="AV298" s="0" t="n"/>
      <c r="AW298" s="0" t="n"/>
      <c r="AX298" s="0" t="n"/>
      <c r="AY298" s="0" t="n"/>
      <c r="AZ298" s="0" t="n"/>
      <c r="BA298" s="0" t="n"/>
      <c r="BB298" s="0" t="n"/>
      <c r="BC298" s="0" t="n"/>
      <c r="BD298" s="0" t="n"/>
      <c r="BE298" s="0" t="n"/>
      <c r="BF298" s="0" t="n"/>
      <c r="BG298" s="0" t="n"/>
      <c r="BH298" s="0" t="n"/>
      <c r="BI298" s="0" t="n"/>
      <c r="BJ298" s="0" t="n"/>
      <c r="BK298" s="0" t="n"/>
      <c r="BL298" s="0" t="n"/>
      <c r="BM298" s="0" t="n"/>
      <c r="BN298" s="0" t="n"/>
      <c r="BO298" s="0" t="n"/>
      <c r="BP298" s="0" t="n"/>
    </row>
    <row outlineLevel="0" r="299">
      <c r="A299" s="331" t="n">
        <f aca="false" ca="false" dt2D="false" dtr="false" t="normal">+A298+1</f>
        <v>283</v>
      </c>
      <c r="B299" s="6" t="n">
        <f aca="false" ca="false" dt2D="false" dtr="false" t="normal">+B298+1</f>
        <v>95</v>
      </c>
      <c r="C299" s="138" t="s">
        <v>177</v>
      </c>
      <c r="D299" s="6" t="s">
        <v>585</v>
      </c>
      <c r="E299" s="27" t="n">
        <f aca="false" ca="true" dt2D="false" dtr="false" t="normal">SUBTOTAL(9, F299:T299)</f>
        <v>491444.9</v>
      </c>
      <c r="F299" s="18" t="n">
        <v>0</v>
      </c>
      <c r="G299" s="18" t="n">
        <v>0</v>
      </c>
      <c r="H299" s="18" t="n">
        <v>0</v>
      </c>
      <c r="I299" s="18" t="n">
        <v>0</v>
      </c>
      <c r="J299" s="18" t="n">
        <v>491444.9</v>
      </c>
      <c r="K299" s="18" t="n"/>
      <c r="L299" s="18" t="n"/>
      <c r="M299" s="18" t="n">
        <v>0</v>
      </c>
      <c r="N299" s="18" t="n">
        <v>0</v>
      </c>
      <c r="O299" s="18" t="n">
        <v>0</v>
      </c>
      <c r="P299" s="18" t="n"/>
      <c r="Q299" s="18" t="n"/>
      <c r="R299" s="18" t="n"/>
      <c r="S299" s="18" t="n"/>
      <c r="T299" s="191" t="n"/>
      <c r="U299" s="0" t="n"/>
      <c r="V299" s="333" t="n"/>
      <c r="W299" s="0" t="n"/>
      <c r="X299" s="0" t="n"/>
      <c r="Y299" s="0" t="n"/>
      <c r="Z299" s="0" t="n"/>
      <c r="AA299" s="0" t="n"/>
      <c r="AB299" s="0" t="n"/>
      <c r="AC299" s="0" t="n"/>
      <c r="AD299" s="0" t="n"/>
      <c r="AE299" s="0" t="n"/>
      <c r="AF299" s="0" t="n"/>
      <c r="AG299" s="0" t="n"/>
      <c r="AH299" s="0" t="n"/>
      <c r="AI299" s="0" t="n"/>
      <c r="AJ299" s="0" t="n"/>
      <c r="AK299" s="0" t="n"/>
      <c r="AL299" s="0" t="n"/>
      <c r="AM299" s="0" t="n"/>
      <c r="AN299" s="0" t="n"/>
      <c r="AO299" s="0" t="n"/>
      <c r="AP299" s="0" t="n"/>
      <c r="AQ299" s="0" t="n"/>
      <c r="AR299" s="0" t="n"/>
      <c r="AS299" s="0" t="n"/>
      <c r="AT299" s="0" t="n"/>
      <c r="AU299" s="0" t="n"/>
      <c r="AV299" s="0" t="n"/>
      <c r="AW299" s="0" t="n"/>
      <c r="AX299" s="0" t="n"/>
      <c r="AY299" s="0" t="n"/>
      <c r="AZ299" s="0" t="n"/>
      <c r="BA299" s="0" t="n"/>
      <c r="BB299" s="0" t="n"/>
      <c r="BC299" s="0" t="n"/>
      <c r="BD299" s="0" t="n"/>
      <c r="BE299" s="0" t="n"/>
      <c r="BF299" s="0" t="n"/>
      <c r="BG299" s="0" t="n"/>
      <c r="BH299" s="0" t="n"/>
      <c r="BI299" s="0" t="n"/>
      <c r="BJ299" s="0" t="n"/>
      <c r="BK299" s="0" t="n"/>
      <c r="BL299" s="0" t="n"/>
      <c r="BM299" s="0" t="n"/>
      <c r="BN299" s="0" t="n"/>
      <c r="BO299" s="0" t="n"/>
      <c r="BP299" s="0" t="n"/>
    </row>
    <row outlineLevel="0" r="300">
      <c r="A300" s="331" t="n">
        <f aca="false" ca="false" dt2D="false" dtr="false" t="normal">+A299+1</f>
        <v>284</v>
      </c>
      <c r="B300" s="6" t="n">
        <f aca="false" ca="false" dt2D="false" dtr="false" t="normal">+B299+1</f>
        <v>96</v>
      </c>
      <c r="C300" s="138" t="s">
        <v>177</v>
      </c>
      <c r="D300" s="6" t="s">
        <v>587</v>
      </c>
      <c r="E300" s="27" t="n">
        <f aca="false" ca="true" dt2D="false" dtr="false" t="normal">SUBTOTAL(9, F300:T300)</f>
        <v>12925050.76</v>
      </c>
      <c r="F300" s="18" t="n">
        <v>0</v>
      </c>
      <c r="G300" s="18" t="n">
        <v>0</v>
      </c>
      <c r="H300" s="18" t="n"/>
      <c r="I300" s="18" t="n">
        <v>0</v>
      </c>
      <c r="J300" s="18" t="n">
        <v>0</v>
      </c>
      <c r="K300" s="18" t="n"/>
      <c r="L300" s="18" t="n"/>
      <c r="M300" s="18" t="n">
        <v>0</v>
      </c>
      <c r="N300" s="18" t="n">
        <v>12925050.76</v>
      </c>
      <c r="O300" s="18" t="n">
        <v>0</v>
      </c>
      <c r="P300" s="18" t="n"/>
      <c r="Q300" s="18" t="n">
        <v>0</v>
      </c>
      <c r="R300" s="18" t="n"/>
      <c r="S300" s="18" t="n"/>
      <c r="T300" s="191" t="n"/>
      <c r="U300" s="0" t="n"/>
      <c r="V300" s="333" t="n"/>
      <c r="W300" s="0" t="n"/>
      <c r="X300" s="0" t="n"/>
      <c r="Y300" s="0" t="n"/>
      <c r="Z300" s="0" t="n"/>
      <c r="AA300" s="0" t="n"/>
      <c r="AB300" s="0" t="n"/>
      <c r="AC300" s="0" t="n"/>
      <c r="AD300" s="0" t="n"/>
      <c r="AE300" s="0" t="n"/>
      <c r="AF300" s="0" t="n"/>
      <c r="AG300" s="0" t="n"/>
      <c r="AH300" s="0" t="n"/>
      <c r="AI300" s="0" t="n"/>
      <c r="AJ300" s="0" t="n"/>
      <c r="AK300" s="0" t="n"/>
      <c r="AL300" s="0" t="n"/>
      <c r="AM300" s="0" t="n"/>
      <c r="AN300" s="0" t="n"/>
      <c r="AO300" s="0" t="n"/>
      <c r="AP300" s="0" t="n"/>
      <c r="AQ300" s="0" t="n"/>
      <c r="AR300" s="0" t="n"/>
      <c r="AS300" s="0" t="n"/>
      <c r="AT300" s="0" t="n"/>
      <c r="AU300" s="0" t="n"/>
      <c r="AV300" s="0" t="n"/>
      <c r="AW300" s="0" t="n"/>
      <c r="AX300" s="0" t="n"/>
      <c r="AY300" s="0" t="n"/>
      <c r="AZ300" s="0" t="n"/>
      <c r="BA300" s="0" t="n"/>
      <c r="BB300" s="0" t="n"/>
      <c r="BC300" s="0" t="n"/>
      <c r="BD300" s="0" t="n"/>
      <c r="BE300" s="0" t="n"/>
      <c r="BF300" s="0" t="n"/>
      <c r="BG300" s="0" t="n"/>
      <c r="BH300" s="0" t="n"/>
      <c r="BI300" s="0" t="n"/>
      <c r="BJ300" s="0" t="n"/>
      <c r="BK300" s="0" t="n"/>
      <c r="BL300" s="0" t="n"/>
      <c r="BM300" s="0" t="n"/>
      <c r="BN300" s="0" t="n"/>
      <c r="BO300" s="0" t="n"/>
      <c r="BP300" s="0" t="n"/>
    </row>
    <row outlineLevel="0" r="301">
      <c r="A301" s="331" t="n">
        <f aca="false" ca="false" dt2D="false" dtr="false" t="normal">+A300+1</f>
        <v>285</v>
      </c>
      <c r="B301" s="6" t="n">
        <f aca="false" ca="false" dt2D="false" dtr="false" t="normal">+B300+1</f>
        <v>97</v>
      </c>
      <c r="C301" s="138" t="s">
        <v>177</v>
      </c>
      <c r="D301" s="6" t="s">
        <v>588</v>
      </c>
      <c r="E301" s="27" t="n">
        <f aca="false" ca="true" dt2D="false" dtr="false" t="normal">SUBTOTAL(9, F301:T301)</f>
        <v>8010112.430000001</v>
      </c>
      <c r="F301" s="18" t="n"/>
      <c r="G301" s="18" t="n"/>
      <c r="H301" s="18" t="n"/>
      <c r="I301" s="18" t="n">
        <v>0</v>
      </c>
      <c r="J301" s="18" t="n">
        <v>1014819.95</v>
      </c>
      <c r="K301" s="18" t="n"/>
      <c r="L301" s="18" t="n"/>
      <c r="M301" s="18" t="n"/>
      <c r="N301" s="18" t="n"/>
      <c r="O301" s="18" t="n"/>
      <c r="P301" s="18" t="n"/>
      <c r="Q301" s="18" t="n">
        <v>6995292.48</v>
      </c>
      <c r="R301" s="18" t="n"/>
      <c r="S301" s="18" t="n"/>
      <c r="T301" s="191" t="n"/>
      <c r="U301" s="0" t="n"/>
      <c r="V301" s="333" t="n"/>
      <c r="W301" s="0" t="n"/>
      <c r="X301" s="0" t="n"/>
      <c r="Y301" s="0" t="n"/>
      <c r="Z301" s="0" t="n"/>
      <c r="AA301" s="0" t="n"/>
      <c r="AB301" s="0" t="n"/>
      <c r="AC301" s="0" t="n"/>
      <c r="AD301" s="0" t="n"/>
      <c r="AE301" s="0" t="n"/>
      <c r="AF301" s="0" t="n"/>
      <c r="AG301" s="0" t="n"/>
      <c r="AH301" s="0" t="n"/>
      <c r="AI301" s="0" t="n"/>
      <c r="AJ301" s="0" t="n"/>
      <c r="AK301" s="0" t="n"/>
      <c r="AL301" s="0" t="n"/>
      <c r="AM301" s="0" t="n"/>
      <c r="AN301" s="0" t="n"/>
      <c r="AO301" s="0" t="n"/>
      <c r="AP301" s="0" t="n"/>
      <c r="AQ301" s="0" t="n"/>
      <c r="AR301" s="0" t="n"/>
      <c r="AS301" s="0" t="n"/>
      <c r="AT301" s="0" t="n"/>
      <c r="AU301" s="0" t="n"/>
      <c r="AV301" s="0" t="n"/>
      <c r="AW301" s="0" t="n"/>
      <c r="AX301" s="0" t="n"/>
      <c r="AY301" s="0" t="n"/>
      <c r="AZ301" s="0" t="n"/>
      <c r="BA301" s="0" t="n"/>
      <c r="BB301" s="0" t="n"/>
      <c r="BC301" s="0" t="n"/>
      <c r="BD301" s="0" t="n"/>
      <c r="BE301" s="0" t="n"/>
      <c r="BF301" s="0" t="n"/>
      <c r="BG301" s="0" t="n"/>
      <c r="BH301" s="0" t="n"/>
      <c r="BI301" s="0" t="n"/>
      <c r="BJ301" s="0" t="n"/>
      <c r="BK301" s="0" t="n"/>
      <c r="BL301" s="0" t="n"/>
      <c r="BM301" s="0" t="n"/>
      <c r="BN301" s="0" t="n"/>
      <c r="BO301" s="0" t="n"/>
      <c r="BP301" s="0" t="n"/>
    </row>
    <row outlineLevel="0" r="302">
      <c r="A302" s="331" t="n">
        <f aca="false" ca="false" dt2D="false" dtr="false" t="normal">+A301+1</f>
        <v>286</v>
      </c>
      <c r="B302" s="6" t="n">
        <f aca="false" ca="false" dt2D="false" dtr="false" t="normal">+B301+1</f>
        <v>98</v>
      </c>
      <c r="C302" s="138" t="s">
        <v>177</v>
      </c>
      <c r="D302" s="6" t="s">
        <v>590</v>
      </c>
      <c r="E302" s="203" t="n">
        <f aca="false" ca="true" dt2D="false" dtr="false" t="normal">SUBTOTAL(9, F302:T302)</f>
        <v>2065046.76</v>
      </c>
      <c r="F302" s="18" t="n"/>
      <c r="G302" s="18" t="n"/>
      <c r="H302" s="18" t="n">
        <v>1394976.29</v>
      </c>
      <c r="I302" s="18" t="n"/>
      <c r="J302" s="18" t="n"/>
      <c r="K302" s="18" t="n"/>
      <c r="L302" s="18" t="n"/>
      <c r="M302" s="18" t="n">
        <v>0</v>
      </c>
      <c r="N302" s="18" t="n">
        <v>0</v>
      </c>
      <c r="O302" s="18" t="n">
        <v>0</v>
      </c>
      <c r="P302" s="18" t="n"/>
      <c r="Q302" s="18" t="n">
        <v>397050</v>
      </c>
      <c r="R302" s="18" t="n">
        <v>266163.33</v>
      </c>
      <c r="S302" s="18" t="n">
        <v>6857.14</v>
      </c>
      <c r="T302" s="191" t="n"/>
      <c r="U302" s="0" t="n"/>
      <c r="V302" s="333" t="n"/>
      <c r="W302" s="0" t="n"/>
      <c r="X302" s="0" t="n"/>
      <c r="Y302" s="0" t="n"/>
      <c r="Z302" s="0" t="n"/>
      <c r="AA302" s="0" t="n"/>
      <c r="AB302" s="0" t="n"/>
      <c r="AC302" s="0" t="n"/>
      <c r="AD302" s="0" t="n"/>
      <c r="AE302" s="0" t="n"/>
      <c r="AF302" s="0" t="n"/>
      <c r="AG302" s="0" t="n"/>
      <c r="AH302" s="0" t="n"/>
      <c r="AI302" s="0" t="n"/>
      <c r="AJ302" s="0" t="n"/>
      <c r="AK302" s="0" t="n"/>
      <c r="AL302" s="0" t="n"/>
      <c r="AM302" s="0" t="n"/>
      <c r="AN302" s="0" t="n"/>
      <c r="AO302" s="0" t="n"/>
      <c r="AP302" s="0" t="n"/>
      <c r="AQ302" s="0" t="n"/>
      <c r="AR302" s="0" t="n"/>
      <c r="AS302" s="0" t="n"/>
      <c r="AT302" s="0" t="n"/>
      <c r="AU302" s="0" t="n"/>
      <c r="AV302" s="0" t="n"/>
      <c r="AW302" s="0" t="n"/>
      <c r="AX302" s="0" t="n"/>
      <c r="AY302" s="0" t="n"/>
      <c r="AZ302" s="0" t="n"/>
      <c r="BA302" s="0" t="n"/>
      <c r="BB302" s="0" t="n"/>
      <c r="BC302" s="0" t="n"/>
      <c r="BD302" s="0" t="n"/>
      <c r="BE302" s="0" t="n"/>
      <c r="BF302" s="0" t="n"/>
      <c r="BG302" s="0" t="n"/>
      <c r="BH302" s="0" t="n"/>
      <c r="BI302" s="0" t="n"/>
      <c r="BJ302" s="0" t="n"/>
      <c r="BK302" s="0" t="n"/>
      <c r="BL302" s="0" t="n"/>
      <c r="BM302" s="0" t="n"/>
      <c r="BN302" s="0" t="n"/>
      <c r="BO302" s="0" t="n"/>
      <c r="BP302" s="0" t="n"/>
    </row>
    <row outlineLevel="0" r="303">
      <c r="A303" s="331" t="n">
        <f aca="false" ca="false" dt2D="false" dtr="false" t="normal">+A302+1</f>
        <v>287</v>
      </c>
      <c r="B303" s="6" t="n">
        <f aca="false" ca="false" dt2D="false" dtr="false" t="normal">+B302+1</f>
        <v>99</v>
      </c>
      <c r="C303" s="138" t="s">
        <v>177</v>
      </c>
      <c r="D303" s="6" t="s">
        <v>416</v>
      </c>
      <c r="E303" s="203" t="n">
        <f aca="false" ca="true" dt2D="false" dtr="false" t="normal">SUBTOTAL(9, F303:T303)</f>
        <v>24468478.45</v>
      </c>
      <c r="F303" s="18" t="n"/>
      <c r="G303" s="18" t="n"/>
      <c r="H303" s="18" t="n"/>
      <c r="I303" s="18" t="n"/>
      <c r="J303" s="18" t="n"/>
      <c r="K303" s="18" t="n"/>
      <c r="L303" s="18" t="n"/>
      <c r="M303" s="18" t="n"/>
      <c r="N303" s="18" t="n">
        <v>16572168.38</v>
      </c>
      <c r="O303" s="18" t="n"/>
      <c r="P303" s="18" t="n"/>
      <c r="Q303" s="18" t="n">
        <v>7332571.26</v>
      </c>
      <c r="R303" s="18" t="n">
        <v>557738.81</v>
      </c>
      <c r="S303" s="18" t="n">
        <v>6000</v>
      </c>
      <c r="T303" s="191" t="n"/>
      <c r="U303" s="0" t="n"/>
      <c r="V303" s="333" t="n"/>
      <c r="W303" s="0" t="n"/>
      <c r="X303" s="0" t="n"/>
      <c r="Y303" s="0" t="n"/>
      <c r="Z303" s="0" t="n"/>
      <c r="AA303" s="0" t="n"/>
      <c r="AB303" s="0" t="n"/>
      <c r="AC303" s="0" t="n"/>
      <c r="AD303" s="0" t="n"/>
      <c r="AE303" s="0" t="n"/>
      <c r="AF303" s="0" t="n"/>
      <c r="AG303" s="0" t="n"/>
      <c r="AH303" s="0" t="n"/>
      <c r="AI303" s="0" t="n"/>
      <c r="AJ303" s="0" t="n"/>
      <c r="AK303" s="0" t="n"/>
      <c r="AL303" s="0" t="n"/>
      <c r="AM303" s="0" t="n"/>
      <c r="AN303" s="0" t="n"/>
      <c r="AO303" s="0" t="n"/>
      <c r="AP303" s="0" t="n"/>
      <c r="AQ303" s="0" t="n"/>
      <c r="AR303" s="0" t="n"/>
      <c r="AS303" s="0" t="n"/>
      <c r="AT303" s="0" t="n"/>
      <c r="AU303" s="0" t="n"/>
      <c r="AV303" s="0" t="n"/>
      <c r="AW303" s="0" t="n"/>
      <c r="AX303" s="0" t="n"/>
      <c r="AY303" s="0" t="n"/>
      <c r="AZ303" s="0" t="n"/>
      <c r="BA303" s="0" t="n"/>
      <c r="BB303" s="0" t="n"/>
      <c r="BC303" s="0" t="n"/>
      <c r="BD303" s="0" t="n"/>
      <c r="BE303" s="0" t="n"/>
      <c r="BF303" s="0" t="n"/>
      <c r="BG303" s="0" t="n"/>
      <c r="BH303" s="0" t="n"/>
      <c r="BI303" s="0" t="n"/>
      <c r="BJ303" s="0" t="n"/>
      <c r="BK303" s="0" t="n"/>
      <c r="BL303" s="0" t="n"/>
      <c r="BM303" s="0" t="n"/>
      <c r="BN303" s="0" t="n"/>
      <c r="BO303" s="0" t="n"/>
      <c r="BP303" s="0" t="n"/>
    </row>
    <row outlineLevel="0" r="304">
      <c r="A304" s="331" t="n">
        <f aca="false" ca="false" dt2D="false" dtr="false" t="normal">+A303+1</f>
        <v>288</v>
      </c>
      <c r="B304" s="6" t="n">
        <f aca="false" ca="false" dt2D="false" dtr="false" t="normal">+B303+1</f>
        <v>100</v>
      </c>
      <c r="C304" s="138" t="s">
        <v>177</v>
      </c>
      <c r="D304" s="6" t="s">
        <v>303</v>
      </c>
      <c r="E304" s="203" t="n">
        <f aca="false" ca="true" dt2D="false" dtr="false" t="normal">SUBTOTAL(9, F304:T304)</f>
        <v>11911375.76</v>
      </c>
      <c r="F304" s="18" t="n"/>
      <c r="G304" s="18" t="n"/>
      <c r="H304" s="18" t="n"/>
      <c r="I304" s="18" t="n"/>
      <c r="J304" s="18" t="n"/>
      <c r="K304" s="18" t="n"/>
      <c r="L304" s="18" t="n"/>
      <c r="M304" s="18" t="n"/>
      <c r="N304" s="18" t="n">
        <v>11436125.95</v>
      </c>
      <c r="O304" s="18" t="n">
        <v>0</v>
      </c>
      <c r="P304" s="18" t="n"/>
      <c r="Q304" s="18" t="n"/>
      <c r="R304" s="18" t="n">
        <v>459249.81</v>
      </c>
      <c r="S304" s="18" t="n">
        <v>16000</v>
      </c>
      <c r="T304" s="191" t="n"/>
      <c r="U304" s="0" t="n"/>
      <c r="V304" s="333" t="n"/>
      <c r="W304" s="0" t="n"/>
      <c r="X304" s="0" t="n"/>
      <c r="Y304" s="0" t="n"/>
      <c r="Z304" s="0" t="n"/>
      <c r="AA304" s="0" t="n"/>
      <c r="AB304" s="0" t="n"/>
      <c r="AC304" s="0" t="n"/>
      <c r="AD304" s="0" t="n"/>
      <c r="AE304" s="0" t="n"/>
      <c r="AF304" s="0" t="n"/>
      <c r="AG304" s="0" t="n"/>
      <c r="AH304" s="0" t="n"/>
      <c r="AI304" s="0" t="n"/>
      <c r="AJ304" s="0" t="n"/>
      <c r="AK304" s="0" t="n"/>
      <c r="AL304" s="0" t="n"/>
      <c r="AM304" s="0" t="n"/>
      <c r="AN304" s="0" t="n"/>
      <c r="AO304" s="0" t="n"/>
      <c r="AP304" s="0" t="n"/>
      <c r="AQ304" s="0" t="n"/>
      <c r="AR304" s="0" t="n"/>
      <c r="AS304" s="0" t="n"/>
      <c r="AT304" s="0" t="n"/>
      <c r="AU304" s="0" t="n"/>
      <c r="AV304" s="0" t="n"/>
      <c r="AW304" s="0" t="n"/>
      <c r="AX304" s="0" t="n"/>
      <c r="AY304" s="0" t="n"/>
      <c r="AZ304" s="0" t="n"/>
      <c r="BA304" s="0" t="n"/>
      <c r="BB304" s="0" t="n"/>
      <c r="BC304" s="0" t="n"/>
      <c r="BD304" s="0" t="n"/>
      <c r="BE304" s="0" t="n"/>
      <c r="BF304" s="0" t="n"/>
      <c r="BG304" s="0" t="n"/>
      <c r="BH304" s="0" t="n"/>
      <c r="BI304" s="0" t="n"/>
      <c r="BJ304" s="0" t="n"/>
      <c r="BK304" s="0" t="n"/>
      <c r="BL304" s="0" t="n"/>
      <c r="BM304" s="0" t="n"/>
      <c r="BN304" s="0" t="n"/>
      <c r="BO304" s="0" t="n"/>
      <c r="BP304" s="0" t="n"/>
    </row>
    <row outlineLevel="0" r="305">
      <c r="A305" s="331" t="n">
        <f aca="false" ca="false" dt2D="false" dtr="false" t="normal">+A304+1</f>
        <v>289</v>
      </c>
      <c r="B305" s="6" t="n">
        <f aca="false" ca="false" dt2D="false" dtr="false" t="normal">+B304+1</f>
        <v>101</v>
      </c>
      <c r="C305" s="138" t="s">
        <v>177</v>
      </c>
      <c r="D305" s="6" t="s">
        <v>424</v>
      </c>
      <c r="E305" s="203" t="n">
        <f aca="false" ca="true" dt2D="false" dtr="false" t="normal">SUBTOTAL(9, F305:T305)</f>
        <v>33900034.11</v>
      </c>
      <c r="F305" s="18" t="n"/>
      <c r="G305" s="18" t="n"/>
      <c r="H305" s="18" t="n"/>
      <c r="I305" s="18" t="n"/>
      <c r="J305" s="18" t="n"/>
      <c r="K305" s="18" t="n"/>
      <c r="L305" s="18" t="n"/>
      <c r="M305" s="18" t="n">
        <v>0</v>
      </c>
      <c r="N305" s="18" t="n">
        <v>12001166</v>
      </c>
      <c r="O305" s="18" t="n">
        <v>0</v>
      </c>
      <c r="P305" s="18" t="n">
        <v>21351135</v>
      </c>
      <c r="Q305" s="18" t="n"/>
      <c r="R305" s="18" t="n">
        <v>544304.54</v>
      </c>
      <c r="S305" s="18" t="n">
        <v>3428.57</v>
      </c>
      <c r="T305" s="191" t="n"/>
      <c r="U305" s="0" t="n"/>
      <c r="V305" s="333" t="n"/>
      <c r="W305" s="0" t="n"/>
      <c r="X305" s="0" t="n"/>
      <c r="Y305" s="0" t="n"/>
      <c r="Z305" s="0" t="n"/>
      <c r="AA305" s="0" t="n"/>
      <c r="AB305" s="0" t="n"/>
      <c r="AC305" s="0" t="n"/>
      <c r="AD305" s="0" t="n"/>
      <c r="AE305" s="0" t="n"/>
      <c r="AF305" s="0" t="n"/>
      <c r="AG305" s="0" t="n"/>
      <c r="AH305" s="0" t="n"/>
      <c r="AI305" s="0" t="n"/>
      <c r="AJ305" s="0" t="n"/>
      <c r="AK305" s="0" t="n"/>
      <c r="AL305" s="0" t="n"/>
      <c r="AM305" s="0" t="n"/>
      <c r="AN305" s="0" t="n"/>
      <c r="AO305" s="0" t="n"/>
      <c r="AP305" s="0" t="n"/>
      <c r="AQ305" s="0" t="n"/>
      <c r="AR305" s="0" t="n"/>
      <c r="AS305" s="0" t="n"/>
      <c r="AT305" s="0" t="n"/>
      <c r="AU305" s="0" t="n"/>
      <c r="AV305" s="0" t="n"/>
      <c r="AW305" s="0" t="n"/>
      <c r="AX305" s="0" t="n"/>
      <c r="AY305" s="0" t="n"/>
      <c r="AZ305" s="0" t="n"/>
      <c r="BA305" s="0" t="n"/>
      <c r="BB305" s="0" t="n"/>
      <c r="BC305" s="0" t="n"/>
      <c r="BD305" s="0" t="n"/>
      <c r="BE305" s="0" t="n"/>
      <c r="BF305" s="0" t="n"/>
      <c r="BG305" s="0" t="n"/>
      <c r="BH305" s="0" t="n"/>
      <c r="BI305" s="0" t="n"/>
      <c r="BJ305" s="0" t="n"/>
      <c r="BK305" s="0" t="n"/>
      <c r="BL305" s="0" t="n"/>
      <c r="BM305" s="0" t="n"/>
      <c r="BN305" s="0" t="n"/>
      <c r="BO305" s="0" t="n"/>
      <c r="BP305" s="0" t="n"/>
    </row>
    <row outlineLevel="0" r="306">
      <c r="A306" s="331" t="n">
        <f aca="false" ca="false" dt2D="false" dtr="false" t="normal">+A305+1</f>
        <v>290</v>
      </c>
      <c r="B306" s="6" t="n">
        <f aca="false" ca="false" dt2D="false" dtr="false" t="normal">+B305+1</f>
        <v>102</v>
      </c>
      <c r="C306" s="138" t="s">
        <v>177</v>
      </c>
      <c r="D306" s="6" t="s">
        <v>307</v>
      </c>
      <c r="E306" s="27" t="n">
        <f aca="false" ca="true" dt2D="false" dtr="false" t="normal">SUBTOTAL(9, F306:T306)</f>
        <v>786855.41</v>
      </c>
      <c r="F306" s="18" t="n"/>
      <c r="G306" s="18" t="n"/>
      <c r="H306" s="18" t="n"/>
      <c r="I306" s="18" t="n">
        <v>754929.79</v>
      </c>
      <c r="J306" s="18" t="n">
        <v>0</v>
      </c>
      <c r="K306" s="18" t="n"/>
      <c r="L306" s="18" t="n"/>
      <c r="M306" s="18" t="n">
        <v>0</v>
      </c>
      <c r="N306" s="18" t="n"/>
      <c r="O306" s="18" t="n">
        <v>0</v>
      </c>
      <c r="P306" s="18" t="n">
        <v>0</v>
      </c>
      <c r="Q306" s="18" t="n"/>
      <c r="R306" s="18" t="n">
        <v>27925.62</v>
      </c>
      <c r="S306" s="18" t="n">
        <v>4000</v>
      </c>
      <c r="T306" s="191" t="n"/>
      <c r="U306" s="0" t="n"/>
      <c r="V306" s="333" t="n"/>
      <c r="W306" s="0" t="n"/>
      <c r="X306" s="0" t="n"/>
      <c r="Y306" s="0" t="n"/>
      <c r="Z306" s="0" t="n"/>
      <c r="AA306" s="0" t="n"/>
      <c r="AB306" s="0" t="n"/>
      <c r="AC306" s="0" t="n"/>
      <c r="AD306" s="0" t="n"/>
      <c r="AE306" s="0" t="n"/>
      <c r="AF306" s="0" t="n"/>
      <c r="AG306" s="0" t="n"/>
      <c r="AH306" s="0" t="n"/>
      <c r="AI306" s="0" t="n"/>
      <c r="AJ306" s="0" t="n"/>
      <c r="AK306" s="0" t="n"/>
      <c r="AL306" s="0" t="n"/>
      <c r="AM306" s="0" t="n"/>
      <c r="AN306" s="0" t="n"/>
      <c r="AO306" s="0" t="n"/>
      <c r="AP306" s="0" t="n"/>
      <c r="AQ306" s="0" t="n"/>
      <c r="AR306" s="0" t="n"/>
      <c r="AS306" s="0" t="n"/>
      <c r="AT306" s="0" t="n"/>
      <c r="AU306" s="0" t="n"/>
      <c r="AV306" s="0" t="n"/>
      <c r="AW306" s="0" t="n"/>
      <c r="AX306" s="0" t="n"/>
      <c r="AY306" s="0" t="n"/>
      <c r="AZ306" s="0" t="n"/>
      <c r="BA306" s="0" t="n"/>
      <c r="BB306" s="0" t="n"/>
      <c r="BC306" s="0" t="n"/>
      <c r="BD306" s="0" t="n"/>
      <c r="BE306" s="0" t="n"/>
      <c r="BF306" s="0" t="n"/>
      <c r="BG306" s="0" t="n"/>
      <c r="BH306" s="0" t="n"/>
      <c r="BI306" s="0" t="n"/>
      <c r="BJ306" s="0" t="n"/>
      <c r="BK306" s="0" t="n"/>
      <c r="BL306" s="0" t="n"/>
      <c r="BM306" s="0" t="n"/>
      <c r="BN306" s="0" t="n"/>
      <c r="BO306" s="0" t="n"/>
      <c r="BP306" s="0" t="n"/>
    </row>
    <row outlineLevel="0" r="307">
      <c r="A307" s="331" t="n">
        <f aca="false" ca="false" dt2D="false" dtr="false" t="normal">+A306+1</f>
        <v>291</v>
      </c>
      <c r="B307" s="6" t="n">
        <f aca="false" ca="false" dt2D="false" dtr="false" t="normal">+B306+1</f>
        <v>103</v>
      </c>
      <c r="C307" s="138" t="s">
        <v>177</v>
      </c>
      <c r="D307" s="6" t="s">
        <v>591</v>
      </c>
      <c r="E307" s="27" t="n">
        <f aca="false" ca="true" dt2D="false" dtr="false" t="normal">SUBTOTAL(9, F307:T307)</f>
        <v>982262</v>
      </c>
      <c r="F307" s="18" t="n"/>
      <c r="G307" s="18" t="n"/>
      <c r="H307" s="18" t="n"/>
      <c r="I307" s="18" t="n"/>
      <c r="J307" s="18" t="n">
        <v>982262</v>
      </c>
      <c r="K307" s="18" t="n"/>
      <c r="L307" s="18" t="n"/>
      <c r="M307" s="18" t="n"/>
      <c r="N307" s="18" t="n"/>
      <c r="O307" s="18" t="n"/>
      <c r="P307" s="18" t="n"/>
      <c r="Q307" s="18" t="n">
        <v>0</v>
      </c>
      <c r="R307" s="18" t="n"/>
      <c r="S307" s="18" t="n"/>
      <c r="T307" s="191" t="n"/>
      <c r="U307" s="0" t="n"/>
      <c r="V307" s="333" t="n"/>
      <c r="W307" s="0" t="n"/>
      <c r="X307" s="0" t="n"/>
      <c r="Y307" s="0" t="n"/>
      <c r="Z307" s="0" t="n"/>
      <c r="AA307" s="0" t="n"/>
      <c r="AB307" s="0" t="n"/>
      <c r="AC307" s="0" t="n"/>
      <c r="AD307" s="0" t="n"/>
      <c r="AE307" s="0" t="n"/>
      <c r="AF307" s="0" t="n"/>
      <c r="AG307" s="0" t="n"/>
      <c r="AH307" s="0" t="n"/>
      <c r="AI307" s="0" t="n"/>
      <c r="AJ307" s="0" t="n"/>
      <c r="AK307" s="0" t="n"/>
      <c r="AL307" s="0" t="n"/>
      <c r="AM307" s="0" t="n"/>
      <c r="AN307" s="0" t="n"/>
      <c r="AO307" s="0" t="n"/>
      <c r="AP307" s="0" t="n"/>
      <c r="AQ307" s="0" t="n"/>
      <c r="AR307" s="0" t="n"/>
      <c r="AS307" s="0" t="n"/>
      <c r="AT307" s="0" t="n"/>
      <c r="AU307" s="0" t="n"/>
      <c r="AV307" s="0" t="n"/>
      <c r="AW307" s="0" t="n"/>
      <c r="AX307" s="0" t="n"/>
      <c r="AY307" s="0" t="n"/>
      <c r="AZ307" s="0" t="n"/>
      <c r="BA307" s="0" t="n"/>
      <c r="BB307" s="0" t="n"/>
      <c r="BC307" s="0" t="n"/>
      <c r="BD307" s="0" t="n"/>
      <c r="BE307" s="0" t="n"/>
      <c r="BF307" s="0" t="n"/>
      <c r="BG307" s="0" t="n"/>
      <c r="BH307" s="0" t="n"/>
      <c r="BI307" s="0" t="n"/>
      <c r="BJ307" s="0" t="n"/>
      <c r="BK307" s="0" t="n"/>
      <c r="BL307" s="0" t="n"/>
      <c r="BM307" s="0" t="n"/>
      <c r="BN307" s="0" t="n"/>
      <c r="BO307" s="0" t="n"/>
      <c r="BP307" s="0" t="n"/>
    </row>
    <row customFormat="true" ht="15.75" outlineLevel="0" r="308" s="351">
      <c r="A308" s="331" t="n">
        <f aca="false" ca="false" dt2D="false" dtr="false" t="normal">+A307+1</f>
        <v>292</v>
      </c>
      <c r="B308" s="6" t="n">
        <f aca="false" ca="false" dt2D="false" dtr="false" t="normal">+B307+1</f>
        <v>104</v>
      </c>
      <c r="C308" s="138" t="s">
        <v>177</v>
      </c>
      <c r="D308" s="6" t="s">
        <v>316</v>
      </c>
      <c r="E308" s="27" t="n">
        <f aca="false" ca="true" dt2D="false" dtr="false" t="normal">SUBTOTAL(9, F308:T308)</f>
        <v>37756385.57</v>
      </c>
      <c r="F308" s="18" t="n"/>
      <c r="G308" s="18" t="n"/>
      <c r="H308" s="18" t="n"/>
      <c r="I308" s="18" t="n"/>
      <c r="J308" s="18" t="n"/>
      <c r="K308" s="18" t="n"/>
      <c r="L308" s="18" t="n"/>
      <c r="M308" s="18" t="n"/>
      <c r="N308" s="18" t="n"/>
      <c r="O308" s="18" t="n"/>
      <c r="P308" s="18" t="n">
        <v>31442611.48</v>
      </c>
      <c r="Q308" s="18" t="n">
        <v>5699540.98</v>
      </c>
      <c r="R308" s="18" t="n">
        <v>607375.97</v>
      </c>
      <c r="S308" s="18" t="n">
        <v>6857.14</v>
      </c>
      <c r="T308" s="191" t="n"/>
      <c r="U308" s="0" t="n"/>
      <c r="V308" s="333" t="n"/>
      <c r="W308" s="0" t="n"/>
      <c r="X308" s="0" t="n"/>
      <c r="Y308" s="0" t="n"/>
      <c r="Z308" s="0" t="n"/>
      <c r="AA308" s="0" t="n"/>
      <c r="AB308" s="0" t="n"/>
      <c r="AC308" s="0" t="n"/>
      <c r="AD308" s="0" t="n"/>
      <c r="AE308" s="0" t="n"/>
      <c r="AF308" s="0" t="n"/>
      <c r="AG308" s="0" t="n"/>
      <c r="AH308" s="0" t="n"/>
      <c r="AI308" s="0" t="n"/>
      <c r="AJ308" s="0" t="n"/>
      <c r="AK308" s="0" t="n"/>
      <c r="AL308" s="0" t="n"/>
      <c r="AM308" s="0" t="n"/>
      <c r="AN308" s="0" t="n"/>
      <c r="AO308" s="0" t="n"/>
      <c r="AP308" s="0" t="n"/>
      <c r="AQ308" s="0" t="n"/>
      <c r="AR308" s="0" t="n"/>
      <c r="AS308" s="0" t="n"/>
      <c r="AT308" s="0" t="n"/>
      <c r="AU308" s="0" t="n"/>
      <c r="AV308" s="0" t="n"/>
      <c r="AW308" s="0" t="n"/>
      <c r="AX308" s="0" t="n"/>
      <c r="AY308" s="0" t="n"/>
      <c r="AZ308" s="0" t="n"/>
      <c r="BA308" s="0" t="n"/>
      <c r="BB308" s="0" t="n"/>
      <c r="BC308" s="0" t="n"/>
      <c r="BD308" s="0" t="n"/>
      <c r="BE308" s="0" t="n"/>
      <c r="BF308" s="0" t="n"/>
      <c r="BG308" s="0" t="n"/>
      <c r="BH308" s="0" t="n"/>
      <c r="BI308" s="0" t="n"/>
      <c r="BJ308" s="0" t="n"/>
      <c r="BK308" s="0" t="n"/>
      <c r="BL308" s="0" t="n"/>
      <c r="BM308" s="0" t="n"/>
      <c r="BN308" s="0" t="n"/>
      <c r="BO308" s="0" t="n"/>
      <c r="BP308" s="0" t="n"/>
    </row>
    <row customFormat="true" ht="15.75" outlineLevel="0" r="309" s="351">
      <c r="A309" s="331" t="n">
        <f aca="false" ca="false" dt2D="false" dtr="false" t="normal">+A308+1</f>
        <v>293</v>
      </c>
      <c r="B309" s="6" t="n">
        <f aca="false" ca="false" dt2D="false" dtr="false" t="normal">+B308+1</f>
        <v>105</v>
      </c>
      <c r="C309" s="138" t="s">
        <v>177</v>
      </c>
      <c r="D309" s="6" t="s">
        <v>434</v>
      </c>
      <c r="E309" s="27" t="n">
        <f aca="false" ca="true" dt2D="false" dtr="false" t="normal">SUBTOTAL(9, F309:T309)</f>
        <v>6472175.16</v>
      </c>
      <c r="F309" s="18" t="n"/>
      <c r="G309" s="18" t="n"/>
      <c r="H309" s="18" t="n"/>
      <c r="I309" s="18" t="n"/>
      <c r="J309" s="18" t="n"/>
      <c r="K309" s="18" t="n"/>
      <c r="L309" s="18" t="n"/>
      <c r="M309" s="18" t="n"/>
      <c r="N309" s="18" t="n"/>
      <c r="O309" s="18" t="n"/>
      <c r="P309" s="18" t="n"/>
      <c r="Q309" s="18" t="n">
        <v>6215148.3</v>
      </c>
      <c r="R309" s="18" t="n">
        <v>253598.29</v>
      </c>
      <c r="S309" s="18" t="n">
        <v>3428.57</v>
      </c>
      <c r="T309" s="191" t="n"/>
      <c r="U309" s="0" t="n"/>
      <c r="V309" s="333" t="n"/>
      <c r="W309" s="0" t="n"/>
      <c r="X309" s="0" t="n"/>
      <c r="Y309" s="0" t="n"/>
      <c r="Z309" s="0" t="n"/>
      <c r="AA309" s="0" t="n"/>
      <c r="AB309" s="0" t="n"/>
      <c r="AC309" s="0" t="n"/>
      <c r="AD309" s="0" t="n"/>
      <c r="AE309" s="0" t="n"/>
      <c r="AF309" s="0" t="n"/>
      <c r="AG309" s="0" t="n"/>
      <c r="AH309" s="0" t="n"/>
      <c r="AI309" s="0" t="n"/>
      <c r="AJ309" s="0" t="n"/>
      <c r="AK309" s="0" t="n"/>
      <c r="AL309" s="0" t="n"/>
      <c r="AM309" s="0" t="n"/>
      <c r="AN309" s="0" t="n"/>
      <c r="AO309" s="0" t="n"/>
      <c r="AP309" s="0" t="n"/>
      <c r="AQ309" s="0" t="n"/>
      <c r="AR309" s="0" t="n"/>
      <c r="AS309" s="0" t="n"/>
      <c r="AT309" s="0" t="n"/>
      <c r="AU309" s="0" t="n"/>
      <c r="AV309" s="0" t="n"/>
      <c r="AW309" s="0" t="n"/>
      <c r="AX309" s="0" t="n"/>
      <c r="AY309" s="0" t="n"/>
      <c r="AZ309" s="0" t="n"/>
      <c r="BA309" s="0" t="n"/>
      <c r="BB309" s="0" t="n"/>
      <c r="BC309" s="0" t="n"/>
      <c r="BD309" s="0" t="n"/>
      <c r="BE309" s="0" t="n"/>
      <c r="BF309" s="0" t="n"/>
      <c r="BG309" s="0" t="n"/>
      <c r="BH309" s="0" t="n"/>
      <c r="BI309" s="0" t="n"/>
      <c r="BJ309" s="0" t="n"/>
      <c r="BK309" s="0" t="n"/>
      <c r="BL309" s="0" t="n"/>
      <c r="BM309" s="0" t="n"/>
      <c r="BN309" s="0" t="n"/>
      <c r="BO309" s="0" t="n"/>
      <c r="BP309" s="0" t="n"/>
    </row>
    <row outlineLevel="0" r="310">
      <c r="A310" s="331" t="n">
        <f aca="false" ca="false" dt2D="false" dtr="false" t="normal">+A309+1</f>
        <v>294</v>
      </c>
      <c r="B310" s="6" t="n">
        <f aca="false" ca="false" dt2D="false" dtr="false" t="normal">+B309+1</f>
        <v>106</v>
      </c>
      <c r="C310" s="138" t="s">
        <v>177</v>
      </c>
      <c r="D310" s="6" t="s">
        <v>436</v>
      </c>
      <c r="E310" s="203" t="n">
        <f aca="false" ca="true" dt2D="false" dtr="false" t="normal">SUBTOTAL(9, F310:T310)</f>
        <v>22551866.78</v>
      </c>
      <c r="F310" s="18" t="n"/>
      <c r="G310" s="18" t="n"/>
      <c r="H310" s="18" t="n"/>
      <c r="I310" s="18" t="n"/>
      <c r="J310" s="18" t="n"/>
      <c r="K310" s="18" t="n"/>
      <c r="L310" s="18" t="n"/>
      <c r="M310" s="18" t="n"/>
      <c r="N310" s="18" t="n">
        <v>11858145.5</v>
      </c>
      <c r="O310" s="18" t="n">
        <v>0</v>
      </c>
      <c r="P310" s="18" t="n"/>
      <c r="Q310" s="18" t="n">
        <v>10159720.21</v>
      </c>
      <c r="R310" s="18" t="n">
        <v>524401.07</v>
      </c>
      <c r="S310" s="18" t="n">
        <v>9600</v>
      </c>
      <c r="T310" s="191" t="n"/>
      <c r="U310" s="0" t="n"/>
      <c r="V310" s="333" t="n"/>
      <c r="W310" s="0" t="n"/>
      <c r="X310" s="0" t="n"/>
      <c r="Y310" s="0" t="n"/>
      <c r="Z310" s="0" t="n"/>
      <c r="AA310" s="0" t="n"/>
      <c r="AB310" s="0" t="n"/>
      <c r="AC310" s="0" t="n"/>
      <c r="AD310" s="0" t="n"/>
      <c r="AE310" s="0" t="n"/>
      <c r="AF310" s="0" t="n"/>
      <c r="AG310" s="0" t="n"/>
      <c r="AH310" s="0" t="n"/>
      <c r="AI310" s="0" t="n"/>
      <c r="AJ310" s="0" t="n"/>
      <c r="AK310" s="0" t="n"/>
      <c r="AL310" s="0" t="n"/>
      <c r="AM310" s="0" t="n"/>
      <c r="AN310" s="0" t="n"/>
      <c r="AO310" s="0" t="n"/>
      <c r="AP310" s="0" t="n"/>
      <c r="AQ310" s="0" t="n"/>
      <c r="AR310" s="0" t="n"/>
      <c r="AS310" s="0" t="n"/>
      <c r="AT310" s="0" t="n"/>
      <c r="AU310" s="0" t="n"/>
      <c r="AV310" s="0" t="n"/>
      <c r="AW310" s="0" t="n"/>
      <c r="AX310" s="0" t="n"/>
      <c r="AY310" s="0" t="n"/>
      <c r="AZ310" s="0" t="n"/>
      <c r="BA310" s="0" t="n"/>
      <c r="BB310" s="0" t="n"/>
      <c r="BC310" s="0" t="n"/>
      <c r="BD310" s="0" t="n"/>
      <c r="BE310" s="0" t="n"/>
      <c r="BF310" s="0" t="n"/>
      <c r="BG310" s="0" t="n"/>
      <c r="BH310" s="0" t="n"/>
      <c r="BI310" s="0" t="n"/>
      <c r="BJ310" s="0" t="n"/>
      <c r="BK310" s="0" t="n"/>
      <c r="BL310" s="0" t="n"/>
      <c r="BM310" s="0" t="n"/>
      <c r="BN310" s="0" t="n"/>
      <c r="BO310" s="0" t="n"/>
      <c r="BP310" s="0" t="n"/>
    </row>
    <row customFormat="true" ht="15.75" outlineLevel="0" r="311" s="351">
      <c r="A311" s="331" t="n">
        <f aca="false" ca="false" dt2D="false" dtr="false" t="normal">+A310+1</f>
        <v>295</v>
      </c>
      <c r="B311" s="6" t="n">
        <f aca="false" ca="false" dt2D="false" dtr="false" t="normal">+B310+1</f>
        <v>107</v>
      </c>
      <c r="C311" s="138" t="s">
        <v>177</v>
      </c>
      <c r="D311" s="6" t="s">
        <v>592</v>
      </c>
      <c r="E311" s="27" t="n">
        <f aca="false" ca="true" dt2D="false" dtr="false" t="normal">SUBTOTAL(9, F311:T311)</f>
        <v>19322281.259999998</v>
      </c>
      <c r="F311" s="18" t="n">
        <v>9193389.03</v>
      </c>
      <c r="G311" s="18" t="n">
        <v>2924499.67</v>
      </c>
      <c r="H311" s="18" t="n">
        <v>3230753.86</v>
      </c>
      <c r="I311" s="18" t="n">
        <v>3708442.52</v>
      </c>
      <c r="J311" s="18" t="n"/>
      <c r="K311" s="18" t="n"/>
      <c r="L311" s="18" t="n"/>
      <c r="M311" s="18" t="n"/>
      <c r="N311" s="18" t="n"/>
      <c r="O311" s="18" t="n"/>
      <c r="P311" s="18" t="n"/>
      <c r="Q311" s="18" t="n"/>
      <c r="R311" s="18" t="n">
        <v>226850.47</v>
      </c>
      <c r="S311" s="18" t="n">
        <v>38345.71</v>
      </c>
      <c r="T311" s="191" t="n"/>
      <c r="U311" s="0" t="n"/>
      <c r="V311" s="333" t="n"/>
      <c r="W311" s="0" t="n"/>
      <c r="X311" s="0" t="n"/>
      <c r="Y311" s="0" t="n"/>
      <c r="Z311" s="0" t="n"/>
      <c r="AA311" s="0" t="n"/>
      <c r="AB311" s="0" t="n"/>
      <c r="AC311" s="0" t="n"/>
      <c r="AD311" s="0" t="n"/>
      <c r="AE311" s="0" t="n"/>
      <c r="AF311" s="0" t="n"/>
      <c r="AG311" s="0" t="n"/>
      <c r="AH311" s="0" t="n"/>
      <c r="AI311" s="0" t="n"/>
      <c r="AJ311" s="0" t="n"/>
      <c r="AK311" s="0" t="n"/>
      <c r="AL311" s="0" t="n"/>
      <c r="AM311" s="0" t="n"/>
      <c r="AN311" s="0" t="n"/>
      <c r="AO311" s="0" t="n"/>
      <c r="AP311" s="0" t="n"/>
      <c r="AQ311" s="0" t="n"/>
      <c r="AR311" s="0" t="n"/>
      <c r="AS311" s="0" t="n"/>
      <c r="AT311" s="0" t="n"/>
      <c r="AU311" s="0" t="n"/>
      <c r="AV311" s="0" t="n"/>
      <c r="AW311" s="0" t="n"/>
      <c r="AX311" s="0" t="n"/>
      <c r="AY311" s="0" t="n"/>
      <c r="AZ311" s="0" t="n"/>
      <c r="BA311" s="0" t="n"/>
      <c r="BB311" s="0" t="n"/>
      <c r="BC311" s="0" t="n"/>
      <c r="BD311" s="0" t="n"/>
      <c r="BE311" s="0" t="n"/>
      <c r="BF311" s="0" t="n"/>
      <c r="BG311" s="0" t="n"/>
      <c r="BH311" s="0" t="n"/>
      <c r="BI311" s="0" t="n"/>
      <c r="BJ311" s="0" t="n"/>
      <c r="BK311" s="0" t="n"/>
      <c r="BL311" s="0" t="n"/>
      <c r="BM311" s="0" t="n"/>
      <c r="BN311" s="0" t="n"/>
      <c r="BO311" s="0" t="n"/>
      <c r="BP311" s="0" t="n"/>
    </row>
    <row outlineLevel="0" r="312">
      <c r="A312" s="331" t="n">
        <f aca="false" ca="false" dt2D="false" dtr="false" t="normal">+A311+1</f>
        <v>296</v>
      </c>
      <c r="B312" s="6" t="n">
        <f aca="false" ca="false" dt2D="false" dtr="false" t="normal">+B311+1</f>
        <v>108</v>
      </c>
      <c r="C312" s="138" t="s">
        <v>177</v>
      </c>
      <c r="D312" s="6" t="s">
        <v>438</v>
      </c>
      <c r="E312" s="27" t="n">
        <f aca="false" ca="true" dt2D="false" dtr="false" t="normal">SUBTOTAL(9, F312:T312)</f>
        <v>5865383.100000001</v>
      </c>
      <c r="F312" s="18" t="n">
        <v>0</v>
      </c>
      <c r="G312" s="18" t="n"/>
      <c r="H312" s="18" t="n">
        <v>0</v>
      </c>
      <c r="I312" s="18" t="n"/>
      <c r="J312" s="18" t="n"/>
      <c r="K312" s="18" t="n"/>
      <c r="L312" s="18" t="n"/>
      <c r="M312" s="18" t="n">
        <v>0</v>
      </c>
      <c r="N312" s="18" t="n">
        <v>0</v>
      </c>
      <c r="O312" s="18" t="n">
        <v>0</v>
      </c>
      <c r="P312" s="18" t="n">
        <v>0</v>
      </c>
      <c r="Q312" s="18" t="n">
        <v>5650467.82</v>
      </c>
      <c r="R312" s="18" t="n">
        <v>202915.28</v>
      </c>
      <c r="S312" s="18" t="n">
        <v>12000</v>
      </c>
      <c r="T312" s="191" t="n"/>
      <c r="U312" s="0" t="n"/>
      <c r="V312" s="333" t="n"/>
      <c r="W312" s="0" t="n"/>
      <c r="X312" s="0" t="n"/>
      <c r="Y312" s="0" t="n"/>
      <c r="Z312" s="0" t="n"/>
      <c r="AA312" s="0" t="n"/>
      <c r="AB312" s="0" t="n"/>
      <c r="AC312" s="0" t="n"/>
      <c r="AD312" s="0" t="n"/>
      <c r="AE312" s="0" t="n"/>
      <c r="AF312" s="0" t="n"/>
      <c r="AG312" s="0" t="n"/>
      <c r="AH312" s="0" t="n"/>
      <c r="AI312" s="0" t="n"/>
      <c r="AJ312" s="0" t="n"/>
      <c r="AK312" s="0" t="n"/>
      <c r="AL312" s="0" t="n"/>
      <c r="AM312" s="0" t="n"/>
      <c r="AN312" s="0" t="n"/>
      <c r="AO312" s="0" t="n"/>
      <c r="AP312" s="0" t="n"/>
      <c r="AQ312" s="0" t="n"/>
      <c r="AR312" s="0" t="n"/>
      <c r="AS312" s="0" t="n"/>
      <c r="AT312" s="0" t="n"/>
      <c r="AU312" s="0" t="n"/>
      <c r="AV312" s="0" t="n"/>
      <c r="AW312" s="0" t="n"/>
      <c r="AX312" s="0" t="n"/>
      <c r="AY312" s="0" t="n"/>
      <c r="AZ312" s="0" t="n"/>
      <c r="BA312" s="0" t="n"/>
      <c r="BB312" s="0" t="n"/>
      <c r="BC312" s="0" t="n"/>
      <c r="BD312" s="0" t="n"/>
      <c r="BE312" s="0" t="n"/>
      <c r="BF312" s="0" t="n"/>
      <c r="BG312" s="0" t="n"/>
      <c r="BH312" s="0" t="n"/>
      <c r="BI312" s="0" t="n"/>
      <c r="BJ312" s="0" t="n"/>
      <c r="BK312" s="0" t="n"/>
      <c r="BL312" s="0" t="n"/>
      <c r="BM312" s="0" t="n"/>
      <c r="BN312" s="0" t="n"/>
      <c r="BO312" s="0" t="n"/>
      <c r="BP312" s="0" t="n"/>
    </row>
    <row customFormat="true" ht="15.75" outlineLevel="0" r="313" s="351">
      <c r="A313" s="331" t="n">
        <f aca="false" ca="false" dt2D="false" dtr="false" t="normal">+A312+1</f>
        <v>297</v>
      </c>
      <c r="B313" s="6" t="n">
        <f aca="false" ca="false" dt2D="false" dtr="false" t="normal">+B312+1</f>
        <v>109</v>
      </c>
      <c r="C313" s="138" t="s">
        <v>177</v>
      </c>
      <c r="D313" s="6" t="s">
        <v>444</v>
      </c>
      <c r="E313" s="27" t="n">
        <f aca="false" ca="true" dt2D="false" dtr="false" t="normal">SUBTOTAL(9, F313:T313)</f>
        <v>3976195.3000000003</v>
      </c>
      <c r="F313" s="18" t="n"/>
      <c r="G313" s="18" t="n"/>
      <c r="H313" s="18" t="n"/>
      <c r="I313" s="18" t="n"/>
      <c r="J313" s="18" t="n"/>
      <c r="K313" s="18" t="n"/>
      <c r="L313" s="18" t="n"/>
      <c r="M313" s="18" t="n"/>
      <c r="N313" s="18" t="n"/>
      <c r="O313" s="18" t="n"/>
      <c r="P313" s="18" t="n"/>
      <c r="Q313" s="18" t="n">
        <v>3781253.22</v>
      </c>
      <c r="R313" s="18" t="n">
        <v>188942.08</v>
      </c>
      <c r="S313" s="18" t="n">
        <v>6000</v>
      </c>
      <c r="T313" s="191" t="n"/>
      <c r="U313" s="0" t="n"/>
      <c r="V313" s="333" t="n"/>
      <c r="W313" s="0" t="n"/>
      <c r="X313" s="0" t="n"/>
      <c r="Y313" s="0" t="n"/>
      <c r="Z313" s="0" t="n"/>
      <c r="AA313" s="0" t="n"/>
      <c r="AB313" s="0" t="n"/>
      <c r="AC313" s="0" t="n"/>
      <c r="AD313" s="0" t="n"/>
      <c r="AE313" s="0" t="n"/>
      <c r="AF313" s="0" t="n"/>
      <c r="AG313" s="0" t="n"/>
      <c r="AH313" s="0" t="n"/>
      <c r="AI313" s="0" t="n"/>
      <c r="AJ313" s="0" t="n"/>
      <c r="AK313" s="0" t="n"/>
      <c r="AL313" s="0" t="n"/>
      <c r="AM313" s="0" t="n"/>
      <c r="AN313" s="0" t="n"/>
      <c r="AO313" s="0" t="n"/>
      <c r="AP313" s="0" t="n"/>
      <c r="AQ313" s="0" t="n"/>
      <c r="AR313" s="0" t="n"/>
      <c r="AS313" s="0" t="n"/>
      <c r="AT313" s="0" t="n"/>
      <c r="AU313" s="0" t="n"/>
      <c r="AV313" s="0" t="n"/>
      <c r="AW313" s="0" t="n"/>
      <c r="AX313" s="0" t="n"/>
      <c r="AY313" s="0" t="n"/>
      <c r="AZ313" s="0" t="n"/>
      <c r="BA313" s="0" t="n"/>
      <c r="BB313" s="0" t="n"/>
      <c r="BC313" s="0" t="n"/>
      <c r="BD313" s="0" t="n"/>
      <c r="BE313" s="0" t="n"/>
      <c r="BF313" s="0" t="n"/>
      <c r="BG313" s="0" t="n"/>
      <c r="BH313" s="0" t="n"/>
      <c r="BI313" s="0" t="n"/>
      <c r="BJ313" s="0" t="n"/>
      <c r="BK313" s="0" t="n"/>
      <c r="BL313" s="0" t="n"/>
      <c r="BM313" s="0" t="n"/>
      <c r="BN313" s="0" t="n"/>
      <c r="BO313" s="0" t="n"/>
      <c r="BP313" s="0" t="n"/>
    </row>
    <row outlineLevel="0" r="314">
      <c r="A314" s="331" t="n">
        <f aca="false" ca="false" dt2D="false" dtr="false" t="normal">+A313+1</f>
        <v>298</v>
      </c>
      <c r="B314" s="6" t="n">
        <f aca="false" ca="false" dt2D="false" dtr="false" t="normal">+B313+1</f>
        <v>110</v>
      </c>
      <c r="C314" s="138" t="s">
        <v>177</v>
      </c>
      <c r="D314" s="6" t="s">
        <v>328</v>
      </c>
      <c r="E314" s="27" t="n">
        <f aca="false" ca="true" dt2D="false" dtr="false" t="normal">SUBTOTAL(9, F314:T314)</f>
        <v>14411004.84</v>
      </c>
      <c r="F314" s="18" t="n"/>
      <c r="G314" s="18" t="n"/>
      <c r="H314" s="18" t="n">
        <v>3542032.19</v>
      </c>
      <c r="I314" s="18" t="n"/>
      <c r="J314" s="18" t="n"/>
      <c r="K314" s="18" t="n"/>
      <c r="L314" s="18" t="n"/>
      <c r="M314" s="18" t="n">
        <v>0</v>
      </c>
      <c r="N314" s="18" t="n">
        <v>10714681.14</v>
      </c>
      <c r="O314" s="18" t="n">
        <v>0</v>
      </c>
      <c r="P314" s="18" t="n"/>
      <c r="Q314" s="18" t="n"/>
      <c r="R314" s="18" t="n"/>
      <c r="S314" s="18" t="n"/>
      <c r="T314" s="191" t="n">
        <f aca="false" ca="false" dt2D="false" dtr="false" t="normal">39596.34+114695.17</f>
        <v>154291.51</v>
      </c>
      <c r="U314" s="0" t="n"/>
      <c r="V314" s="333" t="n"/>
      <c r="W314" s="0" t="n"/>
      <c r="X314" s="0" t="n"/>
      <c r="Y314" s="0" t="n"/>
      <c r="Z314" s="0" t="n"/>
      <c r="AA314" s="0" t="n"/>
      <c r="AB314" s="0" t="n"/>
      <c r="AC314" s="0" t="n"/>
      <c r="AD314" s="0" t="n"/>
      <c r="AE314" s="0" t="n"/>
      <c r="AF314" s="0" t="n"/>
      <c r="AG314" s="0" t="n"/>
      <c r="AH314" s="0" t="n"/>
      <c r="AI314" s="0" t="n"/>
      <c r="AJ314" s="0" t="n"/>
      <c r="AK314" s="0" t="n"/>
      <c r="AL314" s="0" t="n"/>
      <c r="AM314" s="0" t="n"/>
      <c r="AN314" s="0" t="n"/>
      <c r="AO314" s="0" t="n"/>
      <c r="AP314" s="0" t="n"/>
      <c r="AQ314" s="0" t="n"/>
      <c r="AR314" s="0" t="n"/>
      <c r="AS314" s="0" t="n"/>
      <c r="AT314" s="0" t="n"/>
      <c r="AU314" s="0" t="n"/>
      <c r="AV314" s="0" t="n"/>
      <c r="AW314" s="0" t="n"/>
      <c r="AX314" s="0" t="n"/>
      <c r="AY314" s="0" t="n"/>
      <c r="AZ314" s="0" t="n"/>
      <c r="BA314" s="0" t="n"/>
      <c r="BB314" s="0" t="n"/>
      <c r="BC314" s="0" t="n"/>
      <c r="BD314" s="0" t="n"/>
      <c r="BE314" s="0" t="n"/>
      <c r="BF314" s="0" t="n"/>
      <c r="BG314" s="0" t="n"/>
      <c r="BH314" s="0" t="n"/>
      <c r="BI314" s="0" t="n"/>
      <c r="BJ314" s="0" t="n"/>
      <c r="BK314" s="0" t="n"/>
      <c r="BL314" s="0" t="n"/>
      <c r="BM314" s="0" t="n"/>
      <c r="BN314" s="0" t="n"/>
      <c r="BO314" s="0" t="n"/>
      <c r="BP314" s="0" t="n"/>
    </row>
    <row outlineLevel="0" r="315">
      <c r="A315" s="331" t="n">
        <f aca="false" ca="false" dt2D="false" dtr="false" t="normal">+A314+1</f>
        <v>299</v>
      </c>
      <c r="B315" s="6" t="n">
        <f aca="false" ca="false" dt2D="false" dtr="false" t="normal">+B314+1</f>
        <v>111</v>
      </c>
      <c r="C315" s="138" t="s">
        <v>177</v>
      </c>
      <c r="D315" s="6" t="s">
        <v>593</v>
      </c>
      <c r="E315" s="203" t="n">
        <f aca="false" ca="true" dt2D="false" dtr="false" t="normal">SUBTOTAL(9, F315:T315)</f>
        <v>41231126.86</v>
      </c>
      <c r="F315" s="18" t="n">
        <v>10074980.95</v>
      </c>
      <c r="G315" s="18" t="n">
        <v>4483956.54</v>
      </c>
      <c r="H315" s="18" t="n">
        <v>3411282.04</v>
      </c>
      <c r="I315" s="18" t="n">
        <v>5243801.69</v>
      </c>
      <c r="J315" s="18" t="n"/>
      <c r="K315" s="18" t="n"/>
      <c r="L315" s="18" t="n"/>
      <c r="M315" s="18" t="n">
        <v>0</v>
      </c>
      <c r="N315" s="18" t="n">
        <v>9153591.7</v>
      </c>
      <c r="O315" s="18" t="n">
        <v>0</v>
      </c>
      <c r="P315" s="18" t="n"/>
      <c r="Q315" s="18" t="n">
        <v>8863513.94</v>
      </c>
      <c r="R315" s="18" t="n"/>
      <c r="S315" s="18" t="n"/>
      <c r="T315" s="191" t="n"/>
      <c r="U315" s="0" t="n"/>
      <c r="V315" s="333" t="n"/>
      <c r="W315" s="0" t="n"/>
      <c r="X315" s="0" t="n"/>
      <c r="Y315" s="0" t="n"/>
      <c r="Z315" s="0" t="n"/>
      <c r="AA315" s="0" t="n"/>
      <c r="AB315" s="0" t="n"/>
      <c r="AC315" s="0" t="n"/>
      <c r="AD315" s="0" t="n"/>
      <c r="AE315" s="0" t="n"/>
      <c r="AF315" s="0" t="n"/>
      <c r="AG315" s="0" t="n"/>
      <c r="AH315" s="0" t="n"/>
      <c r="AI315" s="0" t="n"/>
      <c r="AJ315" s="0" t="n"/>
      <c r="AK315" s="0" t="n"/>
      <c r="AL315" s="0" t="n"/>
      <c r="AM315" s="0" t="n"/>
      <c r="AN315" s="0" t="n"/>
      <c r="AO315" s="0" t="n"/>
      <c r="AP315" s="0" t="n"/>
      <c r="AQ315" s="0" t="n"/>
      <c r="AR315" s="0" t="n"/>
      <c r="AS315" s="0" t="n"/>
      <c r="AT315" s="0" t="n"/>
      <c r="AU315" s="0" t="n"/>
      <c r="AV315" s="0" t="n"/>
      <c r="AW315" s="0" t="n"/>
      <c r="AX315" s="0" t="n"/>
      <c r="AY315" s="0" t="n"/>
      <c r="AZ315" s="0" t="n"/>
      <c r="BA315" s="0" t="n"/>
      <c r="BB315" s="0" t="n"/>
      <c r="BC315" s="0" t="n"/>
      <c r="BD315" s="0" t="n"/>
      <c r="BE315" s="0" t="n"/>
      <c r="BF315" s="0" t="n"/>
      <c r="BG315" s="0" t="n"/>
      <c r="BH315" s="0" t="n"/>
      <c r="BI315" s="0" t="n"/>
      <c r="BJ315" s="0" t="n"/>
      <c r="BK315" s="0" t="n"/>
      <c r="BL315" s="0" t="n"/>
      <c r="BM315" s="0" t="n"/>
      <c r="BN315" s="0" t="n"/>
      <c r="BO315" s="0" t="n"/>
      <c r="BP315" s="0" t="n"/>
    </row>
    <row outlineLevel="0" r="316">
      <c r="A316" s="331" t="n">
        <f aca="false" ca="false" dt2D="false" dtr="false" t="normal">+A315+1</f>
        <v>300</v>
      </c>
      <c r="B316" s="6" t="n">
        <f aca="false" ca="false" dt2D="false" dtr="false" t="normal">+B315+1</f>
        <v>112</v>
      </c>
      <c r="C316" s="138" t="s">
        <v>177</v>
      </c>
      <c r="D316" s="6" t="s">
        <v>324</v>
      </c>
      <c r="E316" s="27" t="n">
        <f aca="false" ca="true" dt2D="false" dtr="false" t="normal">SUBTOTAL(9, F316:T316)</f>
        <v>2721466.55</v>
      </c>
      <c r="F316" s="18" t="n">
        <v>2721466.55</v>
      </c>
      <c r="G316" s="18" t="n"/>
      <c r="H316" s="18" t="n">
        <v>0</v>
      </c>
      <c r="I316" s="18" t="n"/>
      <c r="J316" s="18" t="n"/>
      <c r="K316" s="18" t="n"/>
      <c r="L316" s="18" t="n"/>
      <c r="M316" s="18" t="n">
        <v>0</v>
      </c>
      <c r="N316" s="18" t="n">
        <v>0</v>
      </c>
      <c r="O316" s="18" t="n">
        <v>0</v>
      </c>
      <c r="P316" s="18" t="n"/>
      <c r="Q316" s="18" t="n">
        <v>0</v>
      </c>
      <c r="R316" s="18" t="n"/>
      <c r="S316" s="18" t="n"/>
      <c r="T316" s="191" t="n"/>
      <c r="U316" s="0" t="n"/>
      <c r="V316" s="333" t="n"/>
      <c r="W316" s="0" t="n"/>
      <c r="X316" s="0" t="n"/>
      <c r="Y316" s="0" t="n"/>
      <c r="Z316" s="0" t="n"/>
      <c r="AA316" s="0" t="n"/>
      <c r="AB316" s="0" t="n"/>
      <c r="AC316" s="0" t="n"/>
      <c r="AD316" s="0" t="n"/>
      <c r="AE316" s="0" t="n"/>
      <c r="AF316" s="0" t="n"/>
      <c r="AG316" s="0" t="n"/>
      <c r="AH316" s="0" t="n"/>
      <c r="AI316" s="0" t="n"/>
      <c r="AJ316" s="0" t="n"/>
      <c r="AK316" s="0" t="n"/>
      <c r="AL316" s="0" t="n"/>
      <c r="AM316" s="0" t="n"/>
      <c r="AN316" s="0" t="n"/>
      <c r="AO316" s="0" t="n"/>
      <c r="AP316" s="0" t="n"/>
      <c r="AQ316" s="0" t="n"/>
      <c r="AR316" s="0" t="n"/>
      <c r="AS316" s="0" t="n"/>
      <c r="AT316" s="0" t="n"/>
      <c r="AU316" s="0" t="n"/>
      <c r="AV316" s="0" t="n"/>
      <c r="AW316" s="0" t="n"/>
      <c r="AX316" s="0" t="n"/>
      <c r="AY316" s="0" t="n"/>
      <c r="AZ316" s="0" t="n"/>
      <c r="BA316" s="0" t="n"/>
      <c r="BB316" s="0" t="n"/>
      <c r="BC316" s="0" t="n"/>
      <c r="BD316" s="0" t="n"/>
      <c r="BE316" s="0" t="n"/>
      <c r="BF316" s="0" t="n"/>
      <c r="BG316" s="0" t="n"/>
      <c r="BH316" s="0" t="n"/>
      <c r="BI316" s="0" t="n"/>
      <c r="BJ316" s="0" t="n"/>
      <c r="BK316" s="0" t="n"/>
      <c r="BL316" s="0" t="n"/>
      <c r="BM316" s="0" t="n"/>
      <c r="BN316" s="0" t="n"/>
      <c r="BO316" s="0" t="n"/>
      <c r="BP316" s="0" t="n"/>
    </row>
    <row outlineLevel="0" r="317">
      <c r="A317" s="331" t="n">
        <f aca="false" ca="false" dt2D="false" dtr="false" t="normal">+A316+1</f>
        <v>301</v>
      </c>
      <c r="B317" s="6" t="n">
        <f aca="false" ca="false" dt2D="false" dtr="false" t="normal">+B316+1</f>
        <v>113</v>
      </c>
      <c r="C317" s="138" t="s">
        <v>177</v>
      </c>
      <c r="D317" s="6" t="s">
        <v>450</v>
      </c>
      <c r="E317" s="27" t="n">
        <f aca="false" ca="true" dt2D="false" dtr="false" t="normal">SUBTOTAL(9, F317:T317)</f>
        <v>740900.59</v>
      </c>
      <c r="F317" s="18" t="n"/>
      <c r="G317" s="18" t="n"/>
      <c r="H317" s="18" t="n">
        <v>740900.59</v>
      </c>
      <c r="I317" s="18" t="n"/>
      <c r="J317" s="18" t="n"/>
      <c r="K317" s="18" t="n"/>
      <c r="L317" s="18" t="n"/>
      <c r="M317" s="18" t="n">
        <v>0</v>
      </c>
      <c r="N317" s="18" t="n">
        <v>0</v>
      </c>
      <c r="O317" s="18" t="n">
        <v>0</v>
      </c>
      <c r="P317" s="18" t="n"/>
      <c r="Q317" s="18" t="n">
        <v>0</v>
      </c>
      <c r="R317" s="18" t="n"/>
      <c r="S317" s="18" t="n"/>
      <c r="T317" s="191" t="n"/>
      <c r="U317" s="0" t="n"/>
      <c r="V317" s="333" t="n"/>
      <c r="W317" s="0" t="n"/>
      <c r="X317" s="0" t="n"/>
      <c r="Y317" s="0" t="n"/>
      <c r="Z317" s="0" t="n"/>
      <c r="AA317" s="0" t="n"/>
      <c r="AB317" s="0" t="n"/>
      <c r="AC317" s="0" t="n"/>
      <c r="AD317" s="0" t="n"/>
      <c r="AE317" s="0" t="n"/>
      <c r="AF317" s="0" t="n"/>
      <c r="AG317" s="0" t="n"/>
      <c r="AH317" s="0" t="n"/>
      <c r="AI317" s="0" t="n"/>
      <c r="AJ317" s="0" t="n"/>
      <c r="AK317" s="0" t="n"/>
      <c r="AL317" s="0" t="n"/>
      <c r="AM317" s="0" t="n"/>
      <c r="AN317" s="0" t="n"/>
      <c r="AO317" s="0" t="n"/>
      <c r="AP317" s="0" t="n"/>
      <c r="AQ317" s="0" t="n"/>
      <c r="AR317" s="0" t="n"/>
      <c r="AS317" s="0" t="n"/>
      <c r="AT317" s="0" t="n"/>
      <c r="AU317" s="0" t="n"/>
      <c r="AV317" s="0" t="n"/>
      <c r="AW317" s="0" t="n"/>
      <c r="AX317" s="0" t="n"/>
      <c r="AY317" s="0" t="n"/>
      <c r="AZ317" s="0" t="n"/>
      <c r="BA317" s="0" t="n"/>
      <c r="BB317" s="0" t="n"/>
      <c r="BC317" s="0" t="n"/>
      <c r="BD317" s="0" t="n"/>
      <c r="BE317" s="0" t="n"/>
      <c r="BF317" s="0" t="n"/>
      <c r="BG317" s="0" t="n"/>
      <c r="BH317" s="0" t="n"/>
      <c r="BI317" s="0" t="n"/>
      <c r="BJ317" s="0" t="n"/>
      <c r="BK317" s="0" t="n"/>
      <c r="BL317" s="0" t="n"/>
      <c r="BM317" s="0" t="n"/>
      <c r="BN317" s="0" t="n"/>
      <c r="BO317" s="0" t="n"/>
      <c r="BP317" s="0" t="n"/>
    </row>
    <row outlineLevel="0" r="318">
      <c r="A318" s="331" t="n">
        <f aca="false" ca="false" dt2D="false" dtr="false" t="normal">+A317+1</f>
        <v>302</v>
      </c>
      <c r="B318" s="6" t="n">
        <f aca="false" ca="false" dt2D="false" dtr="false" t="normal">+B317+1</f>
        <v>114</v>
      </c>
      <c r="C318" s="138" t="s">
        <v>177</v>
      </c>
      <c r="D318" s="6" t="s">
        <v>595</v>
      </c>
      <c r="E318" s="203" t="n">
        <f aca="false" ca="true" dt2D="false" dtr="false" t="normal">SUBTOTAL(9, F318:T318)</f>
        <v>9608691.68</v>
      </c>
      <c r="F318" s="18" t="n"/>
      <c r="G318" s="18" t="n"/>
      <c r="H318" s="18" t="n">
        <v>691534.88</v>
      </c>
      <c r="I318" s="18" t="n"/>
      <c r="J318" s="18" t="n"/>
      <c r="K318" s="18" t="n"/>
      <c r="L318" s="18" t="n"/>
      <c r="M318" s="18" t="n">
        <v>0</v>
      </c>
      <c r="N318" s="18" t="n">
        <v>4297021.2</v>
      </c>
      <c r="O318" s="18" t="n">
        <v>0</v>
      </c>
      <c r="P318" s="18" t="n">
        <v>4620135.6</v>
      </c>
      <c r="Q318" s="18" t="n"/>
      <c r="R318" s="18" t="n"/>
      <c r="S318" s="18" t="n"/>
      <c r="T318" s="191" t="n"/>
      <c r="U318" s="0" t="n"/>
      <c r="V318" s="333" t="n"/>
      <c r="W318" s="0" t="n"/>
      <c r="X318" s="0" t="n"/>
      <c r="Y318" s="0" t="n"/>
      <c r="Z318" s="0" t="n"/>
      <c r="AA318" s="0" t="n"/>
      <c r="AB318" s="0" t="n"/>
      <c r="AC318" s="0" t="n"/>
      <c r="AD318" s="0" t="n"/>
      <c r="AE318" s="0" t="n"/>
      <c r="AF318" s="0" t="n"/>
      <c r="AG318" s="0" t="n"/>
      <c r="AH318" s="0" t="n"/>
      <c r="AI318" s="0" t="n"/>
      <c r="AJ318" s="0" t="n"/>
      <c r="AK318" s="0" t="n"/>
      <c r="AL318" s="0" t="n"/>
      <c r="AM318" s="0" t="n"/>
      <c r="AN318" s="0" t="n"/>
      <c r="AO318" s="0" t="n"/>
      <c r="AP318" s="0" t="n"/>
      <c r="AQ318" s="0" t="n"/>
      <c r="AR318" s="0" t="n"/>
      <c r="AS318" s="0" t="n"/>
      <c r="AT318" s="0" t="n"/>
      <c r="AU318" s="0" t="n"/>
      <c r="AV318" s="0" t="n"/>
      <c r="AW318" s="0" t="n"/>
      <c r="AX318" s="0" t="n"/>
      <c r="AY318" s="0" t="n"/>
      <c r="AZ318" s="0" t="n"/>
      <c r="BA318" s="0" t="n"/>
      <c r="BB318" s="0" t="n"/>
      <c r="BC318" s="0" t="n"/>
      <c r="BD318" s="0" t="n"/>
      <c r="BE318" s="0" t="n"/>
      <c r="BF318" s="0" t="n"/>
      <c r="BG318" s="0" t="n"/>
      <c r="BH318" s="0" t="n"/>
      <c r="BI318" s="0" t="n"/>
      <c r="BJ318" s="0" t="n"/>
      <c r="BK318" s="0" t="n"/>
      <c r="BL318" s="0" t="n"/>
      <c r="BM318" s="0" t="n"/>
      <c r="BN318" s="0" t="n"/>
      <c r="BO318" s="0" t="n"/>
      <c r="BP318" s="0" t="n"/>
    </row>
    <row outlineLevel="0" r="319">
      <c r="A319" s="331" t="n">
        <f aca="false" ca="false" dt2D="false" dtr="false" t="normal">+A318+1</f>
        <v>303</v>
      </c>
      <c r="B319" s="6" t="n">
        <f aca="false" ca="false" dt2D="false" dtr="false" t="normal">+B318+1</f>
        <v>115</v>
      </c>
      <c r="C319" s="138" t="s">
        <v>177</v>
      </c>
      <c r="D319" s="6" t="s">
        <v>597</v>
      </c>
      <c r="E319" s="203" t="n">
        <f aca="false" ca="true" dt2D="false" dtr="false" t="normal">SUBTOTAL(9, F319:T319)</f>
        <v>9943011.63</v>
      </c>
      <c r="F319" s="18" t="n">
        <v>5602096.16</v>
      </c>
      <c r="G319" s="18" t="n"/>
      <c r="H319" s="18" t="n">
        <v>2119328.04</v>
      </c>
      <c r="I319" s="18" t="n">
        <v>2021455.51</v>
      </c>
      <c r="J319" s="18" t="n"/>
      <c r="K319" s="18" t="n"/>
      <c r="L319" s="18" t="n"/>
      <c r="M319" s="18" t="n">
        <v>0</v>
      </c>
      <c r="N319" s="18" t="n">
        <v>0</v>
      </c>
      <c r="O319" s="18" t="n">
        <v>0</v>
      </c>
      <c r="P319" s="18" t="n">
        <v>0</v>
      </c>
      <c r="Q319" s="18" t="n">
        <v>0</v>
      </c>
      <c r="R319" s="18" t="n">
        <v>75973.29</v>
      </c>
      <c r="S319" s="18" t="n">
        <v>18000</v>
      </c>
      <c r="T319" s="191" t="n">
        <f aca="false" ca="false" dt2D="false" dtr="false" t="normal">57091.46+25343.66+23723.51</f>
        <v>106158.62999999999</v>
      </c>
      <c r="U319" s="0" t="n"/>
      <c r="V319" s="333" t="n"/>
      <c r="W319" s="0" t="n"/>
      <c r="X319" s="0" t="n"/>
      <c r="Y319" s="0" t="n"/>
      <c r="Z319" s="0" t="n"/>
      <c r="AA319" s="0" t="n"/>
      <c r="AB319" s="0" t="n"/>
      <c r="AC319" s="0" t="n"/>
      <c r="AD319" s="0" t="n"/>
      <c r="AE319" s="0" t="n"/>
      <c r="AF319" s="0" t="n"/>
      <c r="AG319" s="0" t="n"/>
      <c r="AH319" s="0" t="n"/>
      <c r="AI319" s="0" t="n"/>
      <c r="AJ319" s="0" t="n"/>
      <c r="AK319" s="0" t="n"/>
      <c r="AL319" s="0" t="n"/>
      <c r="AM319" s="0" t="n"/>
      <c r="AN319" s="0" t="n"/>
      <c r="AO319" s="0" t="n"/>
      <c r="AP319" s="0" t="n"/>
      <c r="AQ319" s="0" t="n"/>
      <c r="AR319" s="0" t="n"/>
      <c r="AS319" s="0" t="n"/>
      <c r="AT319" s="0" t="n"/>
      <c r="AU319" s="0" t="n"/>
      <c r="AV319" s="0" t="n"/>
      <c r="AW319" s="0" t="n"/>
      <c r="AX319" s="0" t="n"/>
      <c r="AY319" s="0" t="n"/>
      <c r="AZ319" s="0" t="n"/>
      <c r="BA319" s="0" t="n"/>
      <c r="BB319" s="0" t="n"/>
      <c r="BC319" s="0" t="n"/>
      <c r="BD319" s="0" t="n"/>
      <c r="BE319" s="0" t="n"/>
      <c r="BF319" s="0" t="n"/>
      <c r="BG319" s="0" t="n"/>
      <c r="BH319" s="0" t="n"/>
      <c r="BI319" s="0" t="n"/>
      <c r="BJ319" s="0" t="n"/>
      <c r="BK319" s="0" t="n"/>
      <c r="BL319" s="0" t="n"/>
      <c r="BM319" s="0" t="n"/>
      <c r="BN319" s="0" t="n"/>
      <c r="BO319" s="0" t="n"/>
      <c r="BP319" s="0" t="n"/>
    </row>
    <row outlineLevel="0" r="320">
      <c r="A320" s="331" t="n">
        <f aca="false" ca="false" dt2D="false" dtr="false" t="normal">+A319+1</f>
        <v>304</v>
      </c>
      <c r="B320" s="6" t="n">
        <f aca="false" ca="false" dt2D="false" dtr="false" t="normal">+B319+1</f>
        <v>116</v>
      </c>
      <c r="C320" s="138" t="s">
        <v>0</v>
      </c>
      <c r="D320" s="6" t="s">
        <v>599</v>
      </c>
      <c r="E320" s="27" t="n">
        <f aca="false" ca="false" dt2D="false" dtr="false" t="normal">SUM(F320:T320)</f>
        <v>4371808.87</v>
      </c>
      <c r="F320" s="6" t="n"/>
      <c r="G320" s="18" t="n"/>
      <c r="H320" s="18" t="n"/>
      <c r="I320" s="18" t="n"/>
      <c r="J320" s="18" t="n"/>
      <c r="K320" s="18" t="n"/>
      <c r="L320" s="18" t="n"/>
      <c r="M320" s="18" t="n"/>
      <c r="N320" s="18" t="n"/>
      <c r="O320" s="18" t="n"/>
      <c r="P320" s="18" t="n">
        <v>4363808.87</v>
      </c>
      <c r="Q320" s="18" t="n"/>
      <c r="R320" s="18" t="n"/>
      <c r="S320" s="18" t="n">
        <v>8000</v>
      </c>
      <c r="T320" s="191" t="n"/>
      <c r="U320" s="0" t="n"/>
      <c r="V320" s="333" t="n"/>
      <c r="W320" s="0" t="n"/>
      <c r="X320" s="0" t="n"/>
      <c r="Y320" s="0" t="n"/>
      <c r="Z320" s="0" t="n"/>
      <c r="AA320" s="0" t="n"/>
      <c r="AB320" s="0" t="n"/>
      <c r="AC320" s="0" t="n"/>
      <c r="AD320" s="0" t="n"/>
      <c r="AE320" s="0" t="n"/>
      <c r="AF320" s="0" t="n"/>
      <c r="AG320" s="0" t="n"/>
      <c r="AH320" s="0" t="n"/>
      <c r="AI320" s="0" t="n"/>
      <c r="AJ320" s="0" t="n"/>
      <c r="AK320" s="0" t="n"/>
      <c r="AL320" s="0" t="n"/>
      <c r="AM320" s="0" t="n"/>
      <c r="AN320" s="0" t="n"/>
      <c r="AO320" s="0" t="n"/>
      <c r="AP320" s="0" t="n"/>
      <c r="AQ320" s="0" t="n"/>
      <c r="AR320" s="0" t="n"/>
      <c r="AS320" s="0" t="n"/>
      <c r="AT320" s="0" t="n"/>
      <c r="AU320" s="0" t="n"/>
      <c r="AV320" s="0" t="n"/>
      <c r="AW320" s="0" t="n"/>
      <c r="AX320" s="0" t="n"/>
      <c r="AY320" s="0" t="n"/>
      <c r="AZ320" s="0" t="n"/>
      <c r="BA320" s="0" t="n"/>
      <c r="BB320" s="0" t="n"/>
      <c r="BC320" s="0" t="n"/>
      <c r="BD320" s="0" t="n"/>
      <c r="BE320" s="0" t="n"/>
      <c r="BF320" s="0" t="n"/>
      <c r="BG320" s="0" t="n"/>
      <c r="BH320" s="0" t="n"/>
      <c r="BI320" s="0" t="n"/>
      <c r="BJ320" s="0" t="n"/>
      <c r="BK320" s="0" t="n"/>
      <c r="BL320" s="0" t="n"/>
      <c r="BM320" s="0" t="n"/>
      <c r="BN320" s="0" t="n"/>
      <c r="BO320" s="0" t="n"/>
      <c r="BP320" s="0" t="n"/>
    </row>
    <row outlineLevel="0" r="321">
      <c r="A321" s="331" t="n">
        <f aca="false" ca="false" dt2D="false" dtr="false" t="normal">+A320+1</f>
        <v>305</v>
      </c>
      <c r="B321" s="6" t="n">
        <f aca="false" ca="false" dt2D="false" dtr="false" t="normal">+B320+1</f>
        <v>117</v>
      </c>
      <c r="C321" s="138" t="s">
        <v>0</v>
      </c>
      <c r="D321" s="6" t="s">
        <v>600</v>
      </c>
      <c r="E321" s="27" t="n">
        <f aca="false" ca="false" dt2D="false" dtr="false" t="normal">SUM(F321:T321)</f>
        <v>4868835.68</v>
      </c>
      <c r="F321" s="6" t="n"/>
      <c r="G321" s="18" t="n"/>
      <c r="H321" s="18" t="n"/>
      <c r="I321" s="18" t="n"/>
      <c r="J321" s="18" t="n"/>
      <c r="K321" s="18" t="n"/>
      <c r="L321" s="18" t="n"/>
      <c r="M321" s="18" t="n"/>
      <c r="N321" s="18" t="n"/>
      <c r="O321" s="18" t="n"/>
      <c r="P321" s="18" t="n">
        <v>4860835.68</v>
      </c>
      <c r="Q321" s="18" t="n"/>
      <c r="R321" s="18" t="n"/>
      <c r="S321" s="18" t="n">
        <v>8000</v>
      </c>
      <c r="T321" s="191" t="n"/>
      <c r="U321" s="0" t="n"/>
      <c r="V321" s="333" t="n"/>
      <c r="W321" s="0" t="n"/>
      <c r="X321" s="0" t="n"/>
      <c r="Y321" s="0" t="n"/>
      <c r="Z321" s="0" t="n"/>
      <c r="AA321" s="0" t="n"/>
      <c r="AB321" s="0" t="n"/>
      <c r="AC321" s="0" t="n"/>
      <c r="AD321" s="0" t="n"/>
      <c r="AE321" s="0" t="n"/>
      <c r="AF321" s="0" t="n"/>
      <c r="AG321" s="0" t="n"/>
      <c r="AH321" s="0" t="n"/>
      <c r="AI321" s="0" t="n"/>
      <c r="AJ321" s="0" t="n"/>
      <c r="AK321" s="0" t="n"/>
      <c r="AL321" s="0" t="n"/>
      <c r="AM321" s="0" t="n"/>
      <c r="AN321" s="0" t="n"/>
      <c r="AO321" s="0" t="n"/>
      <c r="AP321" s="0" t="n"/>
      <c r="AQ321" s="0" t="n"/>
      <c r="AR321" s="0" t="n"/>
      <c r="AS321" s="0" t="n"/>
      <c r="AT321" s="0" t="n"/>
      <c r="AU321" s="0" t="n"/>
      <c r="AV321" s="0" t="n"/>
      <c r="AW321" s="0" t="n"/>
      <c r="AX321" s="0" t="n"/>
      <c r="AY321" s="0" t="n"/>
      <c r="AZ321" s="0" t="n"/>
      <c r="BA321" s="0" t="n"/>
      <c r="BB321" s="0" t="n"/>
      <c r="BC321" s="0" t="n"/>
      <c r="BD321" s="0" t="n"/>
      <c r="BE321" s="0" t="n"/>
      <c r="BF321" s="0" t="n"/>
      <c r="BG321" s="0" t="n"/>
      <c r="BH321" s="0" t="n"/>
      <c r="BI321" s="0" t="n"/>
      <c r="BJ321" s="0" t="n"/>
      <c r="BK321" s="0" t="n"/>
      <c r="BL321" s="0" t="n"/>
      <c r="BM321" s="0" t="n"/>
      <c r="BN321" s="0" t="n"/>
      <c r="BO321" s="0" t="n"/>
      <c r="BP321" s="0" t="n"/>
    </row>
    <row outlineLevel="0" r="322">
      <c r="A322" s="331" t="n">
        <f aca="false" ca="false" dt2D="false" dtr="false" t="normal">+A321+1</f>
        <v>306</v>
      </c>
      <c r="B322" s="6" t="n">
        <f aca="false" ca="false" dt2D="false" dtr="false" t="normal">+B321+1</f>
        <v>118</v>
      </c>
      <c r="C322" s="138" t="s">
        <v>0</v>
      </c>
      <c r="D322" s="6" t="s">
        <v>601</v>
      </c>
      <c r="E322" s="27" t="n">
        <f aca="false" ca="false" dt2D="false" dtr="false" t="normal">SUM(F322:T322)</f>
        <v>4279157.95</v>
      </c>
      <c r="F322" s="6" t="n"/>
      <c r="G322" s="18" t="n"/>
      <c r="H322" s="18" t="n"/>
      <c r="I322" s="18" t="n"/>
      <c r="J322" s="18" t="n"/>
      <c r="K322" s="18" t="n"/>
      <c r="L322" s="18" t="n"/>
      <c r="M322" s="18" t="n"/>
      <c r="N322" s="18" t="n"/>
      <c r="O322" s="18" t="n"/>
      <c r="P322" s="18" t="n">
        <v>4274357.95</v>
      </c>
      <c r="Q322" s="18" t="n"/>
      <c r="R322" s="18" t="n"/>
      <c r="S322" s="18" t="n">
        <v>4800</v>
      </c>
      <c r="T322" s="191" t="n"/>
      <c r="U322" s="0" t="n"/>
      <c r="V322" s="333" t="n"/>
      <c r="W322" s="0" t="n"/>
      <c r="X322" s="0" t="n"/>
      <c r="Y322" s="0" t="n"/>
      <c r="Z322" s="0" t="n"/>
      <c r="AA322" s="0" t="n"/>
      <c r="AB322" s="0" t="n"/>
      <c r="AC322" s="0" t="n"/>
      <c r="AD322" s="0" t="n"/>
      <c r="AE322" s="0" t="n"/>
      <c r="AF322" s="0" t="n"/>
      <c r="AG322" s="0" t="n"/>
      <c r="AH322" s="0" t="n"/>
      <c r="AI322" s="0" t="n"/>
      <c r="AJ322" s="0" t="n"/>
      <c r="AK322" s="0" t="n"/>
      <c r="AL322" s="0" t="n"/>
      <c r="AM322" s="0" t="n"/>
      <c r="AN322" s="0" t="n"/>
      <c r="AO322" s="0" t="n"/>
      <c r="AP322" s="0" t="n"/>
      <c r="AQ322" s="0" t="n"/>
      <c r="AR322" s="0" t="n"/>
      <c r="AS322" s="0" t="n"/>
      <c r="AT322" s="0" t="n"/>
      <c r="AU322" s="0" t="n"/>
      <c r="AV322" s="0" t="n"/>
      <c r="AW322" s="0" t="n"/>
      <c r="AX322" s="0" t="n"/>
      <c r="AY322" s="0" t="n"/>
      <c r="AZ322" s="0" t="n"/>
      <c r="BA322" s="0" t="n"/>
      <c r="BB322" s="0" t="n"/>
      <c r="BC322" s="0" t="n"/>
      <c r="BD322" s="0" t="n"/>
      <c r="BE322" s="0" t="n"/>
      <c r="BF322" s="0" t="n"/>
      <c r="BG322" s="0" t="n"/>
      <c r="BH322" s="0" t="n"/>
      <c r="BI322" s="0" t="n"/>
      <c r="BJ322" s="0" t="n"/>
      <c r="BK322" s="0" t="n"/>
      <c r="BL322" s="0" t="n"/>
      <c r="BM322" s="0" t="n"/>
      <c r="BN322" s="0" t="n"/>
      <c r="BO322" s="0" t="n"/>
      <c r="BP322" s="0" t="n"/>
    </row>
    <row outlineLevel="0" r="323">
      <c r="A323" s="331" t="n">
        <f aca="false" ca="false" dt2D="false" dtr="false" t="normal">+A322+1</f>
        <v>307</v>
      </c>
      <c r="B323" s="6" t="n">
        <f aca="false" ca="false" dt2D="false" dtr="false" t="normal">+B322+1</f>
        <v>119</v>
      </c>
      <c r="C323" s="138" t="s">
        <v>42</v>
      </c>
      <c r="D323" s="6" t="s">
        <v>602</v>
      </c>
      <c r="E323" s="27" t="n">
        <f aca="false" ca="true" dt2D="false" dtr="false" t="normal">SUBTOTAL(9, F323:T323)</f>
        <v>3709381.2</v>
      </c>
      <c r="F323" s="18" t="n">
        <v>0</v>
      </c>
      <c r="G323" s="18" t="n">
        <v>0</v>
      </c>
      <c r="H323" s="18" t="n">
        <v>0</v>
      </c>
      <c r="I323" s="18" t="n">
        <v>0</v>
      </c>
      <c r="J323" s="18" t="n">
        <v>0</v>
      </c>
      <c r="K323" s="18" t="n"/>
      <c r="L323" s="18" t="n"/>
      <c r="M323" s="18" t="n">
        <v>0</v>
      </c>
      <c r="N323" s="18" t="n">
        <v>0</v>
      </c>
      <c r="O323" s="18" t="n">
        <v>0</v>
      </c>
      <c r="P323" s="18" t="n">
        <v>3647660.37</v>
      </c>
      <c r="Q323" s="18" t="n">
        <v>0</v>
      </c>
      <c r="R323" s="18" t="n">
        <v>37720.83</v>
      </c>
      <c r="S323" s="18" t="n">
        <v>24000</v>
      </c>
      <c r="T323" s="191" t="n"/>
      <c r="U323" s="0" t="n"/>
      <c r="V323" s="333" t="n"/>
      <c r="W323" s="0" t="n"/>
      <c r="X323" s="0" t="n"/>
      <c r="Y323" s="0" t="n"/>
      <c r="Z323" s="0" t="n"/>
      <c r="AA323" s="0" t="n"/>
      <c r="AB323" s="0" t="n"/>
      <c r="AC323" s="0" t="n"/>
      <c r="AD323" s="0" t="n"/>
      <c r="AE323" s="0" t="n"/>
      <c r="AF323" s="0" t="n"/>
      <c r="AG323" s="0" t="n"/>
      <c r="AH323" s="0" t="n"/>
      <c r="AI323" s="0" t="n"/>
      <c r="AJ323" s="0" t="n"/>
      <c r="AK323" s="0" t="n"/>
      <c r="AL323" s="0" t="n"/>
      <c r="AM323" s="0" t="n"/>
      <c r="AN323" s="0" t="n"/>
      <c r="AO323" s="0" t="n"/>
      <c r="AP323" s="0" t="n"/>
      <c r="AQ323" s="0" t="n"/>
      <c r="AR323" s="0" t="n"/>
      <c r="AS323" s="0" t="n"/>
      <c r="AT323" s="0" t="n"/>
      <c r="AU323" s="0" t="n"/>
      <c r="AV323" s="0" t="n"/>
      <c r="AW323" s="0" t="n"/>
      <c r="AX323" s="0" t="n"/>
      <c r="AY323" s="0" t="n"/>
      <c r="AZ323" s="0" t="n"/>
      <c r="BA323" s="0" t="n"/>
      <c r="BB323" s="0" t="n"/>
      <c r="BC323" s="0" t="n"/>
      <c r="BD323" s="0" t="n"/>
      <c r="BE323" s="0" t="n"/>
      <c r="BF323" s="0" t="n"/>
      <c r="BG323" s="0" t="n"/>
      <c r="BH323" s="0" t="n"/>
      <c r="BI323" s="0" t="n"/>
      <c r="BJ323" s="0" t="n"/>
      <c r="BK323" s="0" t="n"/>
      <c r="BL323" s="0" t="n"/>
      <c r="BM323" s="0" t="n"/>
      <c r="BN323" s="0" t="n"/>
      <c r="BO323" s="0" t="n"/>
      <c r="BP323" s="0" t="n"/>
    </row>
    <row outlineLevel="0" r="324">
      <c r="A324" s="331" t="n">
        <f aca="false" ca="false" dt2D="false" dtr="false" t="normal">+A323+1</f>
        <v>308</v>
      </c>
      <c r="B324" s="6" t="n">
        <f aca="false" ca="false" dt2D="false" dtr="false" t="normal">+B323+1</f>
        <v>120</v>
      </c>
      <c r="C324" s="138" t="s">
        <v>68</v>
      </c>
      <c r="D324" s="6" t="s">
        <v>604</v>
      </c>
      <c r="E324" s="27" t="n">
        <f aca="false" ca="true" dt2D="false" dtr="false" t="normal">SUBTOTAL(9, F324:T324)</f>
        <v>8466256.14</v>
      </c>
      <c r="F324" s="18" t="n">
        <v>0</v>
      </c>
      <c r="G324" s="18" t="n">
        <v>0</v>
      </c>
      <c r="H324" s="18" t="n">
        <v>0</v>
      </c>
      <c r="I324" s="18" t="n">
        <v>0</v>
      </c>
      <c r="J324" s="18" t="n">
        <v>0</v>
      </c>
      <c r="K324" s="18" t="n"/>
      <c r="L324" s="18" t="n"/>
      <c r="M324" s="18" t="n">
        <v>0</v>
      </c>
      <c r="N324" s="18" t="n">
        <v>8397877.99</v>
      </c>
      <c r="O324" s="18" t="n">
        <v>0</v>
      </c>
      <c r="P324" s="18" t="n">
        <v>0</v>
      </c>
      <c r="Q324" s="18" t="n">
        <v>0</v>
      </c>
      <c r="R324" s="18" t="n">
        <v>44378.15</v>
      </c>
      <c r="S324" s="18" t="n">
        <v>24000</v>
      </c>
      <c r="T324" s="191" t="n"/>
      <c r="U324" s="0" t="n"/>
      <c r="V324" s="333" t="n"/>
      <c r="W324" s="0" t="n"/>
      <c r="X324" s="0" t="n"/>
      <c r="Y324" s="0" t="n"/>
      <c r="Z324" s="0" t="n"/>
      <c r="AA324" s="0" t="n"/>
      <c r="AB324" s="0" t="n"/>
      <c r="AC324" s="0" t="n"/>
      <c r="AD324" s="0" t="n"/>
      <c r="AE324" s="0" t="n"/>
      <c r="AF324" s="0" t="n"/>
      <c r="AG324" s="0" t="n"/>
      <c r="AH324" s="0" t="n"/>
      <c r="AI324" s="0" t="n"/>
      <c r="AJ324" s="0" t="n"/>
      <c r="AK324" s="0" t="n"/>
      <c r="AL324" s="0" t="n"/>
      <c r="AM324" s="0" t="n"/>
      <c r="AN324" s="0" t="n"/>
      <c r="AO324" s="0" t="n"/>
      <c r="AP324" s="0" t="n"/>
      <c r="AQ324" s="0" t="n"/>
      <c r="AR324" s="0" t="n"/>
      <c r="AS324" s="0" t="n"/>
      <c r="AT324" s="0" t="n"/>
      <c r="AU324" s="0" t="n"/>
      <c r="AV324" s="0" t="n"/>
      <c r="AW324" s="0" t="n"/>
      <c r="AX324" s="0" t="n"/>
      <c r="AY324" s="0" t="n"/>
      <c r="AZ324" s="0" t="n"/>
      <c r="BA324" s="0" t="n"/>
      <c r="BB324" s="0" t="n"/>
      <c r="BC324" s="0" t="n"/>
      <c r="BD324" s="0" t="n"/>
      <c r="BE324" s="0" t="n"/>
      <c r="BF324" s="0" t="n"/>
      <c r="BG324" s="0" t="n"/>
      <c r="BH324" s="0" t="n"/>
      <c r="BI324" s="0" t="n"/>
      <c r="BJ324" s="0" t="n"/>
      <c r="BK324" s="0" t="n"/>
      <c r="BL324" s="0" t="n"/>
      <c r="BM324" s="0" t="n"/>
      <c r="BN324" s="0" t="n"/>
      <c r="BO324" s="0" t="n"/>
      <c r="BP324" s="0" t="n"/>
    </row>
    <row outlineLevel="0" r="325">
      <c r="A325" s="331" t="n">
        <f aca="false" ca="false" dt2D="false" dtr="false" t="normal">+A324+1</f>
        <v>309</v>
      </c>
      <c r="B325" s="6" t="n">
        <f aca="false" ca="false" dt2D="false" dtr="false" t="normal">+B324+1</f>
        <v>121</v>
      </c>
      <c r="C325" s="138" t="s">
        <v>68</v>
      </c>
      <c r="D325" s="6" t="s">
        <v>606</v>
      </c>
      <c r="E325" s="27" t="n">
        <f aca="false" ca="true" dt2D="false" dtr="false" t="normal">SUBTOTAL(9, F325:T325)</f>
        <v>5347241.11</v>
      </c>
      <c r="F325" s="18" t="n">
        <v>0</v>
      </c>
      <c r="G325" s="18" t="n">
        <v>0</v>
      </c>
      <c r="H325" s="18" t="n">
        <v>0</v>
      </c>
      <c r="I325" s="18" t="n">
        <v>0</v>
      </c>
      <c r="J325" s="18" t="n">
        <v>0</v>
      </c>
      <c r="K325" s="18" t="n"/>
      <c r="L325" s="18" t="n"/>
      <c r="M325" s="18" t="n">
        <v>0</v>
      </c>
      <c r="N325" s="18" t="n">
        <v>5277865.75</v>
      </c>
      <c r="O325" s="18" t="n">
        <v>0</v>
      </c>
      <c r="P325" s="18" t="n">
        <v>0</v>
      </c>
      <c r="Q325" s="18" t="n">
        <v>0</v>
      </c>
      <c r="R325" s="18" t="n">
        <v>45375.36</v>
      </c>
      <c r="S325" s="18" t="n">
        <v>24000</v>
      </c>
      <c r="T325" s="191" t="n"/>
      <c r="U325" s="0" t="n"/>
      <c r="V325" s="333" t="n"/>
      <c r="W325" s="0" t="n"/>
      <c r="X325" s="0" t="n"/>
      <c r="Y325" s="0" t="n"/>
      <c r="Z325" s="0" t="n"/>
      <c r="AA325" s="0" t="n"/>
      <c r="AB325" s="0" t="n"/>
      <c r="AC325" s="0" t="n"/>
      <c r="AD325" s="0" t="n"/>
      <c r="AE325" s="0" t="n"/>
      <c r="AF325" s="0" t="n"/>
      <c r="AG325" s="0" t="n"/>
      <c r="AH325" s="0" t="n"/>
      <c r="AI325" s="0" t="n"/>
      <c r="AJ325" s="0" t="n"/>
      <c r="AK325" s="0" t="n"/>
      <c r="AL325" s="0" t="n"/>
      <c r="AM325" s="0" t="n"/>
      <c r="AN325" s="0" t="n"/>
      <c r="AO325" s="0" t="n"/>
      <c r="AP325" s="0" t="n"/>
      <c r="AQ325" s="0" t="n"/>
      <c r="AR325" s="0" t="n"/>
      <c r="AS325" s="0" t="n"/>
      <c r="AT325" s="0" t="n"/>
      <c r="AU325" s="0" t="n"/>
      <c r="AV325" s="0" t="n"/>
      <c r="AW325" s="0" t="n"/>
      <c r="AX325" s="0" t="n"/>
      <c r="AY325" s="0" t="n"/>
      <c r="AZ325" s="0" t="n"/>
      <c r="BA325" s="0" t="n"/>
      <c r="BB325" s="0" t="n"/>
      <c r="BC325" s="0" t="n"/>
      <c r="BD325" s="0" t="n"/>
      <c r="BE325" s="0" t="n"/>
      <c r="BF325" s="0" t="n"/>
      <c r="BG325" s="0" t="n"/>
      <c r="BH325" s="0" t="n"/>
      <c r="BI325" s="0" t="n"/>
      <c r="BJ325" s="0" t="n"/>
      <c r="BK325" s="0" t="n"/>
      <c r="BL325" s="0" t="n"/>
      <c r="BM325" s="0" t="n"/>
      <c r="BN325" s="0" t="n"/>
      <c r="BO325" s="0" t="n"/>
      <c r="BP325" s="0" t="n"/>
    </row>
    <row outlineLevel="0" r="326">
      <c r="A326" s="331" t="n">
        <f aca="false" ca="false" dt2D="false" dtr="false" t="normal">+A325+1</f>
        <v>310</v>
      </c>
      <c r="B326" s="6" t="n">
        <f aca="false" ca="false" dt2D="false" dtr="false" t="normal">+B325+1</f>
        <v>122</v>
      </c>
      <c r="C326" s="138" t="s">
        <v>68</v>
      </c>
      <c r="D326" s="6" t="s">
        <v>77</v>
      </c>
      <c r="E326" s="27" t="n">
        <f aca="false" ca="true" dt2D="false" dtr="false" t="normal">SUBTOTAL(9, F326:T326)</f>
        <v>2289454.43</v>
      </c>
      <c r="F326" s="18" t="n"/>
      <c r="G326" s="18" t="n"/>
      <c r="H326" s="18" t="n">
        <v>0</v>
      </c>
      <c r="I326" s="18" t="n"/>
      <c r="J326" s="18" t="n"/>
      <c r="K326" s="18" t="n"/>
      <c r="L326" s="18" t="n"/>
      <c r="M326" s="18" t="n">
        <v>0</v>
      </c>
      <c r="N326" s="18" t="n">
        <v>0</v>
      </c>
      <c r="O326" s="18" t="n">
        <v>2289454.43</v>
      </c>
      <c r="P326" s="18" t="n">
        <v>0</v>
      </c>
      <c r="Q326" s="18" t="n"/>
      <c r="R326" s="18" t="n"/>
      <c r="S326" s="18" t="n"/>
      <c r="T326" s="191" t="n"/>
      <c r="U326" s="0" t="n"/>
      <c r="V326" s="333" t="n"/>
      <c r="W326" s="0" t="n"/>
      <c r="X326" s="0" t="n"/>
      <c r="Y326" s="0" t="n"/>
      <c r="Z326" s="0" t="n"/>
      <c r="AA326" s="0" t="n"/>
      <c r="AB326" s="0" t="n"/>
      <c r="AC326" s="0" t="n"/>
      <c r="AD326" s="0" t="n"/>
      <c r="AE326" s="0" t="n"/>
      <c r="AF326" s="0" t="n"/>
      <c r="AG326" s="0" t="n"/>
      <c r="AH326" s="0" t="n"/>
      <c r="AI326" s="0" t="n"/>
      <c r="AJ326" s="0" t="n"/>
      <c r="AK326" s="0" t="n"/>
      <c r="AL326" s="0" t="n"/>
      <c r="AM326" s="0" t="n"/>
      <c r="AN326" s="0" t="n"/>
      <c r="AO326" s="0" t="n"/>
      <c r="AP326" s="0" t="n"/>
      <c r="AQ326" s="0" t="n"/>
      <c r="AR326" s="0" t="n"/>
      <c r="AS326" s="0" t="n"/>
      <c r="AT326" s="0" t="n"/>
      <c r="AU326" s="0" t="n"/>
      <c r="AV326" s="0" t="n"/>
      <c r="AW326" s="0" t="n"/>
      <c r="AX326" s="0" t="n"/>
      <c r="AY326" s="0" t="n"/>
      <c r="AZ326" s="0" t="n"/>
      <c r="BA326" s="0" t="n"/>
      <c r="BB326" s="0" t="n"/>
      <c r="BC326" s="0" t="n"/>
      <c r="BD326" s="0" t="n"/>
      <c r="BE326" s="0" t="n"/>
      <c r="BF326" s="0" t="n"/>
      <c r="BG326" s="0" t="n"/>
      <c r="BH326" s="0" t="n"/>
      <c r="BI326" s="0" t="n"/>
      <c r="BJ326" s="0" t="n"/>
      <c r="BK326" s="0" t="n"/>
      <c r="BL326" s="0" t="n"/>
      <c r="BM326" s="0" t="n"/>
      <c r="BN326" s="0" t="n"/>
      <c r="BO326" s="0" t="n"/>
      <c r="BP326" s="0" t="n"/>
    </row>
    <row customHeight="true" ht="13.5" outlineLevel="0" r="327">
      <c r="A327" s="331" t="n">
        <f aca="false" ca="false" dt2D="false" dtr="false" t="normal">+A326+1</f>
        <v>311</v>
      </c>
      <c r="B327" s="6" t="n">
        <f aca="false" ca="false" dt2D="false" dtr="false" t="normal">+B326+1</f>
        <v>123</v>
      </c>
      <c r="C327" s="138" t="s">
        <v>68</v>
      </c>
      <c r="D327" s="6" t="s">
        <v>78</v>
      </c>
      <c r="E327" s="27" t="n">
        <f aca="false" ca="true" dt2D="false" dtr="false" t="normal">SUBTOTAL(9, F327:T327)</f>
        <v>3010833.7</v>
      </c>
      <c r="F327" s="18" t="n"/>
      <c r="G327" s="18" t="n"/>
      <c r="H327" s="18" t="n">
        <v>0</v>
      </c>
      <c r="I327" s="18" t="n"/>
      <c r="J327" s="18" t="n"/>
      <c r="K327" s="18" t="n"/>
      <c r="L327" s="18" t="n"/>
      <c r="M327" s="18" t="n">
        <v>0</v>
      </c>
      <c r="N327" s="18" t="n">
        <v>0</v>
      </c>
      <c r="O327" s="18" t="n">
        <v>3010833.7</v>
      </c>
      <c r="P327" s="18" t="n">
        <v>0</v>
      </c>
      <c r="Q327" s="18" t="n"/>
      <c r="R327" s="18" t="n"/>
      <c r="S327" s="18" t="n"/>
      <c r="T327" s="191" t="n"/>
      <c r="U327" s="0" t="n"/>
      <c r="V327" s="333" t="n"/>
      <c r="W327" s="0" t="n"/>
      <c r="X327" s="0" t="n"/>
      <c r="Y327" s="0" t="n"/>
      <c r="Z327" s="0" t="n"/>
      <c r="AA327" s="0" t="n"/>
      <c r="AB327" s="0" t="n"/>
      <c r="AC327" s="0" t="n"/>
      <c r="AD327" s="0" t="n"/>
      <c r="AE327" s="0" t="n"/>
      <c r="AF327" s="0" t="n"/>
      <c r="AG327" s="0" t="n"/>
      <c r="AH327" s="0" t="n"/>
      <c r="AI327" s="0" t="n"/>
      <c r="AJ327" s="0" t="n"/>
      <c r="AK327" s="0" t="n"/>
      <c r="AL327" s="0" t="n"/>
      <c r="AM327" s="0" t="n"/>
      <c r="AN327" s="0" t="n"/>
      <c r="AO327" s="0" t="n"/>
      <c r="AP327" s="0" t="n"/>
      <c r="AQ327" s="0" t="n"/>
      <c r="AR327" s="0" t="n"/>
      <c r="AS327" s="0" t="n"/>
      <c r="AT327" s="0" t="n"/>
      <c r="AU327" s="0" t="n"/>
      <c r="AV327" s="0" t="n"/>
      <c r="AW327" s="0" t="n"/>
      <c r="AX327" s="0" t="n"/>
      <c r="AY327" s="0" t="n"/>
      <c r="AZ327" s="0" t="n"/>
      <c r="BA327" s="0" t="n"/>
      <c r="BB327" s="0" t="n"/>
      <c r="BC327" s="0" t="n"/>
      <c r="BD327" s="0" t="n"/>
      <c r="BE327" s="0" t="n"/>
      <c r="BF327" s="0" t="n"/>
      <c r="BG327" s="0" t="n"/>
      <c r="BH327" s="0" t="n"/>
      <c r="BI327" s="0" t="n"/>
      <c r="BJ327" s="0" t="n"/>
      <c r="BK327" s="0" t="n"/>
      <c r="BL327" s="0" t="n"/>
      <c r="BM327" s="0" t="n"/>
      <c r="BN327" s="0" t="n"/>
      <c r="BO327" s="0" t="n"/>
      <c r="BP327" s="0" t="n"/>
    </row>
    <row outlineLevel="0" r="328">
      <c r="A328" s="331" t="n">
        <f aca="false" ca="false" dt2D="false" dtr="false" t="normal">+A327+1</f>
        <v>312</v>
      </c>
      <c r="B328" s="6" t="n">
        <f aca="false" ca="false" dt2D="false" dtr="false" t="normal">+B327+1</f>
        <v>124</v>
      </c>
      <c r="C328" s="138" t="s">
        <v>82</v>
      </c>
      <c r="D328" s="6" t="s">
        <v>609</v>
      </c>
      <c r="E328" s="27" t="n">
        <f aca="false" ca="true" dt2D="false" dtr="false" t="normal">SUBTOTAL(9, F328:T328)</f>
        <v>1652498.41</v>
      </c>
      <c r="F328" s="18" t="n">
        <v>0</v>
      </c>
      <c r="G328" s="18" t="n">
        <v>0</v>
      </c>
      <c r="H328" s="18" t="n">
        <v>1652498.41</v>
      </c>
      <c r="I328" s="18" t="n">
        <v>0</v>
      </c>
      <c r="J328" s="18" t="n">
        <v>0</v>
      </c>
      <c r="K328" s="18" t="n"/>
      <c r="L328" s="18" t="n"/>
      <c r="M328" s="18" t="n">
        <v>0</v>
      </c>
      <c r="N328" s="18" t="n">
        <v>0</v>
      </c>
      <c r="O328" s="18" t="n">
        <v>0</v>
      </c>
      <c r="P328" s="18" t="n">
        <v>0</v>
      </c>
      <c r="Q328" s="18" t="n">
        <v>0</v>
      </c>
      <c r="R328" s="18" t="n"/>
      <c r="S328" s="18" t="n"/>
      <c r="T328" s="191" t="n"/>
      <c r="U328" s="0" t="n"/>
      <c r="V328" s="333" t="n"/>
      <c r="W328" s="0" t="n"/>
      <c r="X328" s="0" t="n"/>
      <c r="Y328" s="0" t="n"/>
      <c r="Z328" s="0" t="n"/>
      <c r="AA328" s="0" t="n"/>
      <c r="AB328" s="0" t="n"/>
      <c r="AC328" s="0" t="n"/>
      <c r="AD328" s="0" t="n"/>
      <c r="AE328" s="0" t="n"/>
      <c r="AF328" s="0" t="n"/>
      <c r="AG328" s="0" t="n"/>
      <c r="AH328" s="0" t="n"/>
      <c r="AI328" s="0" t="n"/>
      <c r="AJ328" s="0" t="n"/>
      <c r="AK328" s="0" t="n"/>
      <c r="AL328" s="0" t="n"/>
      <c r="AM328" s="0" t="n"/>
      <c r="AN328" s="0" t="n"/>
      <c r="AO328" s="0" t="n"/>
      <c r="AP328" s="0" t="n"/>
      <c r="AQ328" s="0" t="n"/>
      <c r="AR328" s="0" t="n"/>
      <c r="AS328" s="0" t="n"/>
      <c r="AT328" s="0" t="n"/>
      <c r="AU328" s="0" t="n"/>
      <c r="AV328" s="0" t="n"/>
      <c r="AW328" s="0" t="n"/>
      <c r="AX328" s="0" t="n"/>
      <c r="AY328" s="0" t="n"/>
      <c r="AZ328" s="0" t="n"/>
      <c r="BA328" s="0" t="n"/>
      <c r="BB328" s="0" t="n"/>
      <c r="BC328" s="0" t="n"/>
      <c r="BD328" s="0" t="n"/>
      <c r="BE328" s="0" t="n"/>
      <c r="BF328" s="0" t="n"/>
      <c r="BG328" s="0" t="n"/>
      <c r="BH328" s="0" t="n"/>
      <c r="BI328" s="0" t="n"/>
      <c r="BJ328" s="0" t="n"/>
      <c r="BK328" s="0" t="n"/>
      <c r="BL328" s="0" t="n"/>
      <c r="BM328" s="0" t="n"/>
      <c r="BN328" s="0" t="n"/>
      <c r="BO328" s="0" t="n"/>
      <c r="BP328" s="0" t="n"/>
    </row>
    <row outlineLevel="0" r="329">
      <c r="A329" s="331" t="n">
        <f aca="false" ca="false" dt2D="false" dtr="false" t="normal">+A328+1</f>
        <v>313</v>
      </c>
      <c r="B329" s="6" t="n">
        <f aca="false" ca="false" dt2D="false" dtr="false" t="normal">+B328+1</f>
        <v>125</v>
      </c>
      <c r="C329" s="138" t="s">
        <v>82</v>
      </c>
      <c r="D329" s="6" t="s">
        <v>610</v>
      </c>
      <c r="E329" s="27" t="n">
        <f aca="false" ca="true" dt2D="false" dtr="false" t="normal">SUBTOTAL(9, F329:T329)</f>
        <v>1424229.18</v>
      </c>
      <c r="F329" s="18" t="n">
        <v>0</v>
      </c>
      <c r="G329" s="18" t="n">
        <v>0</v>
      </c>
      <c r="H329" s="18" t="n">
        <v>1424229.18</v>
      </c>
      <c r="I329" s="18" t="n">
        <v>0</v>
      </c>
      <c r="J329" s="18" t="n">
        <v>0</v>
      </c>
      <c r="K329" s="18" t="n"/>
      <c r="L329" s="18" t="n"/>
      <c r="M329" s="18" t="n">
        <v>0</v>
      </c>
      <c r="N329" s="18" t="n">
        <v>0</v>
      </c>
      <c r="O329" s="18" t="n">
        <v>0</v>
      </c>
      <c r="P329" s="18" t="n">
        <v>0</v>
      </c>
      <c r="Q329" s="18" t="n">
        <v>0</v>
      </c>
      <c r="R329" s="18" t="n"/>
      <c r="S329" s="18" t="n"/>
      <c r="T329" s="191" t="n"/>
    </row>
    <row outlineLevel="0" r="330">
      <c r="A330" s="331" t="n">
        <f aca="false" ca="false" dt2D="false" dtr="false" t="normal">+A329+1</f>
        <v>314</v>
      </c>
      <c r="B330" s="6" t="n">
        <f aca="false" ca="false" dt2D="false" dtr="false" t="normal">+B329+1</f>
        <v>126</v>
      </c>
      <c r="C330" s="138" t="s">
        <v>350</v>
      </c>
      <c r="D330" s="6" t="s">
        <v>351</v>
      </c>
      <c r="E330" s="27" t="n">
        <f aca="false" ca="true" dt2D="false" dtr="false" t="normal">SUBTOTAL(9, F330:T330)</f>
        <v>17277398.860000003</v>
      </c>
      <c r="F330" s="18" t="n">
        <v>5026597.23</v>
      </c>
      <c r="G330" s="18" t="n">
        <v>1761810.43</v>
      </c>
      <c r="H330" s="18" t="n">
        <v>2190965.3</v>
      </c>
      <c r="I330" s="18" t="n">
        <v>962343.08</v>
      </c>
      <c r="J330" s="18" t="n"/>
      <c r="K330" s="18" t="n"/>
      <c r="L330" s="18" t="n"/>
      <c r="M330" s="18" t="n"/>
      <c r="N330" s="18" t="n"/>
      <c r="O330" s="18" t="n">
        <v>0</v>
      </c>
      <c r="P330" s="18" t="n"/>
      <c r="Q330" s="18" t="n">
        <v>7229466.91</v>
      </c>
      <c r="R330" s="18" t="n"/>
      <c r="S330" s="18" t="n"/>
      <c r="T330" s="191" t="n">
        <f aca="false" ca="false" dt2D="false" dtr="false" t="normal">143369.99-37154.08</f>
        <v>106215.90999999999</v>
      </c>
    </row>
    <row outlineLevel="0" r="331">
      <c r="A331" s="331" t="n">
        <f aca="false" ca="false" dt2D="false" dtr="false" t="normal">+A330+1</f>
        <v>315</v>
      </c>
      <c r="B331" s="6" t="n">
        <f aca="false" ca="false" dt2D="false" dtr="false" t="normal">+B330+1</f>
        <v>127</v>
      </c>
      <c r="C331" s="138" t="s">
        <v>90</v>
      </c>
      <c r="D331" s="6" t="s">
        <v>354</v>
      </c>
      <c r="E331" s="27" t="n">
        <f aca="false" ca="true" dt2D="false" dtr="false" t="normal">SUBTOTAL(9, F331:T331)</f>
        <v>17387080.56</v>
      </c>
      <c r="F331" s="18" t="n"/>
      <c r="G331" s="18" t="n"/>
      <c r="H331" s="18" t="n">
        <v>3897843.76</v>
      </c>
      <c r="I331" s="18" t="n"/>
      <c r="J331" s="18" t="n">
        <v>0</v>
      </c>
      <c r="K331" s="18" t="n"/>
      <c r="L331" s="18" t="n"/>
      <c r="M331" s="18" t="n">
        <v>0</v>
      </c>
      <c r="N331" s="18" t="n"/>
      <c r="O331" s="18" t="n">
        <v>0</v>
      </c>
      <c r="P331" s="18" t="n"/>
      <c r="Q331" s="18" t="n">
        <v>13397912.35</v>
      </c>
      <c r="R331" s="18" t="n"/>
      <c r="S331" s="18" t="n"/>
      <c r="T331" s="191" t="n">
        <v>91324.45</v>
      </c>
    </row>
    <row outlineLevel="0" r="332">
      <c r="A332" s="331" t="n">
        <f aca="false" ca="false" dt2D="false" dtr="false" t="normal">+A331+1</f>
        <v>316</v>
      </c>
      <c r="B332" s="6" t="n">
        <f aca="false" ca="false" dt2D="false" dtr="false" t="normal">+B331+1</f>
        <v>128</v>
      </c>
      <c r="C332" s="138" t="s">
        <v>356</v>
      </c>
      <c r="D332" s="6" t="s">
        <v>614</v>
      </c>
      <c r="E332" s="203" t="n">
        <f aca="false" ca="true" dt2D="false" dtr="false" t="normal">SUBTOTAL(9, F332:T332)</f>
        <v>723055.9</v>
      </c>
      <c r="F332" s="18" t="n">
        <v>0</v>
      </c>
      <c r="G332" s="18" t="n">
        <v>0</v>
      </c>
      <c r="H332" s="18" t="n"/>
      <c r="I332" s="18" t="n">
        <v>0</v>
      </c>
      <c r="J332" s="18" t="n">
        <v>0</v>
      </c>
      <c r="K332" s="18" t="n"/>
      <c r="L332" s="18" t="n"/>
      <c r="M332" s="18" t="n">
        <v>0</v>
      </c>
      <c r="N332" s="18" t="n">
        <v>0</v>
      </c>
      <c r="O332" s="18" t="n"/>
      <c r="P332" s="18" t="n">
        <v>0</v>
      </c>
      <c r="Q332" s="18" t="n">
        <v>723055.9</v>
      </c>
      <c r="R332" s="18" t="n"/>
      <c r="S332" s="18" t="n"/>
      <c r="T332" s="191" t="n"/>
    </row>
    <row outlineLevel="0" r="333">
      <c r="A333" s="331" t="n">
        <f aca="false" ca="false" dt2D="false" dtr="false" t="normal">+A332+1</f>
        <v>317</v>
      </c>
      <c r="B333" s="6" t="n">
        <f aca="false" ca="false" dt2D="false" dtr="false" t="normal">+B332+1</f>
        <v>129</v>
      </c>
      <c r="C333" s="138" t="s">
        <v>356</v>
      </c>
      <c r="D333" s="6" t="s">
        <v>616</v>
      </c>
      <c r="E333" s="203" t="n">
        <f aca="false" ca="true" dt2D="false" dtr="false" t="normal">SUBTOTAL(9, F333:T333)</f>
        <v>17170798.84</v>
      </c>
      <c r="F333" s="18" t="n">
        <v>4702523.48</v>
      </c>
      <c r="G333" s="18" t="n">
        <v>2022696.79</v>
      </c>
      <c r="H333" s="18" t="n">
        <v>1167206.26</v>
      </c>
      <c r="I333" s="18" t="n">
        <v>727220.9</v>
      </c>
      <c r="J333" s="18" t="n">
        <v>0</v>
      </c>
      <c r="K333" s="18" t="n"/>
      <c r="L333" s="18" t="n"/>
      <c r="M333" s="18" t="n">
        <v>0</v>
      </c>
      <c r="N333" s="18" t="n">
        <v>8051725.51</v>
      </c>
      <c r="O333" s="18" t="n"/>
      <c r="P333" s="18" t="n"/>
      <c r="Q333" s="18" t="n">
        <v>499425.9</v>
      </c>
      <c r="R333" s="18" t="n"/>
      <c r="S333" s="18" t="n"/>
      <c r="T333" s="191" t="n"/>
    </row>
    <row customFormat="true" ht="15.75" outlineLevel="0" r="334" s="184">
      <c r="A334" s="331" t="n">
        <f aca="false" ca="false" dt2D="false" dtr="false" t="normal">+A333+1</f>
        <v>318</v>
      </c>
      <c r="B334" s="6" t="n">
        <f aca="false" ca="false" dt2D="false" dtr="false" t="normal">+B333+1</f>
        <v>130</v>
      </c>
      <c r="C334" s="138" t="s">
        <v>356</v>
      </c>
      <c r="D334" s="6" t="s">
        <v>618</v>
      </c>
      <c r="E334" s="27" t="n">
        <f aca="false" ca="true" dt2D="false" dtr="false" t="normal">SUBTOTAL(9, F334:T334)</f>
        <v>48104587.04</v>
      </c>
      <c r="F334" s="18" t="n">
        <v>7902876.34</v>
      </c>
      <c r="G334" s="18" t="n">
        <v>4092711.1</v>
      </c>
      <c r="H334" s="18" t="n">
        <v>4295794.1</v>
      </c>
      <c r="I334" s="18" t="n"/>
      <c r="J334" s="18" t="n"/>
      <c r="K334" s="18" t="n"/>
      <c r="L334" s="18" t="n"/>
      <c r="M334" s="18" t="n"/>
      <c r="N334" s="18" t="n">
        <v>28212794</v>
      </c>
      <c r="O334" s="18" t="n"/>
      <c r="P334" s="18" t="n"/>
      <c r="Q334" s="18" t="n">
        <v>2361500.36</v>
      </c>
      <c r="R334" s="18" t="n">
        <v>1221768.28</v>
      </c>
      <c r="S334" s="18" t="n">
        <v>17142.86</v>
      </c>
      <c r="T334" s="191" t="n"/>
      <c r="V334" s="277" t="n"/>
    </row>
    <row outlineLevel="0" r="335">
      <c r="A335" s="331" t="n">
        <f aca="false" ca="false" dt2D="false" dtr="false" t="normal">+A334+1</f>
        <v>319</v>
      </c>
      <c r="B335" s="6" t="n">
        <f aca="false" ca="false" dt2D="false" dtr="false" t="normal">+B334+1</f>
        <v>131</v>
      </c>
      <c r="C335" s="138" t="s">
        <v>356</v>
      </c>
      <c r="D335" s="6" t="s">
        <v>619</v>
      </c>
      <c r="E335" s="203" t="n">
        <f aca="false" ca="true" dt2D="false" dtr="false" t="normal">SUBTOTAL(9, F335:T335)</f>
        <v>12188197.200000001</v>
      </c>
      <c r="F335" s="18" t="n">
        <v>2561264.63</v>
      </c>
      <c r="G335" s="18" t="n">
        <v>1831960.83</v>
      </c>
      <c r="H335" s="18" t="n">
        <v>1491883.2</v>
      </c>
      <c r="I335" s="18" t="n">
        <v>879028.5</v>
      </c>
      <c r="J335" s="18" t="n">
        <v>0</v>
      </c>
      <c r="K335" s="18" t="n"/>
      <c r="L335" s="18" t="n"/>
      <c r="M335" s="18" t="n"/>
      <c r="N335" s="18" t="n">
        <v>4643142.23</v>
      </c>
      <c r="O335" s="18" t="n"/>
      <c r="P335" s="18" t="n">
        <v>0</v>
      </c>
      <c r="Q335" s="18" t="n">
        <v>780917.81</v>
      </c>
      <c r="R335" s="18" t="n"/>
      <c r="S335" s="18" t="n"/>
      <c r="T335" s="191" t="n"/>
    </row>
    <row outlineLevel="0" r="336">
      <c r="A336" s="331" t="n">
        <f aca="false" ca="false" dt2D="false" dtr="false" t="normal">+A335+1</f>
        <v>320</v>
      </c>
      <c r="B336" s="6" t="n">
        <f aca="false" ca="false" dt2D="false" dtr="false" t="normal">+B335+1</f>
        <v>132</v>
      </c>
      <c r="C336" s="138" t="s">
        <v>356</v>
      </c>
      <c r="D336" s="6" t="s">
        <v>495</v>
      </c>
      <c r="E336" s="203" t="n">
        <f aca="false" ca="true" dt2D="false" dtr="false" t="normal">SUBTOTAL(9, F336:T336)</f>
        <v>13503759.23</v>
      </c>
      <c r="F336" s="18" t="n">
        <v>10796865.48</v>
      </c>
      <c r="G336" s="18" t="n"/>
      <c r="H336" s="18" t="n">
        <v>2146766.74</v>
      </c>
      <c r="I336" s="18" t="n"/>
      <c r="J336" s="18" t="n">
        <v>0</v>
      </c>
      <c r="K336" s="18" t="n"/>
      <c r="L336" s="18" t="n"/>
      <c r="M336" s="18" t="n">
        <v>0</v>
      </c>
      <c r="N336" s="18" t="n"/>
      <c r="O336" s="18" t="n">
        <v>0</v>
      </c>
      <c r="P336" s="18" t="n"/>
      <c r="Q336" s="18" t="n">
        <v>560127.01</v>
      </c>
      <c r="R336" s="18" t="n"/>
      <c r="S336" s="18" t="n"/>
      <c r="T336" s="191" t="n"/>
    </row>
    <row outlineLevel="0" r="337">
      <c r="A337" s="331" t="n">
        <f aca="false" ca="false" dt2D="false" dtr="false" t="normal">+A336+1</f>
        <v>321</v>
      </c>
      <c r="B337" s="6" t="n">
        <f aca="false" ca="false" dt2D="false" dtr="false" t="normal">+B336+1</f>
        <v>133</v>
      </c>
      <c r="C337" s="138" t="s">
        <v>356</v>
      </c>
      <c r="D337" s="6" t="s">
        <v>620</v>
      </c>
      <c r="E337" s="27" t="n">
        <f aca="false" ca="true" dt2D="false" dtr="false" t="normal">SUBTOTAL(9, F337:T337)</f>
        <v>5375027</v>
      </c>
      <c r="F337" s="213" t="n"/>
      <c r="G337" s="18" t="n"/>
      <c r="H337" s="18" t="n"/>
      <c r="I337" s="18" t="n"/>
      <c r="J337" s="18" t="n"/>
      <c r="K337" s="18" t="n"/>
      <c r="L337" s="18" t="n"/>
      <c r="M337" s="18" t="n">
        <v>5252854.22</v>
      </c>
      <c r="N337" s="18" t="n"/>
      <c r="O337" s="18" t="n"/>
      <c r="P337" s="18" t="n"/>
      <c r="Q337" s="18" t="n"/>
      <c r="R337" s="18" t="n">
        <v>103820.17</v>
      </c>
      <c r="S337" s="18" t="n">
        <v>18352.61</v>
      </c>
      <c r="T337" s="191" t="n"/>
    </row>
    <row outlineLevel="0" r="338">
      <c r="A338" s="331" t="n">
        <f aca="false" ca="false" dt2D="false" dtr="false" t="normal">+A337+1</f>
        <v>322</v>
      </c>
      <c r="B338" s="6" t="n">
        <f aca="false" ca="false" dt2D="false" dtr="false" t="normal">+B337+1</f>
        <v>134</v>
      </c>
      <c r="C338" s="138" t="s">
        <v>356</v>
      </c>
      <c r="D338" s="6" t="s">
        <v>498</v>
      </c>
      <c r="E338" s="203" t="n">
        <f aca="false" ca="true" dt2D="false" dtr="false" t="normal">SUBTOTAL(9, F338:T338)</f>
        <v>4053363.43</v>
      </c>
      <c r="F338" s="18" t="n"/>
      <c r="G338" s="18" t="n"/>
      <c r="H338" s="18" t="n"/>
      <c r="I338" s="18" t="n"/>
      <c r="J338" s="18" t="n">
        <v>0</v>
      </c>
      <c r="K338" s="18" t="n"/>
      <c r="L338" s="18" t="n"/>
      <c r="M338" s="18" t="n">
        <v>0</v>
      </c>
      <c r="N338" s="18" t="n">
        <v>4053363.43</v>
      </c>
      <c r="O338" s="18" t="n">
        <v>0</v>
      </c>
      <c r="P338" s="18" t="n"/>
      <c r="Q338" s="18" t="n"/>
      <c r="R338" s="18" t="n"/>
      <c r="S338" s="18" t="n"/>
      <c r="T338" s="191" t="n"/>
    </row>
    <row outlineLevel="0" r="339">
      <c r="A339" s="331" t="n">
        <f aca="false" ca="false" dt2D="false" dtr="false" t="normal">+A338+1</f>
        <v>323</v>
      </c>
      <c r="B339" s="6" t="n">
        <f aca="false" ca="false" dt2D="false" dtr="false" t="normal">+B338+1</f>
        <v>135</v>
      </c>
      <c r="C339" s="138" t="s">
        <v>356</v>
      </c>
      <c r="D339" s="6" t="s">
        <v>500</v>
      </c>
      <c r="E339" s="203" t="n">
        <f aca="false" ca="true" dt2D="false" dtr="false" t="normal">SUBTOTAL(9, F339:T339)</f>
        <v>11760430.97</v>
      </c>
      <c r="F339" s="18" t="n"/>
      <c r="G339" s="18" t="n"/>
      <c r="H339" s="18" t="n"/>
      <c r="I339" s="18" t="n"/>
      <c r="J339" s="18" t="n"/>
      <c r="K339" s="18" t="n"/>
      <c r="L339" s="18" t="n"/>
      <c r="M339" s="18" t="n">
        <v>0</v>
      </c>
      <c r="N339" s="18" t="n">
        <v>10962284.21</v>
      </c>
      <c r="O339" s="18" t="n">
        <v>0</v>
      </c>
      <c r="P339" s="18" t="n"/>
      <c r="Q339" s="18" t="n">
        <v>798146.76</v>
      </c>
      <c r="R339" s="18" t="n"/>
      <c r="S339" s="18" t="n"/>
      <c r="T339" s="191" t="n"/>
    </row>
    <row outlineLevel="0" r="340">
      <c r="A340" s="331" t="n">
        <f aca="false" ca="false" dt2D="false" dtr="false" t="normal">+A339+1</f>
        <v>324</v>
      </c>
      <c r="B340" s="6" t="n">
        <f aca="false" ca="false" dt2D="false" dtr="false" t="normal">+B339+1</f>
        <v>136</v>
      </c>
      <c r="C340" s="138" t="s">
        <v>356</v>
      </c>
      <c r="D340" s="6" t="s">
        <v>502</v>
      </c>
      <c r="E340" s="203" t="n">
        <f aca="false" ca="true" dt2D="false" dtr="false" t="normal">SUBTOTAL(9, F340:T340)</f>
        <v>5428761.3100000005</v>
      </c>
      <c r="F340" s="18" t="n"/>
      <c r="G340" s="18" t="n"/>
      <c r="H340" s="18" t="n"/>
      <c r="I340" s="18" t="n"/>
      <c r="J340" s="18" t="n"/>
      <c r="K340" s="18" t="n"/>
      <c r="L340" s="18" t="n"/>
      <c r="M340" s="18" t="n">
        <v>0</v>
      </c>
      <c r="N340" s="18" t="n">
        <v>4587330.62</v>
      </c>
      <c r="O340" s="18" t="n">
        <v>0</v>
      </c>
      <c r="P340" s="18" t="n"/>
      <c r="Q340" s="18" t="n">
        <v>841430.69</v>
      </c>
      <c r="R340" s="18" t="n"/>
      <c r="S340" s="18" t="n"/>
      <c r="T340" s="191" t="n"/>
    </row>
    <row outlineLevel="0" r="341">
      <c r="A341" s="331" t="n">
        <f aca="false" ca="false" dt2D="false" dtr="false" t="normal">+A340+1</f>
        <v>325</v>
      </c>
      <c r="B341" s="6" t="n">
        <f aca="false" ca="false" dt2D="false" dtr="false" t="normal">+B340+1</f>
        <v>137</v>
      </c>
      <c r="C341" s="138" t="s">
        <v>356</v>
      </c>
      <c r="D341" s="6" t="s">
        <v>622</v>
      </c>
      <c r="E341" s="203" t="n">
        <f aca="false" ca="true" dt2D="false" dtr="false" t="normal">SUBTOTAL(9, F341:T341)</f>
        <v>1345945.45</v>
      </c>
      <c r="F341" s="18" t="n"/>
      <c r="G341" s="18" t="n"/>
      <c r="H341" s="18" t="n"/>
      <c r="I341" s="18" t="n"/>
      <c r="J341" s="18" t="n">
        <v>0</v>
      </c>
      <c r="K341" s="18" t="n"/>
      <c r="L341" s="18" t="n"/>
      <c r="M341" s="18" t="n">
        <v>0</v>
      </c>
      <c r="N341" s="18" t="n"/>
      <c r="O341" s="18" t="n"/>
      <c r="P341" s="18" t="n"/>
      <c r="Q341" s="18" t="n">
        <v>1345945.45</v>
      </c>
      <c r="R341" s="18" t="n"/>
      <c r="S341" s="18" t="n"/>
      <c r="T341" s="191" t="n"/>
    </row>
    <row outlineLevel="0" r="342">
      <c r="A342" s="331" t="n">
        <f aca="false" ca="false" dt2D="false" dtr="false" t="normal">+A341+1</f>
        <v>326</v>
      </c>
      <c r="B342" s="6" t="n">
        <f aca="false" ca="false" dt2D="false" dtr="false" t="normal">+B341+1</f>
        <v>138</v>
      </c>
      <c r="C342" s="138" t="s">
        <v>356</v>
      </c>
      <c r="D342" s="6" t="s">
        <v>509</v>
      </c>
      <c r="E342" s="27" t="n">
        <f aca="false" ca="true" dt2D="false" dtr="false" t="normal">SUBTOTAL(9, F342:T342)</f>
        <v>17534237.759999998</v>
      </c>
      <c r="F342" s="18" t="n"/>
      <c r="G342" s="18" t="n"/>
      <c r="H342" s="18" t="n"/>
      <c r="I342" s="18" t="n"/>
      <c r="J342" s="18" t="n">
        <v>0</v>
      </c>
      <c r="K342" s="18" t="n"/>
      <c r="L342" s="18" t="n"/>
      <c r="M342" s="18" t="n">
        <v>0</v>
      </c>
      <c r="N342" s="18" t="n">
        <v>8787135.97</v>
      </c>
      <c r="O342" s="18" t="n">
        <v>0</v>
      </c>
      <c r="P342" s="18" t="n">
        <v>8747101.79</v>
      </c>
      <c r="Q342" s="18" t="n"/>
      <c r="R342" s="18" t="n"/>
      <c r="S342" s="18" t="n"/>
      <c r="T342" s="191" t="n"/>
      <c r="X342" s="351" t="n"/>
    </row>
    <row outlineLevel="0" r="343">
      <c r="A343" s="331" t="n">
        <f aca="false" ca="false" dt2D="false" dtr="false" t="normal">+A342+1</f>
        <v>327</v>
      </c>
      <c r="B343" s="6" t="n">
        <f aca="false" ca="false" dt2D="false" dtr="false" t="normal">+B342+1</f>
        <v>139</v>
      </c>
      <c r="C343" s="138" t="s">
        <v>356</v>
      </c>
      <c r="D343" s="6" t="s">
        <v>510</v>
      </c>
      <c r="E343" s="203" t="n">
        <f aca="false" ca="true" dt2D="false" dtr="false" t="normal">SUBTOTAL(9, F343:T343)</f>
        <v>12625636.22</v>
      </c>
      <c r="F343" s="18" t="n"/>
      <c r="G343" s="18" t="n"/>
      <c r="H343" s="18" t="n"/>
      <c r="I343" s="18" t="n"/>
      <c r="J343" s="18" t="n">
        <v>0</v>
      </c>
      <c r="K343" s="18" t="n"/>
      <c r="L343" s="18" t="n"/>
      <c r="M343" s="18" t="n">
        <v>0</v>
      </c>
      <c r="N343" s="18" t="n">
        <v>11687466.91</v>
      </c>
      <c r="O343" s="18" t="n">
        <v>0</v>
      </c>
      <c r="P343" s="18" t="n"/>
      <c r="Q343" s="18" t="n">
        <v>938169.31</v>
      </c>
      <c r="R343" s="18" t="n"/>
      <c r="S343" s="18" t="n"/>
      <c r="T343" s="191" t="n"/>
    </row>
    <row outlineLevel="0" r="344">
      <c r="A344" s="331" t="n">
        <f aca="false" ca="false" dt2D="false" dtr="false" t="normal">+A343+1</f>
        <v>328</v>
      </c>
      <c r="B344" s="6" t="n">
        <f aca="false" ca="false" dt2D="false" dtr="false" t="normal">+B343+1</f>
        <v>140</v>
      </c>
      <c r="C344" s="138" t="s">
        <v>356</v>
      </c>
      <c r="D344" s="6" t="s">
        <v>623</v>
      </c>
      <c r="E344" s="203" t="n">
        <f aca="false" ca="true" dt2D="false" dtr="false" t="normal">SUBTOTAL(9, F344:T344)</f>
        <v>14985012.030000001</v>
      </c>
      <c r="F344" s="18" t="n">
        <v>3850862.68</v>
      </c>
      <c r="G344" s="18" t="n">
        <v>1527090.45</v>
      </c>
      <c r="H344" s="18" t="n">
        <v>1632419.86</v>
      </c>
      <c r="I344" s="18" t="n">
        <v>1086100.56</v>
      </c>
      <c r="J344" s="18" t="n">
        <v>0</v>
      </c>
      <c r="K344" s="18" t="n"/>
      <c r="L344" s="18" t="n"/>
      <c r="M344" s="18" t="n">
        <v>0</v>
      </c>
      <c r="N344" s="18" t="n">
        <v>5722546.32</v>
      </c>
      <c r="O344" s="18" t="n"/>
      <c r="P344" s="18" t="n"/>
      <c r="Q344" s="18" t="n">
        <v>1165992.16</v>
      </c>
      <c r="R344" s="18" t="n"/>
      <c r="S344" s="18" t="n"/>
      <c r="T344" s="191" t="n"/>
    </row>
    <row outlineLevel="0" r="345">
      <c r="A345" s="331" t="n">
        <f aca="false" ca="false" dt2D="false" dtr="false" t="normal">+A344+1</f>
        <v>329</v>
      </c>
      <c r="B345" s="6" t="n">
        <f aca="false" ca="false" dt2D="false" dtr="false" t="normal">+B344+1</f>
        <v>141</v>
      </c>
      <c r="C345" s="138" t="s">
        <v>356</v>
      </c>
      <c r="D345" s="6" t="s">
        <v>364</v>
      </c>
      <c r="E345" s="27" t="n">
        <f aca="false" ca="true" dt2D="false" dtr="false" t="normal">SUBTOTAL(9, F345:T345)</f>
        <v>9645371.620000001</v>
      </c>
      <c r="F345" s="18" t="n"/>
      <c r="G345" s="18" t="n"/>
      <c r="H345" s="18" t="n">
        <v>1203384.4</v>
      </c>
      <c r="I345" s="18" t="n"/>
      <c r="J345" s="18" t="n">
        <v>0</v>
      </c>
      <c r="K345" s="18" t="n"/>
      <c r="L345" s="18" t="n"/>
      <c r="M345" s="18" t="n">
        <v>0</v>
      </c>
      <c r="N345" s="18" t="n"/>
      <c r="O345" s="18" t="n">
        <v>0</v>
      </c>
      <c r="P345" s="18" t="n">
        <v>8441987.22</v>
      </c>
      <c r="Q345" s="18" t="n"/>
      <c r="R345" s="18" t="n"/>
      <c r="S345" s="18" t="n"/>
      <c r="T345" s="191" t="n"/>
    </row>
    <row outlineLevel="0" r="346">
      <c r="A346" s="331" t="n">
        <f aca="false" ca="false" dt2D="false" dtr="false" t="normal">+A345+1</f>
        <v>330</v>
      </c>
      <c r="B346" s="6" t="n">
        <f aca="false" ca="false" dt2D="false" dtr="false" t="normal">+B345+1</f>
        <v>142</v>
      </c>
      <c r="C346" s="138" t="s">
        <v>356</v>
      </c>
      <c r="D346" s="6" t="s">
        <v>625</v>
      </c>
      <c r="E346" s="203" t="n">
        <f aca="false" ca="true" dt2D="false" dtr="false" t="normal">SUBTOTAL(9, F346:T346)</f>
        <v>8377348.360000001</v>
      </c>
      <c r="F346" s="18" t="n"/>
      <c r="G346" s="18" t="n"/>
      <c r="H346" s="18" t="n">
        <v>1619194.32</v>
      </c>
      <c r="I346" s="18" t="n"/>
      <c r="J346" s="18" t="n">
        <v>0</v>
      </c>
      <c r="K346" s="18" t="n"/>
      <c r="L346" s="18" t="n"/>
      <c r="M346" s="18" t="n">
        <v>0</v>
      </c>
      <c r="N346" s="18" t="n">
        <v>5914808.48</v>
      </c>
      <c r="O346" s="18" t="n">
        <v>0</v>
      </c>
      <c r="P346" s="18" t="n">
        <v>0</v>
      </c>
      <c r="Q346" s="18" t="n">
        <v>843345.56</v>
      </c>
      <c r="R346" s="18" t="n"/>
      <c r="S346" s="18" t="n"/>
      <c r="T346" s="191" t="n"/>
    </row>
    <row outlineLevel="0" r="347">
      <c r="A347" s="331" t="n">
        <f aca="false" ca="false" dt2D="false" dtr="false" t="normal">+A346+1</f>
        <v>331</v>
      </c>
      <c r="B347" s="6" t="n">
        <f aca="false" ca="false" dt2D="false" dtr="false" t="normal">+B346+1</f>
        <v>143</v>
      </c>
      <c r="C347" s="138" t="s">
        <v>93</v>
      </c>
      <c r="D347" s="6" t="s">
        <v>94</v>
      </c>
      <c r="E347" s="203" t="n">
        <f aca="false" ca="true" dt2D="false" dtr="false" t="normal">SUBTOTAL(9, F347:T347)</f>
        <v>7075919.609999999</v>
      </c>
      <c r="F347" s="18" t="n"/>
      <c r="G347" s="18" t="n"/>
      <c r="H347" s="18" t="n">
        <v>6760576.64</v>
      </c>
      <c r="I347" s="18" t="n"/>
      <c r="J347" s="18" t="n">
        <v>0</v>
      </c>
      <c r="K347" s="18" t="n"/>
      <c r="L347" s="18" t="n"/>
      <c r="M347" s="18" t="n"/>
      <c r="N347" s="18" t="n">
        <v>0</v>
      </c>
      <c r="O347" s="18" t="n">
        <v>0</v>
      </c>
      <c r="P347" s="18" t="n"/>
      <c r="Q347" s="18" t="n">
        <v>0</v>
      </c>
      <c r="R347" s="18" t="n">
        <v>312485.83</v>
      </c>
      <c r="S347" s="18" t="n">
        <v>2857.14</v>
      </c>
      <c r="T347" s="191" t="n"/>
    </row>
    <row outlineLevel="0" r="348">
      <c r="A348" s="331" t="n">
        <f aca="false" ca="false" dt2D="false" dtr="false" t="normal">+A347+1</f>
        <v>332</v>
      </c>
      <c r="B348" s="6" t="n">
        <f aca="false" ca="false" dt2D="false" dtr="false" t="normal">+B347+1</f>
        <v>144</v>
      </c>
      <c r="C348" s="138" t="s">
        <v>93</v>
      </c>
      <c r="D348" s="6" t="s">
        <v>103</v>
      </c>
      <c r="E348" s="27" t="n">
        <f aca="false" ca="true" dt2D="false" dtr="false" t="normal">SUBTOTAL(9, F348:T348)</f>
        <v>2729687.92</v>
      </c>
      <c r="F348" s="18" t="n"/>
      <c r="G348" s="18" t="n"/>
      <c r="H348" s="18" t="n"/>
      <c r="I348" s="18" t="n"/>
      <c r="J348" s="18" t="n">
        <v>0</v>
      </c>
      <c r="K348" s="18" t="n"/>
      <c r="L348" s="18" t="n"/>
      <c r="M348" s="18" t="n">
        <v>0</v>
      </c>
      <c r="N348" s="18" t="n"/>
      <c r="O348" s="18" t="n">
        <v>0</v>
      </c>
      <c r="P348" s="18" t="n">
        <v>0</v>
      </c>
      <c r="Q348" s="18" t="n">
        <v>2729687.92</v>
      </c>
      <c r="R348" s="18" t="n"/>
      <c r="S348" s="18" t="n"/>
      <c r="T348" s="191" t="n"/>
    </row>
    <row outlineLevel="0" r="349">
      <c r="A349" s="331" t="n">
        <f aca="false" ca="false" dt2D="false" dtr="false" t="normal">+A348+1</f>
        <v>333</v>
      </c>
      <c r="B349" s="6" t="n">
        <f aca="false" ca="false" dt2D="false" dtr="false" t="normal">+B348+1</f>
        <v>145</v>
      </c>
      <c r="C349" s="138" t="s">
        <v>93</v>
      </c>
      <c r="D349" s="6" t="s">
        <v>106</v>
      </c>
      <c r="E349" s="27" t="n">
        <f aca="false" ca="true" dt2D="false" dtr="false" t="normal">SUBTOTAL(9, F349:T349)</f>
        <v>9222273.99</v>
      </c>
      <c r="F349" s="18" t="n"/>
      <c r="H349" s="18" t="n"/>
      <c r="I349" s="18" t="n"/>
      <c r="J349" s="18" t="n"/>
      <c r="K349" s="18" t="n"/>
      <c r="L349" s="18" t="n"/>
      <c r="M349" s="18" t="n">
        <v>0</v>
      </c>
      <c r="N349" s="18" t="n"/>
      <c r="O349" s="18" t="n">
        <v>0</v>
      </c>
      <c r="P349" s="18" t="n"/>
      <c r="Q349" s="18" t="n">
        <v>9222273.99</v>
      </c>
      <c r="R349" s="18" t="n"/>
      <c r="S349" s="18" t="n"/>
      <c r="T349" s="191" t="n"/>
    </row>
    <row outlineLevel="0" r="350">
      <c r="A350" s="331" t="n">
        <f aca="false" ca="false" dt2D="false" dtr="false" t="normal">+A349+1</f>
        <v>334</v>
      </c>
      <c r="B350" s="6" t="n">
        <f aca="false" ca="false" dt2D="false" dtr="false" t="normal">+B349+1</f>
        <v>146</v>
      </c>
      <c r="C350" s="138" t="s">
        <v>93</v>
      </c>
      <c r="D350" s="6" t="s">
        <v>387</v>
      </c>
      <c r="E350" s="27" t="n">
        <f aca="false" ca="true" dt2D="false" dtr="false" t="normal">SUBTOTAL(9, F350:T350)</f>
        <v>7376207.09</v>
      </c>
      <c r="F350" s="18" t="n">
        <v>7298871.85</v>
      </c>
      <c r="G350" s="18" t="n"/>
      <c r="H350" s="18" t="n"/>
      <c r="I350" s="18" t="n"/>
      <c r="J350" s="18" t="n"/>
      <c r="K350" s="18" t="n"/>
      <c r="L350" s="18" t="n"/>
      <c r="M350" s="18" t="n">
        <v>0</v>
      </c>
      <c r="N350" s="18" t="n">
        <v>0</v>
      </c>
      <c r="O350" s="18" t="n">
        <v>0</v>
      </c>
      <c r="P350" s="18" t="n">
        <v>0</v>
      </c>
      <c r="Q350" s="18" t="n"/>
      <c r="R350" s="18" t="n"/>
      <c r="S350" s="18" t="n"/>
      <c r="T350" s="191" t="n">
        <v>77335.24</v>
      </c>
    </row>
    <row outlineLevel="0" r="351">
      <c r="A351" s="331" t="n">
        <f aca="false" ca="false" dt2D="false" dtr="false" t="normal">+A350+1</f>
        <v>335</v>
      </c>
      <c r="B351" s="6" t="n">
        <f aca="false" ca="false" dt2D="false" dtr="false" t="normal">+B350+1</f>
        <v>147</v>
      </c>
      <c r="C351" s="138" t="s">
        <v>93</v>
      </c>
      <c r="D351" s="6" t="s">
        <v>386</v>
      </c>
      <c r="E351" s="27" t="n">
        <f aca="false" ca="true" dt2D="false" dtr="false" t="normal">SUBTOTAL(9, F351:T351)</f>
        <v>28409546.349999998</v>
      </c>
      <c r="F351" s="18" t="n">
        <v>16253478.92</v>
      </c>
      <c r="G351" s="18" t="n"/>
      <c r="H351" s="18" t="n">
        <v>5982768.16</v>
      </c>
      <c r="I351" s="18" t="n">
        <v>6173299.27</v>
      </c>
      <c r="J351" s="18" t="n">
        <v>0</v>
      </c>
      <c r="K351" s="18" t="n"/>
      <c r="L351" s="18" t="n"/>
      <c r="M351" s="18" t="n">
        <v>0</v>
      </c>
      <c r="N351" s="18" t="n">
        <v>0</v>
      </c>
      <c r="O351" s="18" t="n">
        <v>0</v>
      </c>
      <c r="P351" s="18" t="n">
        <v>0</v>
      </c>
      <c r="Q351" s="18" t="n"/>
      <c r="R351" s="18" t="n"/>
      <c r="S351" s="18" t="n"/>
      <c r="T351" s="191" t="n"/>
    </row>
    <row outlineLevel="0" r="352">
      <c r="A352" s="331" t="n">
        <f aca="false" ca="false" dt2D="false" dtr="false" t="normal">+A351+1</f>
        <v>336</v>
      </c>
      <c r="B352" s="6" t="n">
        <f aca="false" ca="false" dt2D="false" dtr="false" t="normal">+B351+1</f>
        <v>148</v>
      </c>
      <c r="C352" s="138" t="s">
        <v>93</v>
      </c>
      <c r="D352" s="6" t="s">
        <v>112</v>
      </c>
      <c r="E352" s="27" t="n">
        <f aca="false" ca="true" dt2D="false" dtr="false" t="normal">SUBTOTAL(9, F352:T352)</f>
        <v>2120543.06</v>
      </c>
      <c r="F352" s="18" t="n"/>
      <c r="G352" s="18" t="n"/>
      <c r="H352" s="18" t="n"/>
      <c r="I352" s="18" t="n"/>
      <c r="J352" s="18" t="n"/>
      <c r="K352" s="18" t="n"/>
      <c r="L352" s="18" t="n"/>
      <c r="M352" s="18" t="n">
        <v>0</v>
      </c>
      <c r="N352" s="18" t="n">
        <v>0</v>
      </c>
      <c r="O352" s="18" t="n">
        <v>0</v>
      </c>
      <c r="P352" s="18" t="n">
        <v>2120543.06</v>
      </c>
      <c r="Q352" s="18" t="n"/>
      <c r="R352" s="18" t="n"/>
      <c r="S352" s="18" t="n"/>
      <c r="T352" s="191" t="n"/>
    </row>
    <row outlineLevel="0" r="353">
      <c r="A353" s="331" t="n">
        <f aca="false" ca="false" dt2D="false" dtr="false" t="normal">+A352+1</f>
        <v>337</v>
      </c>
      <c r="B353" s="6" t="n">
        <f aca="false" ca="false" dt2D="false" dtr="false" t="normal">+B352+1</f>
        <v>149</v>
      </c>
      <c r="C353" s="138" t="s">
        <v>114</v>
      </c>
      <c r="D353" s="6" t="s">
        <v>115</v>
      </c>
      <c r="E353" s="27" t="n">
        <f aca="false" ca="true" dt2D="false" dtr="false" t="normal">SUBTOTAL(9, F353:T353)</f>
        <v>9484647.87</v>
      </c>
      <c r="F353" s="18" t="n"/>
      <c r="G353" s="18" t="n"/>
      <c r="H353" s="18" t="n"/>
      <c r="I353" s="18" t="n"/>
      <c r="J353" s="18" t="n"/>
      <c r="K353" s="18" t="n"/>
      <c r="L353" s="18" t="n"/>
      <c r="M353" s="18" t="n">
        <v>0</v>
      </c>
      <c r="N353" s="18" t="n">
        <v>9484647.87</v>
      </c>
      <c r="O353" s="18" t="n">
        <v>0</v>
      </c>
      <c r="P353" s="18" t="n">
        <v>0</v>
      </c>
      <c r="Q353" s="18" t="n">
        <v>0</v>
      </c>
      <c r="R353" s="18" t="n"/>
      <c r="S353" s="18" t="n"/>
      <c r="T353" s="191" t="n"/>
    </row>
    <row outlineLevel="0" r="354">
      <c r="A354" s="331" t="n">
        <f aca="false" ca="false" dt2D="false" dtr="false" t="normal">+A353+1</f>
        <v>338</v>
      </c>
      <c r="B354" s="6" t="n">
        <f aca="false" ca="false" dt2D="false" dtr="false" t="normal">+B353+1</f>
        <v>150</v>
      </c>
      <c r="C354" s="138" t="s">
        <v>133</v>
      </c>
      <c r="D354" s="6" t="s">
        <v>537</v>
      </c>
      <c r="E354" s="27" t="n">
        <f aca="false" ca="true" dt2D="false" dtr="false" t="normal">SUBTOTAL(9, F354:T354)</f>
        <v>1830078.26</v>
      </c>
      <c r="F354" s="18" t="n"/>
      <c r="G354" s="18" t="n"/>
      <c r="H354" s="18" t="n">
        <v>1830078.26</v>
      </c>
      <c r="I354" s="18" t="n"/>
      <c r="J354" s="18" t="n">
        <v>0</v>
      </c>
      <c r="K354" s="18" t="n"/>
      <c r="L354" s="18" t="n"/>
      <c r="M354" s="18" t="n">
        <v>0</v>
      </c>
      <c r="N354" s="18" t="n">
        <v>0</v>
      </c>
      <c r="O354" s="18" t="n">
        <v>0</v>
      </c>
      <c r="P354" s="18" t="n"/>
      <c r="Q354" s="18" t="n">
        <v>0</v>
      </c>
      <c r="R354" s="18" t="n"/>
      <c r="S354" s="18" t="n"/>
      <c r="T354" s="191" t="n"/>
    </row>
    <row outlineLevel="0" r="355">
      <c r="A355" s="331" t="n">
        <f aca="false" ca="false" dt2D="false" dtr="false" t="normal">+A354+1</f>
        <v>339</v>
      </c>
      <c r="B355" s="6" t="n">
        <f aca="false" ca="false" dt2D="false" dtr="false" t="normal">+B354+1</f>
        <v>151</v>
      </c>
      <c r="C355" s="138" t="s">
        <v>541</v>
      </c>
      <c r="D355" s="6" t="s">
        <v>635</v>
      </c>
      <c r="E355" s="27" t="n">
        <f aca="false" ca="true" dt2D="false" dtr="false" t="normal">SUBTOTAL(9, F355:T355)</f>
        <v>2603999.18</v>
      </c>
      <c r="F355" s="18" t="n"/>
      <c r="G355" s="18" t="n">
        <v>751912.8</v>
      </c>
      <c r="H355" s="18" t="n">
        <v>1650658.8</v>
      </c>
      <c r="I355" s="18" t="n"/>
      <c r="J355" s="18" t="n">
        <v>0</v>
      </c>
      <c r="K355" s="18" t="n"/>
      <c r="L355" s="18" t="n"/>
      <c r="M355" s="18" t="n"/>
      <c r="N355" s="18" t="n"/>
      <c r="O355" s="18" t="n"/>
      <c r="P355" s="18" t="n"/>
      <c r="Q355" s="18" t="n"/>
      <c r="R355" s="18" t="n">
        <v>196427.58</v>
      </c>
      <c r="S355" s="18" t="n">
        <v>5000</v>
      </c>
      <c r="T355" s="191" t="n"/>
    </row>
    <row outlineLevel="0" r="356">
      <c r="A356" s="331" t="n">
        <f aca="false" ca="false" dt2D="false" dtr="false" t="normal">+A355+1</f>
        <v>340</v>
      </c>
      <c r="B356" s="6" t="n">
        <f aca="false" ca="false" dt2D="false" dtr="false" t="normal">+B355+1</f>
        <v>152</v>
      </c>
      <c r="C356" s="138" t="s">
        <v>541</v>
      </c>
      <c r="D356" s="6" t="s">
        <v>637</v>
      </c>
      <c r="E356" s="27" t="n">
        <f aca="false" ca="true" dt2D="false" dtr="false" t="normal">SUBTOTAL(9, F356:T356)</f>
        <v>6615764.22</v>
      </c>
      <c r="F356" s="18" t="n">
        <v>3671016.16</v>
      </c>
      <c r="G356" s="18" t="n">
        <v>553302</v>
      </c>
      <c r="H356" s="18" t="n">
        <v>1993290</v>
      </c>
      <c r="I356" s="18" t="n"/>
      <c r="J356" s="18" t="n"/>
      <c r="K356" s="18" t="n"/>
      <c r="L356" s="18" t="n"/>
      <c r="M356" s="18" t="n"/>
      <c r="N356" s="18" t="n"/>
      <c r="O356" s="18" t="n"/>
      <c r="P356" s="18" t="n"/>
      <c r="Q356" s="18" t="n"/>
      <c r="R356" s="18" t="n">
        <v>390656.06</v>
      </c>
      <c r="S356" s="18" t="n">
        <v>7500</v>
      </c>
      <c r="T356" s="191" t="n"/>
    </row>
    <row outlineLevel="0" r="357">
      <c r="A357" s="331" t="n">
        <f aca="false" ca="false" dt2D="false" dtr="false" t="normal">+A356+1</f>
        <v>341</v>
      </c>
      <c r="B357" s="6" t="n">
        <f aca="false" ca="false" dt2D="false" dtr="false" t="normal">+B356+1</f>
        <v>153</v>
      </c>
      <c r="C357" s="138" t="s">
        <v>541</v>
      </c>
      <c r="D357" s="6" t="s">
        <v>639</v>
      </c>
      <c r="E357" s="27" t="n">
        <f aca="false" ca="true" dt2D="false" dtr="false" t="normal">SUBTOTAL(9, F357:T357)</f>
        <v>17328320.75</v>
      </c>
      <c r="F357" s="18" t="n">
        <v>4837764.19</v>
      </c>
      <c r="G357" s="18" t="n">
        <v>1918622.4</v>
      </c>
      <c r="H357" s="18" t="n">
        <v>1933540.8</v>
      </c>
      <c r="I357" s="18" t="n"/>
      <c r="J357" s="18" t="n"/>
      <c r="K357" s="18" t="n"/>
      <c r="L357" s="18" t="n"/>
      <c r="M357" s="18" t="n"/>
      <c r="N357" s="18" t="n"/>
      <c r="O357" s="18" t="n"/>
      <c r="P357" s="18" t="n"/>
      <c r="Q357" s="18" t="n">
        <v>8046351.6</v>
      </c>
      <c r="R357" s="18" t="n">
        <v>582041.76</v>
      </c>
      <c r="S357" s="18" t="n">
        <v>10000</v>
      </c>
      <c r="T357" s="191" t="n"/>
    </row>
    <row outlineLevel="0" r="358">
      <c r="A358" s="331" t="n">
        <f aca="false" ca="false" dt2D="false" dtr="false" t="normal">+A357+1</f>
        <v>342</v>
      </c>
      <c r="B358" s="6" t="n">
        <f aca="false" ca="false" dt2D="false" dtr="false" t="normal">+B357+1</f>
        <v>154</v>
      </c>
      <c r="C358" s="138" t="s">
        <v>541</v>
      </c>
      <c r="D358" s="6" t="s">
        <v>542</v>
      </c>
      <c r="E358" s="27" t="n">
        <f aca="false" ca="true" dt2D="false" dtr="false" t="normal">SUBTOTAL(9, F358:T358)</f>
        <v>18898820.96</v>
      </c>
      <c r="F358" s="18" t="n">
        <v>3853039.2</v>
      </c>
      <c r="G358" s="18" t="n">
        <v>1198699.2</v>
      </c>
      <c r="H358" s="18" t="n">
        <v>1829712</v>
      </c>
      <c r="I358" s="18" t="n"/>
      <c r="J358" s="18" t="n"/>
      <c r="K358" s="18" t="n"/>
      <c r="L358" s="18" t="n"/>
      <c r="M358" s="18" t="n"/>
      <c r="N358" s="18" t="n"/>
      <c r="O358" s="18" t="n"/>
      <c r="P358" s="18" t="n"/>
      <c r="Q358" s="18" t="n">
        <v>11256530.4</v>
      </c>
      <c r="R358" s="18" t="n">
        <v>751240.16</v>
      </c>
      <c r="S358" s="18" t="n">
        <v>9600</v>
      </c>
      <c r="T358" s="191" t="n"/>
    </row>
    <row outlineLevel="0" r="359">
      <c r="A359" s="331" t="n">
        <f aca="false" ca="false" dt2D="false" dtr="false" t="normal">+A358+1</f>
        <v>343</v>
      </c>
      <c r="B359" s="6" t="n">
        <f aca="false" ca="false" dt2D="false" dtr="false" t="normal">+B358+1</f>
        <v>155</v>
      </c>
      <c r="C359" s="138" t="s">
        <v>541</v>
      </c>
      <c r="D359" s="6" t="s">
        <v>642</v>
      </c>
      <c r="E359" s="27" t="n">
        <f aca="false" ca="true" dt2D="false" dtr="false" t="normal">SUBTOTAL(9, F359:T359)</f>
        <v>8140752.16</v>
      </c>
      <c r="F359" s="18" t="n"/>
      <c r="G359" s="18" t="n"/>
      <c r="H359" s="18" t="n"/>
      <c r="I359" s="18" t="n"/>
      <c r="J359" s="18" t="n"/>
      <c r="K359" s="18" t="n"/>
      <c r="L359" s="18" t="n"/>
      <c r="M359" s="18" t="n"/>
      <c r="N359" s="18" t="n">
        <v>7901132.4</v>
      </c>
      <c r="O359" s="18" t="n"/>
      <c r="P359" s="18" t="n"/>
      <c r="Q359" s="18" t="n"/>
      <c r="R359" s="18" t="n">
        <v>231619.76</v>
      </c>
      <c r="S359" s="18" t="n">
        <v>8000</v>
      </c>
      <c r="T359" s="191" t="n"/>
    </row>
    <row outlineLevel="0" r="360">
      <c r="A360" s="331" t="n">
        <f aca="false" ca="false" dt2D="false" dtr="false" t="normal">+A359+1</f>
        <v>344</v>
      </c>
      <c r="B360" s="6" t="n">
        <f aca="false" ca="false" dt2D="false" dtr="false" t="normal">+B359+1</f>
        <v>156</v>
      </c>
      <c r="C360" s="138" t="s">
        <v>541</v>
      </c>
      <c r="D360" s="6" t="s">
        <v>544</v>
      </c>
      <c r="E360" s="27" t="n">
        <f aca="false" ca="true" dt2D="false" dtr="false" t="normal">SUBTOTAL(9, F360:T360)</f>
        <v>24916959.259999998</v>
      </c>
      <c r="F360" s="18" t="n">
        <v>2354587.2</v>
      </c>
      <c r="G360" s="18" t="n">
        <v>1865384.4</v>
      </c>
      <c r="H360" s="18" t="n">
        <v>2468315.46</v>
      </c>
      <c r="I360" s="18" t="n"/>
      <c r="J360" s="18" t="n"/>
      <c r="K360" s="18" t="n"/>
      <c r="L360" s="18" t="n"/>
      <c r="M360" s="18" t="n"/>
      <c r="N360" s="18" t="n">
        <v>6202495.2</v>
      </c>
      <c r="O360" s="18" t="n"/>
      <c r="P360" s="18" t="n">
        <v>11009160.29</v>
      </c>
      <c r="Q360" s="18" t="n"/>
      <c r="R360" s="18" t="n">
        <v>1007016.71</v>
      </c>
      <c r="S360" s="18" t="n">
        <v>10000</v>
      </c>
      <c r="T360" s="191" t="n"/>
    </row>
    <row outlineLevel="0" r="361">
      <c r="A361" s="331" t="n">
        <f aca="false" ca="false" dt2D="false" dtr="false" t="normal">+A360+1</f>
        <v>345</v>
      </c>
      <c r="B361" s="6" t="n">
        <f aca="false" ca="false" dt2D="false" dtr="false" t="normal">+B360+1</f>
        <v>157</v>
      </c>
      <c r="C361" s="138" t="s">
        <v>757</v>
      </c>
      <c r="D361" s="6" t="s">
        <v>644</v>
      </c>
      <c r="E361" s="203" t="n">
        <f aca="false" ca="true" dt2D="false" dtr="false" t="normal">SUBTOTAL(9, F361:T361)</f>
        <v>7749923.51</v>
      </c>
      <c r="F361" s="18" t="n"/>
      <c r="G361" s="18" t="n"/>
      <c r="H361" s="18" t="n"/>
      <c r="I361" s="18" t="n"/>
      <c r="J361" s="18" t="n"/>
      <c r="K361" s="18" t="n"/>
      <c r="L361" s="18" t="n"/>
      <c r="M361" s="18" t="n"/>
      <c r="N361" s="18" t="n"/>
      <c r="O361" s="18" t="n"/>
      <c r="P361" s="18" t="n"/>
      <c r="Q361" s="18" t="n">
        <v>7460881.2</v>
      </c>
      <c r="R361" s="18" t="n">
        <v>265042.31</v>
      </c>
      <c r="S361" s="18" t="n">
        <v>24000</v>
      </c>
      <c r="T361" s="191" t="n"/>
    </row>
    <row outlineLevel="0" r="362">
      <c r="A362" s="331" t="n">
        <f aca="false" ca="false" dt2D="false" dtr="false" t="normal">+A361+1</f>
        <v>346</v>
      </c>
      <c r="B362" s="6" t="n">
        <f aca="false" ca="false" dt2D="false" dtr="false" t="normal">+B361+1</f>
        <v>158</v>
      </c>
      <c r="C362" s="138" t="s">
        <v>757</v>
      </c>
      <c r="D362" s="6" t="s">
        <v>646</v>
      </c>
      <c r="E362" s="203" t="n">
        <f aca="false" ca="true" dt2D="false" dtr="false" t="normal">SUBTOTAL(9, F362:T362)</f>
        <v>6034759.850000001</v>
      </c>
      <c r="F362" s="18" t="n"/>
      <c r="G362" s="18" t="n"/>
      <c r="H362" s="18" t="n"/>
      <c r="I362" s="18" t="n"/>
      <c r="J362" s="18" t="n"/>
      <c r="K362" s="18" t="n"/>
      <c r="L362" s="18" t="n"/>
      <c r="M362" s="18" t="n"/>
      <c r="N362" s="18" t="n"/>
      <c r="O362" s="18" t="n"/>
      <c r="P362" s="18" t="n"/>
      <c r="Q362" s="18" t="n">
        <v>5755369.2</v>
      </c>
      <c r="R362" s="18" t="n">
        <v>255390.65</v>
      </c>
      <c r="S362" s="18" t="n">
        <v>24000</v>
      </c>
      <c r="T362" s="191" t="n"/>
    </row>
    <row outlineLevel="0" r="363">
      <c r="A363" s="331" t="n">
        <f aca="false" ca="false" dt2D="false" dtr="false" t="normal">+A362+1</f>
        <v>347</v>
      </c>
      <c r="B363" s="6" t="n">
        <f aca="false" ca="false" dt2D="false" dtr="false" t="normal">+B362+1</f>
        <v>159</v>
      </c>
      <c r="C363" s="138" t="s">
        <v>405</v>
      </c>
      <c r="D363" s="6" t="s">
        <v>547</v>
      </c>
      <c r="E363" s="27" t="n">
        <f aca="false" ca="true" dt2D="false" dtr="false" t="normal">SUBTOTAL(9, F363:T363)</f>
        <v>8204171.4799999995</v>
      </c>
      <c r="F363" s="18" t="n"/>
      <c r="G363" s="18" t="n"/>
      <c r="H363" s="18" t="n">
        <v>1019979.61</v>
      </c>
      <c r="I363" s="18" t="n"/>
      <c r="J363" s="18" t="n">
        <v>0</v>
      </c>
      <c r="K363" s="18" t="n"/>
      <c r="L363" s="18" t="n"/>
      <c r="M363" s="18" t="n">
        <v>0</v>
      </c>
      <c r="N363" s="18" t="n">
        <v>6953406.85</v>
      </c>
      <c r="O363" s="18" t="n">
        <v>0</v>
      </c>
      <c r="P363" s="18" t="n">
        <v>0</v>
      </c>
      <c r="Q363" s="18" t="n">
        <v>0</v>
      </c>
      <c r="R363" s="18" t="n">
        <v>200943.02</v>
      </c>
      <c r="S363" s="18" t="n">
        <v>29842</v>
      </c>
      <c r="T363" s="191" t="n"/>
    </row>
    <row outlineLevel="0" r="364">
      <c r="A364" s="331" t="n">
        <f aca="false" ca="false" dt2D="false" dtr="false" t="normal">+A363+1</f>
        <v>348</v>
      </c>
      <c r="B364" s="6" t="n">
        <f aca="false" ca="false" dt2D="false" dtr="false" t="normal">+B363+1</f>
        <v>160</v>
      </c>
      <c r="C364" s="138" t="s">
        <v>552</v>
      </c>
      <c r="D364" s="138" t="s">
        <v>558</v>
      </c>
      <c r="E364" s="203" t="n">
        <f aca="false" ca="true" dt2D="false" dtr="false" t="normal">SUBTOTAL(9, F364:T364)</f>
        <v>2212764.58</v>
      </c>
      <c r="F364" s="18" t="n"/>
      <c r="G364" s="18" t="n">
        <v>0</v>
      </c>
      <c r="H364" s="18" t="n"/>
      <c r="I364" s="18" t="n"/>
      <c r="J364" s="18" t="n">
        <v>0</v>
      </c>
      <c r="K364" s="18" t="n"/>
      <c r="L364" s="18" t="n"/>
      <c r="M364" s="18" t="n">
        <v>0</v>
      </c>
      <c r="N364" s="18" t="n">
        <v>2212764.58</v>
      </c>
      <c r="O364" s="18" t="n">
        <v>0</v>
      </c>
      <c r="P364" s="18" t="n"/>
      <c r="Q364" s="18" t="n"/>
      <c r="R364" s="18" t="n"/>
      <c r="S364" s="18" t="n"/>
      <c r="T364" s="191" t="n"/>
    </row>
    <row outlineLevel="0" r="365">
      <c r="A365" s="331" t="n">
        <f aca="false" ca="false" dt2D="false" dtr="false" t="normal">+A364+1</f>
        <v>349</v>
      </c>
      <c r="B365" s="6" t="n">
        <f aca="false" ca="false" dt2D="false" dtr="false" t="normal">+B364+1</f>
        <v>161</v>
      </c>
      <c r="C365" s="138" t="s">
        <v>138</v>
      </c>
      <c r="D365" s="6" t="s">
        <v>650</v>
      </c>
      <c r="E365" s="203" t="n">
        <f aca="false" ca="true" dt2D="false" dtr="false" t="normal">SUBTOTAL(9, F365:T365)</f>
        <v>2847700.42</v>
      </c>
      <c r="F365" s="18" t="n">
        <v>0</v>
      </c>
      <c r="G365" s="18" t="n">
        <v>0</v>
      </c>
      <c r="H365" s="18" t="n"/>
      <c r="I365" s="18" t="n"/>
      <c r="J365" s="18" t="n"/>
      <c r="K365" s="18" t="n"/>
      <c r="L365" s="18" t="n"/>
      <c r="M365" s="18" t="n">
        <v>0</v>
      </c>
      <c r="N365" s="18" t="n">
        <v>0</v>
      </c>
      <c r="O365" s="18" t="n">
        <v>0</v>
      </c>
      <c r="P365" s="18" t="n">
        <v>0</v>
      </c>
      <c r="Q365" s="18" t="n">
        <v>2719951.1</v>
      </c>
      <c r="R365" s="18" t="n">
        <v>103749.32</v>
      </c>
      <c r="S365" s="18" t="n">
        <v>24000</v>
      </c>
      <c r="T365" s="191" t="n"/>
    </row>
    <row outlineLevel="0" r="366">
      <c r="A366" s="331" t="n">
        <f aca="false" ca="false" dt2D="false" dtr="false" t="normal">+A365+1</f>
        <v>350</v>
      </c>
      <c r="B366" s="6" t="n">
        <f aca="false" ca="false" dt2D="false" dtr="false" t="normal">+B365+1</f>
        <v>162</v>
      </c>
      <c r="C366" s="138" t="s">
        <v>138</v>
      </c>
      <c r="D366" s="6" t="s">
        <v>653</v>
      </c>
      <c r="E366" s="203" t="n">
        <f aca="false" ca="true" dt2D="false" dtr="false" t="normal">SUBTOTAL(9, F366:T366)</f>
        <v>10053149.61</v>
      </c>
      <c r="F366" s="18" t="n"/>
      <c r="G366" s="18" t="n"/>
      <c r="H366" s="18" t="n"/>
      <c r="I366" s="18" t="n"/>
      <c r="J366" s="18" t="n"/>
      <c r="K366" s="18" t="n"/>
      <c r="L366" s="18" t="n"/>
      <c r="M366" s="18" t="n"/>
      <c r="N366" s="18" t="n"/>
      <c r="O366" s="18" t="n"/>
      <c r="P366" s="18" t="n"/>
      <c r="Q366" s="18" t="n">
        <v>9759955.27</v>
      </c>
      <c r="R366" s="18" t="n">
        <v>269194.34</v>
      </c>
      <c r="S366" s="18" t="n">
        <v>24000</v>
      </c>
      <c r="T366" s="191" t="n"/>
    </row>
    <row outlineLevel="0" r="367">
      <c r="A367" s="331" t="n">
        <f aca="false" ca="false" dt2D="false" dtr="false" t="normal">+A366+1</f>
        <v>351</v>
      </c>
      <c r="B367" s="6" t="n">
        <f aca="false" ca="false" dt2D="false" dtr="false" t="normal">+B366+1</f>
        <v>163</v>
      </c>
      <c r="C367" s="138" t="s">
        <v>138</v>
      </c>
      <c r="D367" s="6" t="s">
        <v>655</v>
      </c>
      <c r="E367" s="27" t="n">
        <f aca="false" ca="true" dt2D="false" dtr="false" t="normal">SUBTOTAL(9, F367:T367)</f>
        <v>1611028.9</v>
      </c>
      <c r="F367" s="18" t="n">
        <v>0</v>
      </c>
      <c r="G367" s="18" t="n">
        <v>0</v>
      </c>
      <c r="H367" s="18" t="n">
        <v>0</v>
      </c>
      <c r="I367" s="18" t="n">
        <v>0</v>
      </c>
      <c r="J367" s="18" t="n">
        <v>1611028.9</v>
      </c>
      <c r="K367" s="18" t="n"/>
      <c r="L367" s="18" t="n"/>
      <c r="M367" s="18" t="n">
        <v>0</v>
      </c>
      <c r="N367" s="18" t="n">
        <v>0</v>
      </c>
      <c r="O367" s="18" t="n">
        <v>0</v>
      </c>
      <c r="P367" s="18" t="n">
        <v>0</v>
      </c>
      <c r="Q367" s="18" t="n">
        <v>0</v>
      </c>
      <c r="R367" s="18" t="n"/>
      <c r="S367" s="18" t="n"/>
      <c r="T367" s="191" t="n"/>
    </row>
    <row outlineLevel="0" r="368">
      <c r="A368" s="331" t="n">
        <f aca="false" ca="false" dt2D="false" dtr="false" t="normal">+A367+1</f>
        <v>352</v>
      </c>
      <c r="B368" s="6" t="n">
        <f aca="false" ca="false" dt2D="false" dtr="false" t="normal">+B367+1</f>
        <v>164</v>
      </c>
      <c r="C368" s="138" t="s">
        <v>138</v>
      </c>
      <c r="D368" s="6" t="s">
        <v>657</v>
      </c>
      <c r="E368" s="27" t="n">
        <f aca="false" ca="true" dt2D="false" dtr="false" t="normal">SUBTOTAL(9, F368:T368)</f>
        <v>2853099.65</v>
      </c>
      <c r="F368" s="18" t="n">
        <v>0</v>
      </c>
      <c r="G368" s="18" t="n">
        <v>0</v>
      </c>
      <c r="H368" s="18" t="n">
        <v>0</v>
      </c>
      <c r="I368" s="18" t="n">
        <v>0</v>
      </c>
      <c r="J368" s="18" t="n">
        <v>316916.15</v>
      </c>
      <c r="K368" s="18" t="n"/>
      <c r="L368" s="18" t="n"/>
      <c r="M368" s="18" t="n">
        <v>0</v>
      </c>
      <c r="N368" s="18" t="n">
        <v>0</v>
      </c>
      <c r="O368" s="18" t="n">
        <v>0</v>
      </c>
      <c r="P368" s="18" t="n">
        <v>0</v>
      </c>
      <c r="Q368" s="18" t="n">
        <v>2536183.5</v>
      </c>
      <c r="R368" s="18" t="n"/>
      <c r="S368" s="18" t="n"/>
      <c r="T368" s="191" t="n"/>
    </row>
    <row outlineLevel="0" r="369">
      <c r="A369" s="331" t="n">
        <f aca="false" ca="false" dt2D="false" dtr="false" t="normal">+A368+1</f>
        <v>353</v>
      </c>
      <c r="B369" s="6" t="n">
        <f aca="false" ca="false" dt2D="false" dtr="false" t="normal">+B368+1</f>
        <v>165</v>
      </c>
      <c r="C369" s="138" t="s">
        <v>138</v>
      </c>
      <c r="D369" s="6" t="s">
        <v>659</v>
      </c>
      <c r="E369" s="27" t="n">
        <f aca="false" ca="true" dt2D="false" dtr="false" t="normal">SUBTOTAL(9, F369:T369)</f>
        <v>2778863.9</v>
      </c>
      <c r="F369" s="18" t="n">
        <v>0</v>
      </c>
      <c r="G369" s="18" t="n">
        <v>0</v>
      </c>
      <c r="H369" s="18" t="n">
        <v>0</v>
      </c>
      <c r="I369" s="18" t="n">
        <v>0</v>
      </c>
      <c r="J369" s="18" t="n">
        <v>375448.21</v>
      </c>
      <c r="K369" s="18" t="n"/>
      <c r="L369" s="18" t="n"/>
      <c r="M369" s="18" t="n">
        <v>0</v>
      </c>
      <c r="N369" s="18" t="n">
        <v>0</v>
      </c>
      <c r="O369" s="18" t="n">
        <v>0</v>
      </c>
      <c r="P369" s="18" t="n">
        <v>0</v>
      </c>
      <c r="Q369" s="18" t="n">
        <v>2403415.69</v>
      </c>
      <c r="R369" s="18" t="n"/>
      <c r="S369" s="18" t="n"/>
      <c r="T369" s="191" t="n"/>
    </row>
    <row outlineLevel="0" r="370">
      <c r="A370" s="331" t="n">
        <f aca="false" ca="false" dt2D="false" dtr="false" t="normal">+A369+1</f>
        <v>354</v>
      </c>
      <c r="B370" s="6" t="n">
        <f aca="false" ca="false" dt2D="false" dtr="false" t="normal">+B369+1</f>
        <v>166</v>
      </c>
      <c r="C370" s="138" t="s">
        <v>141</v>
      </c>
      <c r="D370" s="6" t="s">
        <v>662</v>
      </c>
      <c r="E370" s="27" t="n">
        <f aca="false" ca="true" dt2D="false" dtr="false" t="normal">SUBTOTAL(9, F370:T370)</f>
        <v>1097350.65</v>
      </c>
      <c r="F370" s="18" t="n">
        <v>0</v>
      </c>
      <c r="G370" s="18" t="n">
        <v>0</v>
      </c>
      <c r="H370" s="18" t="n">
        <v>0</v>
      </c>
      <c r="I370" s="18" t="n">
        <v>0</v>
      </c>
      <c r="J370" s="18" t="n"/>
      <c r="K370" s="18" t="n"/>
      <c r="L370" s="18" t="n"/>
      <c r="M370" s="18" t="n">
        <v>0</v>
      </c>
      <c r="N370" s="18" t="n">
        <v>0</v>
      </c>
      <c r="O370" s="18" t="n">
        <v>0</v>
      </c>
      <c r="P370" s="18" t="n">
        <v>0</v>
      </c>
      <c r="Q370" s="18" t="n">
        <v>1097350.65</v>
      </c>
      <c r="R370" s="18" t="n"/>
      <c r="S370" s="18" t="n"/>
      <c r="T370" s="191" t="n"/>
    </row>
    <row outlineLevel="0" r="371">
      <c r="A371" s="331" t="n">
        <f aca="false" ca="false" dt2D="false" dtr="false" t="normal">+A370+1</f>
        <v>355</v>
      </c>
      <c r="B371" s="6" t="n">
        <f aca="false" ca="false" dt2D="false" dtr="false" t="normal">+B370+1</f>
        <v>167</v>
      </c>
      <c r="C371" s="138" t="s">
        <v>141</v>
      </c>
      <c r="D371" s="6" t="s">
        <v>448</v>
      </c>
      <c r="E371" s="27" t="n">
        <f aca="false" ca="true" dt2D="false" dtr="false" t="normal">SUBTOTAL(9, F371:T371)</f>
        <v>6360000</v>
      </c>
      <c r="F371" s="18" t="n">
        <v>0</v>
      </c>
      <c r="G371" s="18" t="n">
        <v>0</v>
      </c>
      <c r="H371" s="18" t="n">
        <v>0</v>
      </c>
      <c r="I371" s="18" t="n">
        <v>0</v>
      </c>
      <c r="J371" s="18" t="n"/>
      <c r="K371" s="18" t="n"/>
      <c r="L371" s="18" t="n"/>
      <c r="M371" s="18" t="n">
        <v>0</v>
      </c>
      <c r="N371" s="18" t="n">
        <v>0</v>
      </c>
      <c r="O371" s="18" t="n">
        <v>0</v>
      </c>
      <c r="P371" s="18" t="n"/>
      <c r="Q371" s="18" t="n">
        <v>6360000</v>
      </c>
      <c r="R371" s="18" t="n"/>
      <c r="S371" s="18" t="n"/>
      <c r="T371" s="191" t="n"/>
    </row>
    <row outlineLevel="0" r="372">
      <c r="A372" s="331" t="n">
        <f aca="false" ca="false" dt2D="false" dtr="false" t="normal">+A371+1</f>
        <v>356</v>
      </c>
      <c r="B372" s="6" t="n">
        <f aca="false" ca="false" dt2D="false" dtr="false" t="normal">+B371+1</f>
        <v>168</v>
      </c>
      <c r="C372" s="138" t="s">
        <v>141</v>
      </c>
      <c r="D372" s="6" t="s">
        <v>446</v>
      </c>
      <c r="E372" s="27" t="n">
        <f aca="false" ca="true" dt2D="false" dtr="false" t="normal">SUBTOTAL(9, F372:T372)</f>
        <v>530082.84</v>
      </c>
      <c r="F372" s="18" t="n"/>
      <c r="G372" s="18" t="n"/>
      <c r="H372" s="18" t="n"/>
      <c r="I372" s="18" t="n"/>
      <c r="J372" s="18" t="n">
        <v>530082.84</v>
      </c>
      <c r="K372" s="18" t="n"/>
      <c r="L372" s="18" t="n"/>
      <c r="M372" s="18" t="n">
        <v>0</v>
      </c>
      <c r="N372" s="18" t="n">
        <v>0</v>
      </c>
      <c r="O372" s="18" t="n">
        <v>0</v>
      </c>
      <c r="P372" s="18" t="n">
        <v>0</v>
      </c>
      <c r="Q372" s="18" t="n">
        <v>0</v>
      </c>
      <c r="R372" s="18" t="n"/>
      <c r="S372" s="18" t="n"/>
      <c r="T372" s="191" t="n"/>
    </row>
    <row outlineLevel="0" r="373">
      <c r="A373" s="331" t="n">
        <f aca="false" ca="false" dt2D="false" dtr="false" t="normal">+A372+1</f>
        <v>357</v>
      </c>
      <c r="B373" s="6" t="n">
        <f aca="false" ca="false" dt2D="false" dtr="false" t="normal">+B372+1</f>
        <v>169</v>
      </c>
      <c r="C373" s="138" t="s">
        <v>667</v>
      </c>
      <c r="D373" s="6" t="s">
        <v>668</v>
      </c>
      <c r="E373" s="203" t="n">
        <f aca="false" ca="true" dt2D="false" dtr="false" t="normal">SUBTOTAL(9, F373:T373)</f>
        <v>2017825.74</v>
      </c>
      <c r="F373" s="18" t="n"/>
      <c r="G373" s="18" t="n"/>
      <c r="H373" s="18" t="n"/>
      <c r="I373" s="18" t="n"/>
      <c r="J373" s="18" t="n"/>
      <c r="K373" s="18" t="n"/>
      <c r="L373" s="18" t="n"/>
      <c r="M373" s="18" t="n"/>
      <c r="N373" s="18" t="n"/>
      <c r="O373" s="18" t="n"/>
      <c r="P373" s="18" t="n"/>
      <c r="Q373" s="18" t="n">
        <v>1885957.2</v>
      </c>
      <c r="R373" s="18" t="n">
        <v>107868.54</v>
      </c>
      <c r="S373" s="18" t="n">
        <v>24000</v>
      </c>
      <c r="T373" s="191" t="n"/>
    </row>
    <row outlineLevel="0" r="374">
      <c r="A374" s="331" t="n">
        <f aca="false" ca="false" dt2D="false" dtr="false" t="normal">+A373+1</f>
        <v>358</v>
      </c>
      <c r="B374" s="6" t="n">
        <f aca="false" ca="false" dt2D="false" dtr="false" t="normal">+B373+1</f>
        <v>170</v>
      </c>
      <c r="C374" s="138" t="s">
        <v>177</v>
      </c>
      <c r="D374" s="6" t="s">
        <v>669</v>
      </c>
      <c r="E374" s="27" t="n">
        <f aca="false" ca="true" dt2D="false" dtr="false" t="normal">SUBTOTAL(9, F374:T374)</f>
        <v>19396547.59</v>
      </c>
      <c r="F374" s="18" t="n">
        <v>0</v>
      </c>
      <c r="G374" s="18" t="n">
        <v>0</v>
      </c>
      <c r="H374" s="18" t="n">
        <v>0</v>
      </c>
      <c r="I374" s="18" t="n">
        <v>0</v>
      </c>
      <c r="J374" s="18" t="n">
        <v>0</v>
      </c>
      <c r="K374" s="18" t="n"/>
      <c r="L374" s="18" t="n"/>
      <c r="M374" s="18" t="n">
        <v>0</v>
      </c>
      <c r="N374" s="18" t="n">
        <v>19396547.59</v>
      </c>
      <c r="O374" s="18" t="n">
        <v>0</v>
      </c>
      <c r="P374" s="18" t="n">
        <v>0</v>
      </c>
      <c r="Q374" s="18" t="n">
        <v>0</v>
      </c>
      <c r="R374" s="18" t="n"/>
      <c r="S374" s="18" t="n"/>
      <c r="T374" s="191" t="n"/>
      <c r="U374" s="0" t="n"/>
      <c r="V374" s="333" t="n"/>
      <c r="W374" s="0" t="n"/>
      <c r="X374" s="0" t="n"/>
      <c r="Y374" s="0" t="n"/>
      <c r="Z374" s="0" t="n"/>
      <c r="AA374" s="0" t="n"/>
      <c r="AB374" s="0" t="n"/>
      <c r="AC374" s="0" t="n"/>
      <c r="AD374" s="0" t="n"/>
      <c r="AE374" s="0" t="n"/>
      <c r="AF374" s="0" t="n"/>
      <c r="AG374" s="0" t="n"/>
      <c r="AH374" s="0" t="n"/>
      <c r="AI374" s="0" t="n"/>
      <c r="AJ374" s="0" t="n"/>
      <c r="AK374" s="0" t="n"/>
      <c r="AL374" s="0" t="n"/>
      <c r="AM374" s="0" t="n"/>
      <c r="AN374" s="0" t="n"/>
      <c r="AO374" s="0" t="n"/>
      <c r="AP374" s="0" t="n"/>
      <c r="AQ374" s="0" t="n"/>
      <c r="AR374" s="0" t="n"/>
      <c r="AS374" s="0" t="n"/>
      <c r="AT374" s="0" t="n"/>
      <c r="AU374" s="0" t="n"/>
      <c r="AV374" s="0" t="n"/>
      <c r="AW374" s="0" t="n"/>
      <c r="AX374" s="0" t="n"/>
      <c r="AY374" s="0" t="n"/>
      <c r="AZ374" s="0" t="n"/>
      <c r="BA374" s="0" t="n"/>
      <c r="BB374" s="0" t="n"/>
      <c r="BC374" s="0" t="n"/>
      <c r="BD374" s="0" t="n"/>
      <c r="BE374" s="0" t="n"/>
      <c r="BF374" s="0" t="n"/>
      <c r="BG374" s="0" t="n"/>
      <c r="BH374" s="0" t="n"/>
      <c r="BI374" s="0" t="n"/>
      <c r="BJ374" s="0" t="n"/>
      <c r="BK374" s="0" t="n"/>
      <c r="BL374" s="0" t="n"/>
      <c r="BM374" s="0" t="n"/>
      <c r="BN374" s="0" t="n"/>
      <c r="BO374" s="0" t="n"/>
      <c r="BP374" s="0" t="n"/>
    </row>
    <row outlineLevel="0" r="375">
      <c r="A375" s="331" t="n">
        <f aca="false" ca="false" dt2D="false" dtr="false" t="normal">+A374+1</f>
        <v>359</v>
      </c>
      <c r="B375" s="6" t="n">
        <f aca="false" ca="false" dt2D="false" dtr="false" t="normal">+B374+1</f>
        <v>171</v>
      </c>
      <c r="C375" s="138" t="s">
        <v>177</v>
      </c>
      <c r="D375" s="6" t="s">
        <v>672</v>
      </c>
      <c r="E375" s="27" t="n">
        <f aca="false" ca="true" dt2D="false" dtr="false" t="normal">SUBTOTAL(9, F375:T375)</f>
        <v>27023830.790000003</v>
      </c>
      <c r="F375" s="18" t="n">
        <v>0</v>
      </c>
      <c r="G375" s="18" t="n">
        <v>0</v>
      </c>
      <c r="H375" s="18" t="n">
        <v>0</v>
      </c>
      <c r="I375" s="18" t="n">
        <v>0</v>
      </c>
      <c r="J375" s="18" t="n">
        <v>0</v>
      </c>
      <c r="K375" s="18" t="n"/>
      <c r="L375" s="18" t="n"/>
      <c r="M375" s="18" t="n">
        <v>0</v>
      </c>
      <c r="N375" s="18" t="n">
        <v>2963117.94</v>
      </c>
      <c r="O375" s="18" t="n">
        <v>0</v>
      </c>
      <c r="P375" s="18" t="n">
        <v>24060712.85</v>
      </c>
      <c r="Q375" s="18" t="n">
        <v>0</v>
      </c>
      <c r="R375" s="18" t="n"/>
      <c r="S375" s="18" t="n"/>
      <c r="T375" s="191" t="n"/>
      <c r="U375" s="0" t="n"/>
      <c r="V375" s="333" t="n"/>
      <c r="W375" s="0" t="n"/>
      <c r="X375" s="0" t="n"/>
      <c r="Y375" s="0" t="n"/>
      <c r="Z375" s="0" t="n"/>
      <c r="AA375" s="0" t="n"/>
      <c r="AB375" s="0" t="n"/>
      <c r="AC375" s="0" t="n"/>
      <c r="AD375" s="0" t="n"/>
      <c r="AE375" s="0" t="n"/>
      <c r="AF375" s="0" t="n"/>
      <c r="AG375" s="0" t="n"/>
      <c r="AH375" s="0" t="n"/>
      <c r="AI375" s="0" t="n"/>
      <c r="AJ375" s="0" t="n"/>
      <c r="AK375" s="0" t="n"/>
      <c r="AL375" s="0" t="n"/>
      <c r="AM375" s="0" t="n"/>
      <c r="AN375" s="0" t="n"/>
      <c r="AO375" s="0" t="n"/>
      <c r="AP375" s="0" t="n"/>
      <c r="AQ375" s="0" t="n"/>
      <c r="AR375" s="0" t="n"/>
      <c r="AS375" s="0" t="n"/>
      <c r="AT375" s="0" t="n"/>
      <c r="AU375" s="0" t="n"/>
      <c r="AV375" s="0" t="n"/>
      <c r="AW375" s="0" t="n"/>
      <c r="AX375" s="0" t="n"/>
      <c r="AY375" s="0" t="n"/>
      <c r="AZ375" s="0" t="n"/>
      <c r="BA375" s="0" t="n"/>
      <c r="BB375" s="0" t="n"/>
      <c r="BC375" s="0" t="n"/>
      <c r="BD375" s="0" t="n"/>
      <c r="BE375" s="0" t="n"/>
      <c r="BF375" s="0" t="n"/>
      <c r="BG375" s="0" t="n"/>
      <c r="BH375" s="0" t="n"/>
      <c r="BI375" s="0" t="n"/>
      <c r="BJ375" s="0" t="n"/>
      <c r="BK375" s="0" t="n"/>
      <c r="BL375" s="0" t="n"/>
      <c r="BM375" s="0" t="n"/>
      <c r="BN375" s="0" t="n"/>
      <c r="BO375" s="0" t="n"/>
      <c r="BP375" s="0" t="n"/>
    </row>
    <row outlineLevel="0" r="376">
      <c r="A376" s="331" t="n">
        <f aca="false" ca="false" dt2D="false" dtr="false" t="normal">+A375+1</f>
        <v>360</v>
      </c>
      <c r="B376" s="6" t="n">
        <f aca="false" ca="false" dt2D="false" dtr="false" t="normal">+B375+1</f>
        <v>172</v>
      </c>
      <c r="C376" s="138" t="s">
        <v>177</v>
      </c>
      <c r="D376" s="6" t="s">
        <v>673</v>
      </c>
      <c r="E376" s="27" t="n">
        <f aca="false" ca="true" dt2D="false" dtr="false" t="normal">SUBTOTAL(9, F376:T376)</f>
        <v>893135.77</v>
      </c>
      <c r="F376" s="18" t="n"/>
      <c r="G376" s="18" t="n">
        <v>893135.77</v>
      </c>
      <c r="H376" s="18" t="n"/>
      <c r="I376" s="18" t="n"/>
      <c r="J376" s="18" t="n"/>
      <c r="K376" s="18" t="n"/>
      <c r="L376" s="18" t="n"/>
      <c r="M376" s="18" t="n"/>
      <c r="N376" s="18" t="n"/>
      <c r="O376" s="18" t="n"/>
      <c r="P376" s="18" t="n"/>
      <c r="Q376" s="18" t="n"/>
      <c r="R376" s="18" t="n"/>
      <c r="S376" s="18" t="n"/>
      <c r="T376" s="191" t="n"/>
      <c r="U376" s="0" t="n"/>
      <c r="V376" s="333" t="n"/>
      <c r="W376" s="0" t="n"/>
      <c r="X376" s="0" t="n"/>
      <c r="Y376" s="0" t="n"/>
      <c r="Z376" s="0" t="n"/>
      <c r="AA376" s="0" t="n"/>
      <c r="AB376" s="0" t="n"/>
      <c r="AC376" s="0" t="n"/>
      <c r="AD376" s="0" t="n"/>
      <c r="AE376" s="0" t="n"/>
      <c r="AF376" s="0" t="n"/>
      <c r="AG376" s="0" t="n"/>
      <c r="AH376" s="0" t="n"/>
      <c r="AI376" s="0" t="n"/>
      <c r="AJ376" s="0" t="n"/>
      <c r="AK376" s="0" t="n"/>
      <c r="AL376" s="0" t="n"/>
      <c r="AM376" s="0" t="n"/>
      <c r="AN376" s="0" t="n"/>
      <c r="AO376" s="0" t="n"/>
      <c r="AP376" s="0" t="n"/>
      <c r="AQ376" s="0" t="n"/>
      <c r="AR376" s="0" t="n"/>
      <c r="AS376" s="0" t="n"/>
      <c r="AT376" s="0" t="n"/>
      <c r="AU376" s="0" t="n"/>
      <c r="AV376" s="0" t="n"/>
      <c r="AW376" s="0" t="n"/>
      <c r="AX376" s="0" t="n"/>
      <c r="AY376" s="0" t="n"/>
      <c r="AZ376" s="0" t="n"/>
      <c r="BA376" s="0" t="n"/>
      <c r="BB376" s="0" t="n"/>
      <c r="BC376" s="0" t="n"/>
      <c r="BD376" s="0" t="n"/>
      <c r="BE376" s="0" t="n"/>
      <c r="BF376" s="0" t="n"/>
      <c r="BG376" s="0" t="n"/>
      <c r="BH376" s="0" t="n"/>
      <c r="BI376" s="0" t="n"/>
      <c r="BJ376" s="0" t="n"/>
      <c r="BK376" s="0" t="n"/>
      <c r="BL376" s="0" t="n"/>
      <c r="BM376" s="0" t="n"/>
      <c r="BN376" s="0" t="n"/>
      <c r="BO376" s="0" t="n"/>
      <c r="BP376" s="0" t="n"/>
    </row>
    <row outlineLevel="0" r="377">
      <c r="A377" s="331" t="n">
        <v>361</v>
      </c>
      <c r="B377" s="6" t="s">
        <v>76</v>
      </c>
      <c r="C377" s="138" t="s">
        <v>80</v>
      </c>
      <c r="D377" s="6" t="s">
        <v>81</v>
      </c>
      <c r="E377" s="27" t="n">
        <f aca="false" ca="true" dt2D="false" dtr="false" t="normal">SUBTOTAL(9, F377:T377)</f>
        <v>25340387.450000003</v>
      </c>
      <c r="F377" s="18" t="n"/>
      <c r="G377" s="18" t="n"/>
      <c r="H377" s="18" t="n"/>
      <c r="I377" s="18" t="n">
        <v>0</v>
      </c>
      <c r="J377" s="18" t="n">
        <v>0</v>
      </c>
      <c r="K377" s="18" t="n"/>
      <c r="L377" s="18" t="n">
        <v>0</v>
      </c>
      <c r="M377" s="18" t="n">
        <v>0</v>
      </c>
      <c r="N377" s="18" t="n">
        <v>0</v>
      </c>
      <c r="O377" s="18" t="n">
        <v>0</v>
      </c>
      <c r="P377" s="18" t="n">
        <v>24877323.6</v>
      </c>
      <c r="Q377" s="18" t="n"/>
      <c r="R377" s="18" t="n">
        <v>451063.85</v>
      </c>
      <c r="S377" s="18" t="n">
        <v>12000</v>
      </c>
      <c r="T377" s="191" t="n"/>
      <c r="U377" s="0" t="n"/>
      <c r="V377" s="333" t="n"/>
      <c r="W377" s="0" t="n"/>
      <c r="X377" s="0" t="n"/>
      <c r="Y377" s="0" t="n"/>
      <c r="Z377" s="0" t="n"/>
      <c r="AA377" s="0" t="n"/>
      <c r="AB377" s="0" t="n"/>
      <c r="AC377" s="0" t="n"/>
      <c r="AD377" s="0" t="n"/>
      <c r="AE377" s="0" t="n"/>
      <c r="AF377" s="0" t="n"/>
      <c r="AG377" s="0" t="n"/>
      <c r="AH377" s="0" t="n"/>
      <c r="AI377" s="0" t="n"/>
      <c r="AJ377" s="0" t="n"/>
      <c r="AK377" s="0" t="n"/>
      <c r="AL377" s="0" t="n"/>
      <c r="AM377" s="0" t="n"/>
      <c r="AN377" s="0" t="n"/>
      <c r="AO377" s="0" t="n"/>
      <c r="AP377" s="0" t="n"/>
      <c r="AQ377" s="0" t="n"/>
      <c r="AR377" s="0" t="n"/>
      <c r="AS377" s="0" t="n"/>
      <c r="AT377" s="0" t="n"/>
      <c r="AU377" s="0" t="n"/>
      <c r="AV377" s="0" t="n"/>
      <c r="AW377" s="0" t="n"/>
      <c r="AX377" s="0" t="n"/>
      <c r="AY377" s="0" t="n"/>
      <c r="AZ377" s="0" t="n"/>
      <c r="BA377" s="0" t="n"/>
      <c r="BB377" s="0" t="n"/>
      <c r="BC377" s="0" t="n"/>
      <c r="BD377" s="0" t="n"/>
      <c r="BE377" s="0" t="n"/>
      <c r="BF377" s="0" t="n"/>
      <c r="BG377" s="0" t="n"/>
      <c r="BH377" s="0" t="n"/>
      <c r="BI377" s="0" t="n"/>
      <c r="BJ377" s="0" t="n"/>
      <c r="BK377" s="0" t="n"/>
      <c r="BL377" s="0" t="n"/>
      <c r="BM377" s="0" t="n"/>
      <c r="BN377" s="0" t="n"/>
      <c r="BO377" s="0" t="n"/>
      <c r="BP377" s="0" t="n"/>
    </row>
    <row outlineLevel="0" r="378">
      <c r="A378" s="331" t="n">
        <f aca="false" ca="false" dt2D="false" dtr="false" t="normal">+A377+1</f>
        <v>362</v>
      </c>
      <c r="B378" s="6" t="n">
        <v>173</v>
      </c>
      <c r="C378" s="138" t="s">
        <v>97</v>
      </c>
      <c r="D378" s="6" t="s">
        <v>174</v>
      </c>
      <c r="E378" s="203" t="n">
        <f aca="false" ca="true" dt2D="false" dtr="false" t="normal">SUBTOTAL(9, F378:T378)</f>
        <v>2104424.3</v>
      </c>
      <c r="F378" s="18" t="n"/>
      <c r="G378" s="18" t="n"/>
      <c r="H378" s="18" t="n">
        <v>2070922.4</v>
      </c>
      <c r="I378" s="18" t="n"/>
      <c r="J378" s="18" t="n">
        <v>0</v>
      </c>
      <c r="K378" s="18" t="n"/>
      <c r="L378" s="18" t="n"/>
      <c r="M378" s="18" t="n">
        <v>0</v>
      </c>
      <c r="N378" s="18" t="n">
        <v>0</v>
      </c>
      <c r="O378" s="18" t="n">
        <v>0</v>
      </c>
      <c r="P378" s="18" t="n">
        <v>0</v>
      </c>
      <c r="Q378" s="18" t="n">
        <v>0</v>
      </c>
      <c r="R378" s="18" t="n"/>
      <c r="S378" s="18" t="n"/>
      <c r="T378" s="191" t="n">
        <v>33501.9</v>
      </c>
      <c r="U378" s="0" t="n"/>
      <c r="V378" s="333" t="n"/>
      <c r="W378" s="0" t="n"/>
      <c r="X378" s="0" t="n"/>
      <c r="Y378" s="0" t="n"/>
      <c r="Z378" s="0" t="n"/>
      <c r="AA378" s="0" t="n"/>
      <c r="AB378" s="0" t="n"/>
      <c r="AC378" s="0" t="n"/>
      <c r="AD378" s="0" t="n"/>
      <c r="AE378" s="0" t="n"/>
      <c r="AF378" s="0" t="n"/>
      <c r="AG378" s="0" t="n"/>
      <c r="AH378" s="0" t="n"/>
      <c r="AI378" s="0" t="n"/>
      <c r="AJ378" s="0" t="n"/>
      <c r="AK378" s="0" t="n"/>
      <c r="AL378" s="0" t="n"/>
      <c r="AM378" s="0" t="n"/>
      <c r="AN378" s="0" t="n"/>
      <c r="AO378" s="0" t="n"/>
      <c r="AP378" s="0" t="n"/>
      <c r="AQ378" s="0" t="n"/>
      <c r="AR378" s="0" t="n"/>
      <c r="AS378" s="0" t="n"/>
      <c r="AT378" s="0" t="n"/>
      <c r="AU378" s="0" t="n"/>
      <c r="AV378" s="0" t="n"/>
      <c r="AW378" s="0" t="n"/>
      <c r="AX378" s="0" t="n"/>
      <c r="AY378" s="0" t="n"/>
      <c r="AZ378" s="0" t="n"/>
      <c r="BA378" s="0" t="n"/>
      <c r="BB378" s="0" t="n"/>
      <c r="BC378" s="0" t="n"/>
      <c r="BD378" s="0" t="n"/>
      <c r="BE378" s="0" t="n"/>
      <c r="BF378" s="0" t="n"/>
      <c r="BG378" s="0" t="n"/>
      <c r="BH378" s="0" t="n"/>
      <c r="BI378" s="0" t="n"/>
      <c r="BJ378" s="0" t="n"/>
      <c r="BK378" s="0" t="n"/>
      <c r="BL378" s="0" t="n"/>
      <c r="BM378" s="0" t="n"/>
      <c r="BN378" s="0" t="n"/>
      <c r="BO378" s="0" t="n"/>
      <c r="BP378" s="0" t="n"/>
    </row>
    <row outlineLevel="0" r="379">
      <c r="A379" s="331" t="n">
        <f aca="false" ca="false" dt2D="false" dtr="false" t="normal">+A378+1</f>
        <v>363</v>
      </c>
      <c r="B379" s="6" t="n">
        <f aca="false" ca="false" dt2D="false" dtr="false" t="normal">+B378+1</f>
        <v>174</v>
      </c>
      <c r="C379" s="138" t="s">
        <v>97</v>
      </c>
      <c r="D379" s="6" t="s">
        <v>98</v>
      </c>
      <c r="E379" s="203" t="n">
        <f aca="false" ca="true" dt2D="false" dtr="false" t="normal">SUBTOTAL(9, F379:T379)</f>
        <v>687537.26</v>
      </c>
      <c r="F379" s="18" t="n">
        <v>0</v>
      </c>
      <c r="G379" s="18" t="n">
        <v>0</v>
      </c>
      <c r="H379" s="18" t="n">
        <v>681874</v>
      </c>
      <c r="I379" s="18" t="n"/>
      <c r="J379" s="18" t="n">
        <v>0</v>
      </c>
      <c r="K379" s="18" t="n"/>
      <c r="L379" s="18" t="n"/>
      <c r="M379" s="18" t="n">
        <v>0</v>
      </c>
      <c r="N379" s="18" t="n">
        <v>0</v>
      </c>
      <c r="O379" s="18" t="n">
        <v>0</v>
      </c>
      <c r="P379" s="18" t="n">
        <v>0</v>
      </c>
      <c r="Q379" s="18" t="n">
        <v>0</v>
      </c>
      <c r="R379" s="18" t="n"/>
      <c r="S379" s="18" t="n"/>
      <c r="T379" s="191" t="n">
        <v>5663.26</v>
      </c>
      <c r="U379" s="0" t="n"/>
      <c r="V379" s="333" t="n"/>
      <c r="W379" s="0" t="n"/>
      <c r="X379" s="0" t="n"/>
      <c r="Y379" s="0" t="n"/>
      <c r="Z379" s="0" t="n"/>
      <c r="AA379" s="0" t="n"/>
      <c r="AB379" s="0" t="n"/>
      <c r="AC379" s="0" t="n"/>
      <c r="AD379" s="0" t="n"/>
      <c r="AE379" s="0" t="n"/>
      <c r="AF379" s="0" t="n"/>
      <c r="AG379" s="0" t="n"/>
      <c r="AH379" s="0" t="n"/>
      <c r="AI379" s="0" t="n"/>
      <c r="AJ379" s="0" t="n"/>
      <c r="AK379" s="0" t="n"/>
      <c r="AL379" s="0" t="n"/>
      <c r="AM379" s="0" t="n"/>
      <c r="AN379" s="0" t="n"/>
      <c r="AO379" s="0" t="n"/>
      <c r="AP379" s="0" t="n"/>
      <c r="AQ379" s="0" t="n"/>
      <c r="AR379" s="0" t="n"/>
      <c r="AS379" s="0" t="n"/>
      <c r="AT379" s="0" t="n"/>
      <c r="AU379" s="0" t="n"/>
      <c r="AV379" s="0" t="n"/>
      <c r="AW379" s="0" t="n"/>
      <c r="AX379" s="0" t="n"/>
      <c r="AY379" s="0" t="n"/>
      <c r="AZ379" s="0" t="n"/>
      <c r="BA379" s="0" t="n"/>
      <c r="BB379" s="0" t="n"/>
      <c r="BC379" s="0" t="n"/>
      <c r="BD379" s="0" t="n"/>
      <c r="BE379" s="0" t="n"/>
      <c r="BF379" s="0" t="n"/>
      <c r="BG379" s="0" t="n"/>
      <c r="BH379" s="0" t="n"/>
      <c r="BI379" s="0" t="n"/>
      <c r="BJ379" s="0" t="n"/>
      <c r="BK379" s="0" t="n"/>
      <c r="BL379" s="0" t="n"/>
      <c r="BM379" s="0" t="n"/>
      <c r="BN379" s="0" t="n"/>
      <c r="BO379" s="0" t="n"/>
      <c r="BP379" s="0" t="n"/>
    </row>
    <row outlineLevel="0" r="380">
      <c r="A380" s="331" t="n">
        <f aca="false" ca="false" dt2D="false" dtr="false" t="normal">+A379+1</f>
        <v>364</v>
      </c>
      <c r="B380" s="6" t="n">
        <f aca="false" ca="false" dt2D="false" dtr="false" t="normal">+B379+1</f>
        <v>175</v>
      </c>
      <c r="C380" s="138" t="s">
        <v>97</v>
      </c>
      <c r="D380" s="6" t="s">
        <v>176</v>
      </c>
      <c r="E380" s="203" t="n">
        <f aca="false" ca="true" dt2D="false" dtr="false" t="normal">SUBTOTAL(9, F380:T380)</f>
        <v>6887339.91</v>
      </c>
      <c r="G380" s="18" t="n">
        <v>4606470.12</v>
      </c>
      <c r="H380" s="18" t="n"/>
      <c r="I380" s="18" t="n">
        <v>2236444.67</v>
      </c>
      <c r="J380" s="18" t="n">
        <v>0</v>
      </c>
      <c r="K380" s="18" t="n"/>
      <c r="L380" s="18" t="n"/>
      <c r="M380" s="18" t="n">
        <v>0</v>
      </c>
      <c r="N380" s="18" t="n">
        <v>0</v>
      </c>
      <c r="O380" s="18" t="n">
        <v>0</v>
      </c>
      <c r="P380" s="18" t="n">
        <v>0</v>
      </c>
      <c r="Q380" s="18" t="n">
        <v>0</v>
      </c>
      <c r="R380" s="18" t="n"/>
      <c r="S380" s="18" t="n"/>
      <c r="T380" s="191" t="n">
        <f aca="false" ca="false" dt2D="false" dtr="false" t="normal">28896.64+15528.48</f>
        <v>44425.119999999995</v>
      </c>
      <c r="U380" s="0" t="n"/>
      <c r="V380" s="333" t="n"/>
      <c r="W380" s="0" t="n"/>
      <c r="X380" s="0" t="n"/>
      <c r="Y380" s="0" t="n"/>
      <c r="Z380" s="0" t="n"/>
      <c r="AA380" s="0" t="n"/>
      <c r="AB380" s="0" t="n"/>
      <c r="AC380" s="0" t="n"/>
      <c r="AD380" s="0" t="n"/>
      <c r="AE380" s="0" t="n"/>
      <c r="AF380" s="0" t="n"/>
      <c r="AG380" s="0" t="n"/>
      <c r="AH380" s="0" t="n"/>
      <c r="AI380" s="0" t="n"/>
      <c r="AJ380" s="0" t="n"/>
      <c r="AK380" s="0" t="n"/>
      <c r="AL380" s="0" t="n"/>
      <c r="AM380" s="0" t="n"/>
      <c r="AN380" s="0" t="n"/>
      <c r="AO380" s="0" t="n"/>
      <c r="AP380" s="0" t="n"/>
      <c r="AQ380" s="0" t="n"/>
      <c r="AR380" s="0" t="n"/>
      <c r="AS380" s="0" t="n"/>
      <c r="AT380" s="0" t="n"/>
      <c r="AU380" s="0" t="n"/>
      <c r="AV380" s="0" t="n"/>
      <c r="AW380" s="0" t="n"/>
      <c r="AX380" s="0" t="n"/>
      <c r="AY380" s="0" t="n"/>
      <c r="AZ380" s="0" t="n"/>
      <c r="BA380" s="0" t="n"/>
      <c r="BB380" s="0" t="n"/>
      <c r="BC380" s="0" t="n"/>
      <c r="BD380" s="0" t="n"/>
      <c r="BE380" s="0" t="n"/>
      <c r="BF380" s="0" t="n"/>
      <c r="BG380" s="0" t="n"/>
      <c r="BH380" s="0" t="n"/>
      <c r="BI380" s="0" t="n"/>
      <c r="BJ380" s="0" t="n"/>
      <c r="BK380" s="0" t="n"/>
      <c r="BL380" s="0" t="n"/>
      <c r="BM380" s="0" t="n"/>
      <c r="BN380" s="0" t="n"/>
      <c r="BO380" s="0" t="n"/>
      <c r="BP380" s="0" t="n"/>
    </row>
    <row outlineLevel="0" r="381">
      <c r="A381" s="331" t="n">
        <f aca="false" ca="false" dt2D="false" dtr="false" t="normal">+A380+1</f>
        <v>365</v>
      </c>
      <c r="B381" s="6" t="n">
        <f aca="false" ca="false" dt2D="false" dtr="false" t="normal">+B380+1</f>
        <v>176</v>
      </c>
      <c r="C381" s="138" t="s">
        <v>104</v>
      </c>
      <c r="D381" s="138" t="s">
        <v>211</v>
      </c>
      <c r="E381" s="27" t="n">
        <f aca="false" ca="true" dt2D="false" dtr="false" t="normal">SUBTOTAL(9, F381:T381)</f>
        <v>6473254.53</v>
      </c>
      <c r="F381" s="17" t="n">
        <v>6359997.58</v>
      </c>
      <c r="G381" s="18" t="n">
        <v>0</v>
      </c>
      <c r="H381" s="18" t="n"/>
      <c r="I381" s="18" t="n">
        <v>0</v>
      </c>
      <c r="J381" s="18" t="n">
        <v>0</v>
      </c>
      <c r="K381" s="18" t="n"/>
      <c r="L381" s="18" t="n"/>
      <c r="M381" s="18" t="n">
        <v>0</v>
      </c>
      <c r="N381" s="18" t="n">
        <v>0</v>
      </c>
      <c r="O381" s="18" t="n">
        <v>0</v>
      </c>
      <c r="P381" s="18" t="n">
        <v>0</v>
      </c>
      <c r="Q381" s="18" t="n">
        <v>0</v>
      </c>
      <c r="R381" s="18" t="n"/>
      <c r="S381" s="18" t="n"/>
      <c r="T381" s="191" t="n">
        <v>113256.95</v>
      </c>
    </row>
    <row outlineLevel="0" r="382">
      <c r="A382" s="331" t="n">
        <f aca="false" ca="false" dt2D="false" dtr="false" t="normal">+A381+1</f>
        <v>366</v>
      </c>
      <c r="B382" s="6" t="n">
        <f aca="false" ca="false" dt2D="false" dtr="false" t="normal">+B381+1</f>
        <v>177</v>
      </c>
      <c r="C382" s="138" t="s">
        <v>104</v>
      </c>
      <c r="D382" s="6" t="s">
        <v>678</v>
      </c>
      <c r="E382" s="203" t="n">
        <f aca="false" ca="true" dt2D="false" dtr="false" t="normal">SUBTOTAL(9, F382:T382)</f>
        <v>17753087.02</v>
      </c>
      <c r="F382" s="18" t="n">
        <v>0</v>
      </c>
      <c r="G382" s="18" t="n">
        <v>0</v>
      </c>
      <c r="H382" s="18" t="n">
        <v>0</v>
      </c>
      <c r="I382" s="18" t="n">
        <v>0</v>
      </c>
      <c r="J382" s="18" t="n">
        <v>0</v>
      </c>
      <c r="K382" s="18" t="n"/>
      <c r="L382" s="18" t="n"/>
      <c r="M382" s="18" t="n">
        <v>0</v>
      </c>
      <c r="N382" s="18" t="n">
        <v>0</v>
      </c>
      <c r="O382" s="18" t="n">
        <v>17619090.9</v>
      </c>
      <c r="P382" s="18" t="n">
        <v>0</v>
      </c>
      <c r="Q382" s="18" t="n">
        <v>0</v>
      </c>
      <c r="R382" s="18" t="n"/>
      <c r="S382" s="18" t="n"/>
      <c r="T382" s="191" t="n">
        <v>133996.12</v>
      </c>
      <c r="U382" s="0" t="n"/>
      <c r="V382" s="333" t="n"/>
      <c r="W382" s="0" t="n"/>
      <c r="X382" s="0" t="n"/>
      <c r="Y382" s="0" t="n"/>
      <c r="Z382" s="0" t="n"/>
      <c r="AA382" s="0" t="n"/>
      <c r="AB382" s="0" t="n"/>
      <c r="AC382" s="0" t="n"/>
      <c r="AD382" s="0" t="n"/>
      <c r="AE382" s="0" t="n"/>
      <c r="AF382" s="0" t="n"/>
      <c r="AG382" s="0" t="n"/>
      <c r="AH382" s="0" t="n"/>
      <c r="AI382" s="0" t="n"/>
      <c r="AJ382" s="0" t="n"/>
      <c r="AK382" s="0" t="n"/>
      <c r="AL382" s="0" t="n"/>
      <c r="AM382" s="0" t="n"/>
      <c r="AN382" s="0" t="n"/>
      <c r="AO382" s="0" t="n"/>
      <c r="AP382" s="0" t="n"/>
      <c r="AQ382" s="0" t="n"/>
      <c r="AR382" s="0" t="n"/>
      <c r="AS382" s="0" t="n"/>
      <c r="AT382" s="0" t="n"/>
      <c r="AU382" s="0" t="n"/>
      <c r="AV382" s="0" t="n"/>
      <c r="AW382" s="0" t="n"/>
      <c r="AX382" s="0" t="n"/>
      <c r="AY382" s="0" t="n"/>
      <c r="AZ382" s="0" t="n"/>
      <c r="BA382" s="0" t="n"/>
      <c r="BB382" s="0" t="n"/>
      <c r="BC382" s="0" t="n"/>
      <c r="BD382" s="0" t="n"/>
      <c r="BE382" s="0" t="n"/>
      <c r="BF382" s="0" t="n"/>
      <c r="BG382" s="0" t="n"/>
      <c r="BH382" s="0" t="n"/>
      <c r="BI382" s="0" t="n"/>
      <c r="BJ382" s="0" t="n"/>
      <c r="BK382" s="0" t="n"/>
      <c r="BL382" s="0" t="n"/>
      <c r="BM382" s="0" t="n"/>
      <c r="BN382" s="0" t="n"/>
      <c r="BO382" s="0" t="n"/>
      <c r="BP382" s="0" t="n"/>
    </row>
    <row outlineLevel="0" r="383">
      <c r="A383" s="331" t="n">
        <f aca="false" ca="false" dt2D="false" dtr="false" t="normal">+A382+1</f>
        <v>367</v>
      </c>
      <c r="B383" s="6" t="n">
        <f aca="false" ca="false" dt2D="false" dtr="false" t="normal">+B382+1</f>
        <v>178</v>
      </c>
      <c r="C383" s="138" t="s">
        <v>104</v>
      </c>
      <c r="D383" s="6" t="s">
        <v>679</v>
      </c>
      <c r="E383" s="203" t="n">
        <f aca="false" ca="true" dt2D="false" dtr="false" t="normal">SUBTOTAL(9, F383:T383)</f>
        <v>3544649.35</v>
      </c>
      <c r="F383" s="18" t="n"/>
      <c r="G383" s="18" t="n">
        <v>0</v>
      </c>
      <c r="H383" s="18" t="n">
        <v>0</v>
      </c>
      <c r="I383" s="18" t="n">
        <v>0</v>
      </c>
      <c r="J383" s="18" t="n">
        <v>0</v>
      </c>
      <c r="K383" s="18" t="n"/>
      <c r="L383" s="18" t="n"/>
      <c r="M383" s="18" t="n">
        <v>0</v>
      </c>
      <c r="N383" s="18" t="n">
        <v>0</v>
      </c>
      <c r="O383" s="18" t="n">
        <v>0</v>
      </c>
      <c r="P383" s="18" t="n">
        <v>3507510.73</v>
      </c>
      <c r="Q383" s="18" t="n">
        <v>0</v>
      </c>
      <c r="R383" s="18" t="n"/>
      <c r="S383" s="18" t="n"/>
      <c r="T383" s="191" t="n">
        <v>37138.62</v>
      </c>
      <c r="U383" s="0" t="n"/>
      <c r="V383" s="333" t="n"/>
      <c r="W383" s="0" t="n"/>
      <c r="X383" s="0" t="n"/>
      <c r="Y383" s="0" t="n"/>
      <c r="Z383" s="0" t="n"/>
      <c r="AA383" s="0" t="n"/>
      <c r="AB383" s="0" t="n"/>
      <c r="AC383" s="0" t="n"/>
      <c r="AD383" s="0" t="n"/>
      <c r="AE383" s="0" t="n"/>
      <c r="AF383" s="0" t="n"/>
      <c r="AG383" s="0" t="n"/>
      <c r="AH383" s="0" t="n"/>
      <c r="AI383" s="0" t="n"/>
      <c r="AJ383" s="0" t="n"/>
      <c r="AK383" s="0" t="n"/>
      <c r="AL383" s="0" t="n"/>
      <c r="AM383" s="0" t="n"/>
      <c r="AN383" s="0" t="n"/>
      <c r="AO383" s="0" t="n"/>
      <c r="AP383" s="0" t="n"/>
      <c r="AQ383" s="0" t="n"/>
      <c r="AR383" s="0" t="n"/>
      <c r="AS383" s="0" t="n"/>
      <c r="AT383" s="0" t="n"/>
      <c r="AU383" s="0" t="n"/>
      <c r="AV383" s="0" t="n"/>
      <c r="AW383" s="0" t="n"/>
      <c r="AX383" s="0" t="n"/>
      <c r="AY383" s="0" t="n"/>
      <c r="AZ383" s="0" t="n"/>
      <c r="BA383" s="0" t="n"/>
      <c r="BB383" s="0" t="n"/>
      <c r="BC383" s="0" t="n"/>
      <c r="BD383" s="0" t="n"/>
      <c r="BE383" s="0" t="n"/>
      <c r="BF383" s="0" t="n"/>
      <c r="BG383" s="0" t="n"/>
      <c r="BH383" s="0" t="n"/>
      <c r="BI383" s="0" t="n"/>
      <c r="BJ383" s="0" t="n"/>
      <c r="BK383" s="0" t="n"/>
      <c r="BL383" s="0" t="n"/>
      <c r="BM383" s="0" t="n"/>
      <c r="BN383" s="0" t="n"/>
      <c r="BO383" s="0" t="n"/>
      <c r="BP383" s="0" t="n"/>
    </row>
    <row outlineLevel="0" r="384">
      <c r="A384" s="331" t="n">
        <f aca="false" ca="false" dt2D="false" dtr="false" t="normal">+A383+1</f>
        <v>368</v>
      </c>
      <c r="B384" s="6" t="n">
        <f aca="false" ca="false" dt2D="false" dtr="false" t="normal">+B383+1</f>
        <v>179</v>
      </c>
      <c r="C384" s="138" t="s">
        <v>104</v>
      </c>
      <c r="D384" s="6" t="s">
        <v>130</v>
      </c>
      <c r="E384" s="27" t="n">
        <f aca="false" ca="true" dt2D="false" dtr="false" t="normal">SUBTOTAL(9, F384:T384)</f>
        <v>938135.1</v>
      </c>
      <c r="F384" s="18" t="n"/>
      <c r="G384" s="18" t="n"/>
      <c r="H384" s="18" t="n">
        <v>938135.1</v>
      </c>
      <c r="I384" s="18" t="n"/>
      <c r="J384" s="18" t="n">
        <v>0</v>
      </c>
      <c r="K384" s="18" t="n"/>
      <c r="L384" s="18" t="n"/>
      <c r="M384" s="18" t="n">
        <v>0</v>
      </c>
      <c r="N384" s="18" t="n">
        <v>0</v>
      </c>
      <c r="O384" s="18" t="n"/>
      <c r="P384" s="18" t="n">
        <v>0</v>
      </c>
      <c r="Q384" s="18" t="n">
        <v>0</v>
      </c>
      <c r="R384" s="18" t="n"/>
      <c r="S384" s="18" t="n"/>
      <c r="T384" s="191" t="n"/>
      <c r="U384" s="0" t="n"/>
      <c r="V384" s="333" t="n"/>
      <c r="W384" s="0" t="n"/>
      <c r="X384" s="0" t="n"/>
      <c r="Y384" s="0" t="n"/>
      <c r="Z384" s="0" t="n"/>
      <c r="AA384" s="0" t="n"/>
      <c r="AB384" s="0" t="n"/>
      <c r="AC384" s="0" t="n"/>
      <c r="AD384" s="0" t="n"/>
      <c r="AE384" s="0" t="n"/>
      <c r="AF384" s="0" t="n"/>
      <c r="AG384" s="0" t="n"/>
      <c r="AH384" s="0" t="n"/>
      <c r="AI384" s="0" t="n"/>
      <c r="AJ384" s="0" t="n"/>
      <c r="AK384" s="0" t="n"/>
      <c r="AL384" s="0" t="n"/>
      <c r="AM384" s="0" t="n"/>
      <c r="AN384" s="0" t="n"/>
      <c r="AO384" s="0" t="n"/>
      <c r="AP384" s="0" t="n"/>
      <c r="AQ384" s="0" t="n"/>
      <c r="AR384" s="0" t="n"/>
      <c r="AS384" s="0" t="n"/>
      <c r="AT384" s="0" t="n"/>
      <c r="AU384" s="0" t="n"/>
      <c r="AV384" s="0" t="n"/>
      <c r="AW384" s="0" t="n"/>
      <c r="AX384" s="0" t="n"/>
      <c r="AY384" s="0" t="n"/>
      <c r="AZ384" s="0" t="n"/>
      <c r="BA384" s="0" t="n"/>
      <c r="BB384" s="0" t="n"/>
      <c r="BC384" s="0" t="n"/>
      <c r="BD384" s="0" t="n"/>
      <c r="BE384" s="0" t="n"/>
      <c r="BF384" s="0" t="n"/>
      <c r="BG384" s="0" t="n"/>
      <c r="BH384" s="0" t="n"/>
      <c r="BI384" s="0" t="n"/>
      <c r="BJ384" s="0" t="n"/>
      <c r="BK384" s="0" t="n"/>
      <c r="BL384" s="0" t="n"/>
      <c r="BM384" s="0" t="n"/>
      <c r="BN384" s="0" t="n"/>
      <c r="BO384" s="0" t="n"/>
      <c r="BP384" s="0" t="n"/>
    </row>
    <row outlineLevel="0" r="385">
      <c r="A385" s="331" t="n">
        <f aca="false" ca="false" dt2D="false" dtr="false" t="normal">+A384+1</f>
        <v>369</v>
      </c>
      <c r="B385" s="6" t="n">
        <f aca="false" ca="false" dt2D="false" dtr="false" t="normal">+B384+1</f>
        <v>180</v>
      </c>
      <c r="C385" s="138" t="s">
        <v>104</v>
      </c>
      <c r="D385" s="6" t="s">
        <v>255</v>
      </c>
      <c r="E385" s="203" t="n">
        <f aca="false" ca="true" dt2D="false" dtr="false" t="normal">SUBTOTAL(9, F385:T385)</f>
        <v>3743326.59</v>
      </c>
      <c r="F385" s="18" t="n">
        <v>3743326.59</v>
      </c>
      <c r="G385" s="18" t="n"/>
      <c r="H385" s="18" t="n">
        <v>0</v>
      </c>
      <c r="I385" s="18" t="n"/>
      <c r="J385" s="18" t="n">
        <v>0</v>
      </c>
      <c r="K385" s="18" t="n"/>
      <c r="L385" s="18" t="n"/>
      <c r="M385" s="18" t="n">
        <v>0</v>
      </c>
      <c r="N385" s="18" t="n">
        <v>0</v>
      </c>
      <c r="O385" s="18" t="n">
        <v>0</v>
      </c>
      <c r="P385" s="18" t="n">
        <v>0</v>
      </c>
      <c r="Q385" s="18" t="n">
        <v>0</v>
      </c>
      <c r="R385" s="18" t="n"/>
      <c r="S385" s="18" t="n"/>
      <c r="T385" s="191" t="n"/>
      <c r="U385" s="0" t="n"/>
      <c r="V385" s="333" t="n"/>
      <c r="W385" s="0" t="n"/>
      <c r="X385" s="0" t="n"/>
      <c r="Y385" s="0" t="n"/>
      <c r="Z385" s="0" t="n"/>
      <c r="AA385" s="0" t="n"/>
      <c r="AB385" s="0" t="n"/>
      <c r="AC385" s="0" t="n"/>
      <c r="AD385" s="0" t="n"/>
      <c r="AE385" s="0" t="n"/>
      <c r="AF385" s="0" t="n"/>
      <c r="AG385" s="0" t="n"/>
      <c r="AH385" s="0" t="n"/>
      <c r="AI385" s="0" t="n"/>
      <c r="AJ385" s="0" t="n"/>
      <c r="AK385" s="0" t="n"/>
      <c r="AL385" s="0" t="n"/>
      <c r="AM385" s="0" t="n"/>
      <c r="AN385" s="0" t="n"/>
      <c r="AO385" s="0" t="n"/>
      <c r="AP385" s="0" t="n"/>
      <c r="AQ385" s="0" t="n"/>
      <c r="AR385" s="0" t="n"/>
      <c r="AS385" s="0" t="n"/>
      <c r="AT385" s="0" t="n"/>
      <c r="AU385" s="0" t="n"/>
      <c r="AV385" s="0" t="n"/>
      <c r="AW385" s="0" t="n"/>
      <c r="AX385" s="0" t="n"/>
      <c r="AY385" s="0" t="n"/>
      <c r="AZ385" s="0" t="n"/>
      <c r="BA385" s="0" t="n"/>
      <c r="BB385" s="0" t="n"/>
      <c r="BC385" s="0" t="n"/>
      <c r="BD385" s="0" t="n"/>
      <c r="BE385" s="0" t="n"/>
      <c r="BF385" s="0" t="n"/>
      <c r="BG385" s="0" t="n"/>
      <c r="BH385" s="0" t="n"/>
      <c r="BI385" s="0" t="n"/>
      <c r="BJ385" s="0" t="n"/>
      <c r="BK385" s="0" t="n"/>
      <c r="BL385" s="0" t="n"/>
      <c r="BM385" s="0" t="n"/>
      <c r="BN385" s="0" t="n"/>
      <c r="BO385" s="0" t="n"/>
      <c r="BP385" s="0" t="n"/>
    </row>
    <row outlineLevel="0" r="386">
      <c r="A386" s="331" t="n">
        <f aca="false" ca="false" dt2D="false" dtr="false" t="normal">+A385+1</f>
        <v>370</v>
      </c>
      <c r="B386" s="6" t="n">
        <f aca="false" ca="false" dt2D="false" dtr="false" t="normal">+B385+1</f>
        <v>181</v>
      </c>
      <c r="C386" s="138" t="s">
        <v>104</v>
      </c>
      <c r="D386" s="6" t="s">
        <v>682</v>
      </c>
      <c r="E386" s="203" t="n">
        <f aca="false" ca="true" dt2D="false" dtr="false" t="normal">SUBTOTAL(9, F386:T386)</f>
        <v>13915801.989999998</v>
      </c>
      <c r="F386" s="18" t="n">
        <v>0</v>
      </c>
      <c r="G386" s="18" t="n">
        <v>0</v>
      </c>
      <c r="H386" s="18" t="n">
        <v>0</v>
      </c>
      <c r="I386" s="18" t="n">
        <v>0</v>
      </c>
      <c r="J386" s="18" t="n">
        <v>0</v>
      </c>
      <c r="K386" s="18" t="n"/>
      <c r="L386" s="18" t="n"/>
      <c r="M386" s="18" t="n">
        <v>0</v>
      </c>
      <c r="N386" s="18" t="n">
        <v>0</v>
      </c>
      <c r="O386" s="18" t="n">
        <v>0</v>
      </c>
      <c r="P386" s="18" t="n">
        <v>13745702.45</v>
      </c>
      <c r="Q386" s="18" t="n">
        <v>0</v>
      </c>
      <c r="R386" s="18" t="n"/>
      <c r="S386" s="18" t="n"/>
      <c r="T386" s="191" t="n">
        <v>170099.54</v>
      </c>
      <c r="U386" s="0" t="n"/>
      <c r="V386" s="333" t="n"/>
      <c r="W386" s="0" t="n"/>
      <c r="X386" s="0" t="n"/>
      <c r="Y386" s="0" t="n"/>
      <c r="Z386" s="0" t="n"/>
      <c r="AA386" s="0" t="n"/>
      <c r="AB386" s="0" t="n"/>
      <c r="AC386" s="0" t="n"/>
      <c r="AD386" s="0" t="n"/>
      <c r="AE386" s="0" t="n"/>
      <c r="AF386" s="0" t="n"/>
      <c r="AG386" s="0" t="n"/>
      <c r="AH386" s="0" t="n"/>
      <c r="AI386" s="0" t="n"/>
      <c r="AJ386" s="0" t="n"/>
      <c r="AK386" s="0" t="n"/>
      <c r="AL386" s="0" t="n"/>
      <c r="AM386" s="0" t="n"/>
      <c r="AN386" s="0" t="n"/>
      <c r="AO386" s="0" t="n"/>
      <c r="AP386" s="0" t="n"/>
      <c r="AQ386" s="0" t="n"/>
      <c r="AR386" s="0" t="n"/>
      <c r="AS386" s="0" t="n"/>
      <c r="AT386" s="0" t="n"/>
      <c r="AU386" s="0" t="n"/>
      <c r="AV386" s="0" t="n"/>
      <c r="AW386" s="0" t="n"/>
      <c r="AX386" s="0" t="n"/>
      <c r="AY386" s="0" t="n"/>
      <c r="AZ386" s="0" t="n"/>
      <c r="BA386" s="0" t="n"/>
      <c r="BB386" s="0" t="n"/>
      <c r="BC386" s="0" t="n"/>
      <c r="BD386" s="0" t="n"/>
      <c r="BE386" s="0" t="n"/>
      <c r="BF386" s="0" t="n"/>
      <c r="BG386" s="0" t="n"/>
      <c r="BH386" s="0" t="n"/>
      <c r="BI386" s="0" t="n"/>
      <c r="BJ386" s="0" t="n"/>
      <c r="BK386" s="0" t="n"/>
      <c r="BL386" s="0" t="n"/>
      <c r="BM386" s="0" t="n"/>
      <c r="BN386" s="0" t="n"/>
      <c r="BO386" s="0" t="n"/>
      <c r="BP386" s="0" t="n"/>
    </row>
    <row customHeight="true" ht="12.75" outlineLevel="0" r="387">
      <c r="A387" s="331" t="n">
        <f aca="false" ca="false" dt2D="false" dtr="false" t="normal">+A386+1</f>
        <v>371</v>
      </c>
      <c r="B387" s="6" t="n">
        <f aca="false" ca="false" dt2D="false" dtr="false" t="normal">+B386+1</f>
        <v>182</v>
      </c>
      <c r="C387" s="138" t="s">
        <v>104</v>
      </c>
      <c r="D387" s="6" t="s">
        <v>273</v>
      </c>
      <c r="E387" s="27" t="n">
        <f aca="false" ca="true" dt2D="false" dtr="false" t="normal">SUBTOTAL(9, F387:T387)</f>
        <v>2095365.92</v>
      </c>
      <c r="F387" s="18" t="n">
        <v>2095365.92</v>
      </c>
      <c r="G387" s="18" t="n">
        <v>0</v>
      </c>
      <c r="H387" s="18" t="n"/>
      <c r="I387" s="18" t="n">
        <v>0</v>
      </c>
      <c r="J387" s="18" t="n">
        <v>0</v>
      </c>
      <c r="K387" s="18" t="n"/>
      <c r="L387" s="18" t="n"/>
      <c r="M387" s="18" t="n">
        <v>0</v>
      </c>
      <c r="N387" s="18" t="n">
        <v>0</v>
      </c>
      <c r="O387" s="18" t="n">
        <v>0</v>
      </c>
      <c r="P387" s="18" t="n">
        <v>0</v>
      </c>
      <c r="Q387" s="18" t="n">
        <v>0</v>
      </c>
      <c r="R387" s="18" t="n"/>
      <c r="S387" s="18" t="n"/>
      <c r="T387" s="191" t="n"/>
      <c r="U387" s="0" t="n"/>
      <c r="V387" s="333" t="n"/>
      <c r="W387" s="0" t="n"/>
      <c r="X387" s="0" t="n"/>
      <c r="Y387" s="0" t="n"/>
      <c r="Z387" s="0" t="n"/>
      <c r="AA387" s="0" t="n"/>
      <c r="AB387" s="0" t="n"/>
      <c r="AC387" s="0" t="n"/>
      <c r="AD387" s="0" t="n"/>
      <c r="AE387" s="0" t="n"/>
      <c r="AF387" s="0" t="n"/>
      <c r="AG387" s="0" t="n"/>
      <c r="AH387" s="0" t="n"/>
      <c r="AI387" s="0" t="n"/>
      <c r="AJ387" s="0" t="n"/>
      <c r="AK387" s="0" t="n"/>
      <c r="AL387" s="0" t="n"/>
      <c r="AM387" s="0" t="n"/>
      <c r="AN387" s="0" t="n"/>
      <c r="AO387" s="0" t="n"/>
      <c r="AP387" s="0" t="n"/>
      <c r="AQ387" s="0" t="n"/>
      <c r="AR387" s="0" t="n"/>
      <c r="AS387" s="0" t="n"/>
      <c r="AT387" s="0" t="n"/>
      <c r="AU387" s="0" t="n"/>
      <c r="AV387" s="0" t="n"/>
      <c r="AW387" s="0" t="n"/>
      <c r="AX387" s="0" t="n"/>
      <c r="AY387" s="0" t="n"/>
      <c r="AZ387" s="0" t="n"/>
      <c r="BA387" s="0" t="n"/>
      <c r="BB387" s="0" t="n"/>
      <c r="BC387" s="0" t="n"/>
      <c r="BD387" s="0" t="n"/>
      <c r="BE387" s="0" t="n"/>
      <c r="BF387" s="0" t="n"/>
      <c r="BG387" s="0" t="n"/>
      <c r="BH387" s="0" t="n"/>
      <c r="BI387" s="0" t="n"/>
      <c r="BJ387" s="0" t="n"/>
      <c r="BK387" s="0" t="n"/>
      <c r="BL387" s="0" t="n"/>
      <c r="BM387" s="0" t="n"/>
      <c r="BN387" s="0" t="n"/>
      <c r="BO387" s="0" t="n"/>
      <c r="BP387" s="0" t="n"/>
    </row>
    <row outlineLevel="0" r="388">
      <c r="A388" s="331" t="n">
        <f aca="false" ca="false" dt2D="false" dtr="false" t="normal">+A387+1</f>
        <v>372</v>
      </c>
      <c r="B388" s="6" t="n">
        <f aca="false" ca="false" dt2D="false" dtr="false" t="normal">+B387+1</f>
        <v>183</v>
      </c>
      <c r="C388" s="138" t="s">
        <v>104</v>
      </c>
      <c r="D388" s="6" t="s">
        <v>275</v>
      </c>
      <c r="E388" s="203" t="n">
        <f aca="false" ca="true" dt2D="false" dtr="false" t="normal">SUBTOTAL(9, F388:T388)</f>
        <v>10896388.01</v>
      </c>
      <c r="F388" s="18" t="n">
        <v>0</v>
      </c>
      <c r="G388" s="18" t="n">
        <v>0</v>
      </c>
      <c r="H388" s="18" t="n">
        <v>0</v>
      </c>
      <c r="I388" s="18" t="n"/>
      <c r="J388" s="18" t="n">
        <v>0</v>
      </c>
      <c r="K388" s="18" t="n"/>
      <c r="L388" s="18" t="n"/>
      <c r="M388" s="18" t="n">
        <v>0</v>
      </c>
      <c r="N388" s="18" t="n">
        <v>0</v>
      </c>
      <c r="O388" s="18" t="n">
        <v>0</v>
      </c>
      <c r="P388" s="18" t="n">
        <v>10799889.6</v>
      </c>
      <c r="Q388" s="18" t="n">
        <v>0</v>
      </c>
      <c r="R388" s="18" t="n"/>
      <c r="S388" s="18" t="n"/>
      <c r="T388" s="191" t="n">
        <v>96498.41</v>
      </c>
      <c r="U388" s="0" t="n"/>
      <c r="V388" s="333" t="n"/>
      <c r="W388" s="0" t="n"/>
      <c r="X388" s="0" t="n"/>
      <c r="Y388" s="0" t="n"/>
      <c r="Z388" s="0" t="n"/>
      <c r="AA388" s="0" t="n"/>
      <c r="AB388" s="0" t="n"/>
      <c r="AC388" s="0" t="n"/>
      <c r="AD388" s="0" t="n"/>
      <c r="AE388" s="0" t="n"/>
      <c r="AF388" s="0" t="n"/>
      <c r="AG388" s="0" t="n"/>
      <c r="AH388" s="0" t="n"/>
      <c r="AI388" s="0" t="n"/>
      <c r="AJ388" s="0" t="n"/>
      <c r="AK388" s="0" t="n"/>
      <c r="AL388" s="0" t="n"/>
      <c r="AM388" s="0" t="n"/>
      <c r="AN388" s="0" t="n"/>
      <c r="AO388" s="0" t="n"/>
      <c r="AP388" s="0" t="n"/>
      <c r="AQ388" s="0" t="n"/>
      <c r="AR388" s="0" t="n"/>
      <c r="AS388" s="0" t="n"/>
      <c r="AT388" s="0" t="n"/>
      <c r="AU388" s="0" t="n"/>
      <c r="AV388" s="0" t="n"/>
      <c r="AW388" s="0" t="n"/>
      <c r="AX388" s="0" t="n"/>
      <c r="AY388" s="0" t="n"/>
      <c r="AZ388" s="0" t="n"/>
      <c r="BA388" s="0" t="n"/>
      <c r="BB388" s="0" t="n"/>
      <c r="BC388" s="0" t="n"/>
      <c r="BD388" s="0" t="n"/>
      <c r="BE388" s="0" t="n"/>
      <c r="BF388" s="0" t="n"/>
      <c r="BG388" s="0" t="n"/>
      <c r="BH388" s="0" t="n"/>
      <c r="BI388" s="0" t="n"/>
      <c r="BJ388" s="0" t="n"/>
      <c r="BK388" s="0" t="n"/>
      <c r="BL388" s="0" t="n"/>
      <c r="BM388" s="0" t="n"/>
      <c r="BN388" s="0" t="n"/>
      <c r="BO388" s="0" t="n"/>
      <c r="BP388" s="0" t="n"/>
    </row>
    <row outlineLevel="0" r="389">
      <c r="A389" s="331" t="n">
        <f aca="false" ca="false" dt2D="false" dtr="false" t="normal">+A388+1</f>
        <v>373</v>
      </c>
      <c r="B389" s="6" t="n">
        <f aca="false" ca="false" dt2D="false" dtr="false" t="normal">+B388+1</f>
        <v>184</v>
      </c>
      <c r="C389" s="138" t="s">
        <v>104</v>
      </c>
      <c r="D389" s="138" t="s">
        <v>685</v>
      </c>
      <c r="E389" s="203" t="n">
        <f aca="false" ca="true" dt2D="false" dtr="false" t="normal">SUBTOTAL(9, F389:T389)</f>
        <v>7651462.94</v>
      </c>
      <c r="F389" s="17" t="n">
        <v>7651462.94</v>
      </c>
      <c r="G389" s="18" t="n">
        <v>0</v>
      </c>
      <c r="H389" s="18" t="n">
        <v>0</v>
      </c>
      <c r="I389" s="18" t="n">
        <v>0</v>
      </c>
      <c r="J389" s="18" t="n">
        <v>0</v>
      </c>
      <c r="K389" s="18" t="n"/>
      <c r="L389" s="18" t="n"/>
      <c r="M389" s="18" t="n">
        <v>0</v>
      </c>
      <c r="N389" s="18" t="n">
        <v>0</v>
      </c>
      <c r="O389" s="18" t="n">
        <v>0</v>
      </c>
      <c r="P389" s="18" t="n">
        <v>0</v>
      </c>
      <c r="Q389" s="18" t="n">
        <v>0</v>
      </c>
      <c r="R389" s="18" t="n"/>
      <c r="S389" s="18" t="n"/>
      <c r="T389" s="191" t="n"/>
    </row>
    <row customHeight="true" ht="15" outlineLevel="0" r="390">
      <c r="A390" s="331" t="n">
        <f aca="false" ca="false" dt2D="false" dtr="false" t="normal">+A389+1</f>
        <v>374</v>
      </c>
      <c r="B390" s="6" t="n">
        <f aca="false" ca="false" dt2D="false" dtr="false" t="normal">+B389+1</f>
        <v>185</v>
      </c>
      <c r="C390" s="138" t="s">
        <v>104</v>
      </c>
      <c r="D390" s="6" t="s">
        <v>686</v>
      </c>
      <c r="E390" s="203" t="n">
        <f aca="false" ca="true" dt2D="false" dtr="false" t="normal">SUBTOTAL(9, F390:T390)</f>
        <v>17663014.45</v>
      </c>
      <c r="F390" s="18" t="n">
        <v>0</v>
      </c>
      <c r="G390" s="18" t="n">
        <v>0</v>
      </c>
      <c r="H390" s="18" t="n">
        <v>0</v>
      </c>
      <c r="I390" s="18" t="n">
        <v>0</v>
      </c>
      <c r="J390" s="18" t="n">
        <v>0</v>
      </c>
      <c r="K390" s="18" t="n"/>
      <c r="L390" s="18" t="n"/>
      <c r="M390" s="18" t="n">
        <v>0</v>
      </c>
      <c r="N390" s="18" t="n">
        <v>0</v>
      </c>
      <c r="O390" s="18" t="n">
        <v>0</v>
      </c>
      <c r="P390" s="18" t="n">
        <v>17491598.4</v>
      </c>
      <c r="Q390" s="18" t="n">
        <v>0</v>
      </c>
      <c r="R390" s="18" t="n"/>
      <c r="S390" s="18" t="n"/>
      <c r="T390" s="191" t="n">
        <v>171416.05</v>
      </c>
      <c r="U390" s="0" t="n"/>
      <c r="V390" s="333" t="n"/>
      <c r="W390" s="0" t="n"/>
      <c r="X390" s="0" t="n"/>
      <c r="Y390" s="0" t="n"/>
      <c r="Z390" s="0" t="n"/>
      <c r="AA390" s="0" t="n"/>
      <c r="AB390" s="0" t="n"/>
      <c r="AC390" s="0" t="n"/>
      <c r="AD390" s="0" t="n"/>
      <c r="AE390" s="0" t="n"/>
      <c r="AF390" s="0" t="n"/>
      <c r="AG390" s="0" t="n"/>
      <c r="AH390" s="0" t="n"/>
      <c r="AI390" s="0" t="n"/>
      <c r="AJ390" s="0" t="n"/>
      <c r="AK390" s="0" t="n"/>
      <c r="AL390" s="0" t="n"/>
      <c r="AM390" s="0" t="n"/>
      <c r="AN390" s="0" t="n"/>
      <c r="AO390" s="0" t="n"/>
      <c r="AP390" s="0" t="n"/>
      <c r="AQ390" s="0" t="n"/>
      <c r="AR390" s="0" t="n"/>
      <c r="AS390" s="0" t="n"/>
      <c r="AT390" s="0" t="n"/>
      <c r="AU390" s="0" t="n"/>
      <c r="AV390" s="0" t="n"/>
      <c r="AW390" s="0" t="n"/>
      <c r="AX390" s="0" t="n"/>
      <c r="AY390" s="0" t="n"/>
      <c r="AZ390" s="0" t="n"/>
      <c r="BA390" s="0" t="n"/>
      <c r="BB390" s="0" t="n"/>
      <c r="BC390" s="0" t="n"/>
      <c r="BD390" s="0" t="n"/>
      <c r="BE390" s="0" t="n"/>
      <c r="BF390" s="0" t="n"/>
      <c r="BG390" s="0" t="n"/>
      <c r="BH390" s="0" t="n"/>
      <c r="BI390" s="0" t="n"/>
      <c r="BJ390" s="0" t="n"/>
      <c r="BK390" s="0" t="n"/>
      <c r="BL390" s="0" t="n"/>
      <c r="BM390" s="0" t="n"/>
      <c r="BN390" s="0" t="n"/>
      <c r="BO390" s="0" t="n"/>
      <c r="BP390" s="0" t="n"/>
    </row>
    <row outlineLevel="0" r="391">
      <c r="A391" s="331" t="n">
        <f aca="false" ca="false" dt2D="false" dtr="false" t="normal">+A390+1</f>
        <v>375</v>
      </c>
      <c r="B391" s="6" t="n">
        <f aca="false" ca="false" dt2D="false" dtr="false" t="normal">+B390+1</f>
        <v>186</v>
      </c>
      <c r="C391" s="138" t="s">
        <v>104</v>
      </c>
      <c r="D391" s="6" t="s">
        <v>280</v>
      </c>
      <c r="E391" s="203" t="n">
        <f aca="false" ca="true" dt2D="false" dtr="false" t="normal">SUBTOTAL(9, F391:T391)</f>
        <v>2848341.03</v>
      </c>
      <c r="F391" s="18" t="n">
        <v>1926147.5</v>
      </c>
      <c r="G391" s="18" t="n"/>
      <c r="H391" s="18" t="n"/>
      <c r="I391" s="18" t="n">
        <v>888374.4</v>
      </c>
      <c r="J391" s="18" t="n">
        <v>0</v>
      </c>
      <c r="K391" s="18" t="n"/>
      <c r="L391" s="18" t="n"/>
      <c r="M391" s="18" t="n">
        <v>0</v>
      </c>
      <c r="N391" s="18" t="n">
        <v>0</v>
      </c>
      <c r="O391" s="18" t="n"/>
      <c r="P391" s="18" t="n">
        <v>0</v>
      </c>
      <c r="Q391" s="18" t="n">
        <v>0</v>
      </c>
      <c r="R391" s="18" t="n"/>
      <c r="S391" s="18" t="n"/>
      <c r="T391" s="191" t="n">
        <f aca="false" ca="false" dt2D="false" dtr="false" t="normal">25466.07+8353.06</f>
        <v>33819.13</v>
      </c>
      <c r="U391" s="0" t="n"/>
      <c r="V391" s="333" t="n"/>
      <c r="W391" s="0" t="n"/>
      <c r="X391" s="0" t="n"/>
      <c r="Y391" s="0" t="n"/>
      <c r="Z391" s="0" t="n"/>
      <c r="AA391" s="0" t="n"/>
      <c r="AB391" s="0" t="n"/>
      <c r="AC391" s="0" t="n"/>
      <c r="AD391" s="0" t="n"/>
      <c r="AE391" s="0" t="n"/>
      <c r="AF391" s="0" t="n"/>
      <c r="AG391" s="0" t="n"/>
      <c r="AH391" s="0" t="n"/>
      <c r="AI391" s="0" t="n"/>
      <c r="AJ391" s="0" t="n"/>
      <c r="AK391" s="0" t="n"/>
      <c r="AL391" s="0" t="n"/>
      <c r="AM391" s="0" t="n"/>
      <c r="AN391" s="0" t="n"/>
      <c r="AO391" s="0" t="n"/>
      <c r="AP391" s="0" t="n"/>
      <c r="AQ391" s="0" t="n"/>
      <c r="AR391" s="0" t="n"/>
      <c r="AS391" s="0" t="n"/>
      <c r="AT391" s="0" t="n"/>
      <c r="AU391" s="0" t="n"/>
      <c r="AV391" s="0" t="n"/>
      <c r="AW391" s="0" t="n"/>
      <c r="AX391" s="0" t="n"/>
      <c r="AY391" s="0" t="n"/>
      <c r="AZ391" s="0" t="n"/>
      <c r="BA391" s="0" t="n"/>
      <c r="BB391" s="0" t="n"/>
      <c r="BC391" s="0" t="n"/>
      <c r="BD391" s="0" t="n"/>
      <c r="BE391" s="0" t="n"/>
      <c r="BF391" s="0" t="n"/>
      <c r="BG391" s="0" t="n"/>
      <c r="BH391" s="0" t="n"/>
      <c r="BI391" s="0" t="n"/>
      <c r="BJ391" s="0" t="n"/>
      <c r="BK391" s="0" t="n"/>
      <c r="BL391" s="0" t="n"/>
      <c r="BM391" s="0" t="n"/>
      <c r="BN391" s="0" t="n"/>
      <c r="BO391" s="0" t="n"/>
      <c r="BP391" s="0" t="n"/>
    </row>
    <row outlineLevel="0" r="392">
      <c r="A392" s="331" t="n">
        <f aca="false" ca="false" dt2D="false" dtr="false" t="normal">+A391+1</f>
        <v>376</v>
      </c>
      <c r="B392" s="6" t="n">
        <f aca="false" ca="false" dt2D="false" dtr="false" t="normal">+B391+1</f>
        <v>187</v>
      </c>
      <c r="C392" s="138" t="s">
        <v>104</v>
      </c>
      <c r="D392" s="6" t="s">
        <v>687</v>
      </c>
      <c r="E392" s="203" t="n">
        <f aca="false" ca="true" dt2D="false" dtr="false" t="normal">SUBTOTAL(9, F392:T392)</f>
        <v>7976366.14</v>
      </c>
      <c r="F392" s="18" t="n">
        <v>0</v>
      </c>
      <c r="G392" s="18" t="n">
        <v>0</v>
      </c>
      <c r="H392" s="18" t="n">
        <v>0</v>
      </c>
      <c r="I392" s="18" t="n">
        <v>0</v>
      </c>
      <c r="J392" s="18" t="n">
        <v>0</v>
      </c>
      <c r="K392" s="18" t="n"/>
      <c r="L392" s="18" t="n"/>
      <c r="M392" s="18" t="n">
        <v>0</v>
      </c>
      <c r="N392" s="18" t="n">
        <v>7914683.09</v>
      </c>
      <c r="O392" s="18" t="n">
        <v>0</v>
      </c>
      <c r="P392" s="18" t="n">
        <v>0</v>
      </c>
      <c r="Q392" s="18" t="n">
        <v>0</v>
      </c>
      <c r="R392" s="18" t="n"/>
      <c r="S392" s="18" t="n"/>
      <c r="T392" s="191" t="n">
        <v>61683.05</v>
      </c>
      <c r="U392" s="0" t="n"/>
      <c r="V392" s="333" t="n"/>
      <c r="W392" s="0" t="n"/>
      <c r="X392" s="0" t="n"/>
      <c r="Y392" s="0" t="n"/>
      <c r="Z392" s="0" t="n"/>
      <c r="AA392" s="0" t="n"/>
      <c r="AB392" s="0" t="n"/>
      <c r="AC392" s="0" t="n"/>
      <c r="AD392" s="0" t="n"/>
      <c r="AE392" s="0" t="n"/>
      <c r="AF392" s="0" t="n"/>
      <c r="AG392" s="0" t="n"/>
      <c r="AH392" s="0" t="n"/>
      <c r="AI392" s="0" t="n"/>
      <c r="AJ392" s="0" t="n"/>
      <c r="AK392" s="0" t="n"/>
      <c r="AL392" s="0" t="n"/>
      <c r="AM392" s="0" t="n"/>
      <c r="AN392" s="0" t="n"/>
      <c r="AO392" s="0" t="n"/>
      <c r="AP392" s="0" t="n"/>
      <c r="AQ392" s="0" t="n"/>
      <c r="AR392" s="0" t="n"/>
      <c r="AS392" s="0" t="n"/>
      <c r="AT392" s="0" t="n"/>
      <c r="AU392" s="0" t="n"/>
      <c r="AV392" s="0" t="n"/>
      <c r="AW392" s="0" t="n"/>
      <c r="AX392" s="0" t="n"/>
      <c r="AY392" s="0" t="n"/>
      <c r="AZ392" s="0" t="n"/>
      <c r="BA392" s="0" t="n"/>
      <c r="BB392" s="0" t="n"/>
      <c r="BC392" s="0" t="n"/>
      <c r="BD392" s="0" t="n"/>
      <c r="BE392" s="0" t="n"/>
      <c r="BF392" s="0" t="n"/>
      <c r="BG392" s="0" t="n"/>
      <c r="BH392" s="0" t="n"/>
      <c r="BI392" s="0" t="n"/>
      <c r="BJ392" s="0" t="n"/>
      <c r="BK392" s="0" t="n"/>
      <c r="BL392" s="0" t="n"/>
      <c r="BM392" s="0" t="n"/>
      <c r="BN392" s="0" t="n"/>
      <c r="BO392" s="0" t="n"/>
      <c r="BP392" s="0" t="n"/>
    </row>
    <row outlineLevel="0" r="393">
      <c r="A393" s="331" t="n">
        <f aca="false" ca="false" dt2D="false" dtr="false" t="normal">+A392+1</f>
        <v>377</v>
      </c>
      <c r="B393" s="6" t="n">
        <f aca="false" ca="false" dt2D="false" dtr="false" t="normal">+B392+1</f>
        <v>188</v>
      </c>
      <c r="C393" s="138" t="s">
        <v>104</v>
      </c>
      <c r="D393" s="6" t="s">
        <v>172</v>
      </c>
      <c r="E393" s="27" t="n">
        <f aca="false" ca="true" dt2D="false" dtr="false" t="normal">SUBTOTAL(9, F393:T393)</f>
        <v>2391153.64</v>
      </c>
      <c r="F393" s="18" t="n">
        <v>2391153.64</v>
      </c>
      <c r="G393" s="18" t="n"/>
      <c r="H393" s="18" t="n">
        <v>0</v>
      </c>
      <c r="I393" s="18" t="n">
        <v>0</v>
      </c>
      <c r="J393" s="18" t="n">
        <v>0</v>
      </c>
      <c r="K393" s="18" t="n"/>
      <c r="L393" s="18" t="n"/>
      <c r="M393" s="18" t="n"/>
      <c r="N393" s="18" t="n"/>
      <c r="O393" s="18" t="n"/>
      <c r="P393" s="18" t="n"/>
      <c r="Q393" s="18" t="n">
        <v>0</v>
      </c>
      <c r="R393" s="18" t="n"/>
      <c r="S393" s="18" t="n"/>
      <c r="T393" s="191" t="n"/>
      <c r="U393" s="0" t="n"/>
      <c r="V393" s="333" t="n"/>
      <c r="W393" s="0" t="n"/>
      <c r="X393" s="0" t="n"/>
      <c r="Y393" s="0" t="n"/>
      <c r="Z393" s="0" t="n"/>
      <c r="AA393" s="0" t="n"/>
      <c r="AB393" s="0" t="n"/>
      <c r="AC393" s="0" t="n"/>
      <c r="AD393" s="0" t="n"/>
      <c r="AE393" s="0" t="n"/>
      <c r="AF393" s="0" t="n"/>
      <c r="AG393" s="0" t="n"/>
      <c r="AH393" s="0" t="n"/>
      <c r="AI393" s="0" t="n"/>
      <c r="AJ393" s="0" t="n"/>
      <c r="AK393" s="0" t="n"/>
      <c r="AL393" s="0" t="n"/>
      <c r="AM393" s="0" t="n"/>
      <c r="AN393" s="0" t="n"/>
      <c r="AO393" s="0" t="n"/>
      <c r="AP393" s="0" t="n"/>
      <c r="AQ393" s="0" t="n"/>
      <c r="AR393" s="0" t="n"/>
      <c r="AS393" s="0" t="n"/>
      <c r="AT393" s="0" t="n"/>
      <c r="AU393" s="0" t="n"/>
      <c r="AV393" s="0" t="n"/>
      <c r="AW393" s="0" t="n"/>
      <c r="AX393" s="0" t="n"/>
      <c r="AY393" s="0" t="n"/>
      <c r="AZ393" s="0" t="n"/>
      <c r="BA393" s="0" t="n"/>
      <c r="BB393" s="0" t="n"/>
      <c r="BC393" s="0" t="n"/>
      <c r="BD393" s="0" t="n"/>
      <c r="BE393" s="0" t="n"/>
      <c r="BF393" s="0" t="n"/>
      <c r="BG393" s="0" t="n"/>
      <c r="BH393" s="0" t="n"/>
      <c r="BI393" s="0" t="n"/>
      <c r="BJ393" s="0" t="n"/>
      <c r="BK393" s="0" t="n"/>
      <c r="BL393" s="0" t="n"/>
      <c r="BM393" s="0" t="n"/>
      <c r="BN393" s="0" t="n"/>
      <c r="BO393" s="0" t="n"/>
      <c r="BP393" s="0" t="n"/>
    </row>
    <row outlineLevel="0" r="394">
      <c r="A394" s="331" t="n">
        <f aca="false" ca="false" dt2D="false" dtr="false" t="normal">+A393+1</f>
        <v>378</v>
      </c>
      <c r="B394" s="6" t="s">
        <v>76</v>
      </c>
      <c r="C394" s="138" t="s">
        <v>104</v>
      </c>
      <c r="D394" s="138" t="s">
        <v>287</v>
      </c>
      <c r="E394" s="203" t="n">
        <f aca="false" ca="true" dt2D="false" dtr="false" t="normal">SUBTOTAL(9, F394:T394)</f>
        <v>7614332.94</v>
      </c>
      <c r="F394" s="18" t="n">
        <v>7614332.94</v>
      </c>
      <c r="G394" s="18" t="n">
        <v>0</v>
      </c>
      <c r="H394" s="18" t="n">
        <v>0</v>
      </c>
      <c r="I394" s="18" t="n"/>
      <c r="J394" s="18" t="n">
        <v>0</v>
      </c>
      <c r="K394" s="18" t="n"/>
      <c r="L394" s="18" t="n"/>
      <c r="M394" s="18" t="n">
        <v>0</v>
      </c>
      <c r="N394" s="18" t="n"/>
      <c r="O394" s="18" t="n"/>
      <c r="P394" s="18" t="n">
        <v>0</v>
      </c>
      <c r="Q394" s="18" t="n">
        <v>0</v>
      </c>
      <c r="R394" s="18" t="n"/>
      <c r="S394" s="18" t="n"/>
      <c r="T394" s="191" t="n"/>
    </row>
    <row outlineLevel="0" r="395">
      <c r="A395" s="331" t="n">
        <f aca="false" ca="false" dt2D="false" dtr="false" t="normal">+A394+1</f>
        <v>379</v>
      </c>
      <c r="B395" s="6" t="n">
        <v>189</v>
      </c>
      <c r="C395" s="138" t="s">
        <v>104</v>
      </c>
      <c r="D395" s="6" t="s">
        <v>691</v>
      </c>
      <c r="E395" s="203" t="n">
        <f aca="false" ca="true" dt2D="false" dtr="false" t="normal">SUBTOTAL(9, F395:T395)</f>
        <v>21876387</v>
      </c>
      <c r="F395" s="18" t="n">
        <v>0</v>
      </c>
      <c r="G395" s="18" t="n">
        <v>0</v>
      </c>
      <c r="H395" s="18" t="n">
        <v>0</v>
      </c>
      <c r="I395" s="18" t="n">
        <v>0</v>
      </c>
      <c r="J395" s="18" t="n">
        <v>0</v>
      </c>
      <c r="K395" s="18" t="n"/>
      <c r="L395" s="18" t="n"/>
      <c r="M395" s="18" t="n">
        <v>0</v>
      </c>
      <c r="N395" s="18" t="n">
        <v>0</v>
      </c>
      <c r="O395" s="18" t="n">
        <v>0</v>
      </c>
      <c r="P395" s="18" t="n">
        <v>21876387</v>
      </c>
      <c r="Q395" s="18" t="n">
        <v>0</v>
      </c>
      <c r="R395" s="18" t="n"/>
      <c r="S395" s="18" t="n"/>
      <c r="T395" s="191" t="n"/>
      <c r="U395" s="0" t="n"/>
      <c r="V395" s="333" t="n"/>
      <c r="W395" s="0" t="n"/>
      <c r="X395" s="0" t="n"/>
      <c r="Y395" s="0" t="n"/>
      <c r="Z395" s="0" t="n"/>
      <c r="AA395" s="0" t="n"/>
      <c r="AB395" s="0" t="n"/>
      <c r="AC395" s="0" t="n"/>
      <c r="AD395" s="0" t="n"/>
      <c r="AE395" s="0" t="n"/>
      <c r="AF395" s="0" t="n"/>
      <c r="AG395" s="0" t="n"/>
      <c r="AH395" s="0" t="n"/>
      <c r="AI395" s="0" t="n"/>
      <c r="AJ395" s="0" t="n"/>
      <c r="AK395" s="0" t="n"/>
      <c r="AL395" s="0" t="n"/>
      <c r="AM395" s="0" t="n"/>
      <c r="AN395" s="0" t="n"/>
      <c r="AO395" s="0" t="n"/>
      <c r="AP395" s="0" t="n"/>
      <c r="AQ395" s="0" t="n"/>
      <c r="AR395" s="0" t="n"/>
      <c r="AS395" s="0" t="n"/>
      <c r="AT395" s="0" t="n"/>
      <c r="AU395" s="0" t="n"/>
      <c r="AV395" s="0" t="n"/>
      <c r="AW395" s="0" t="n"/>
      <c r="AX395" s="0" t="n"/>
      <c r="AY395" s="0" t="n"/>
      <c r="AZ395" s="0" t="n"/>
      <c r="BA395" s="0" t="n"/>
      <c r="BB395" s="0" t="n"/>
      <c r="BC395" s="0" t="n"/>
      <c r="BD395" s="0" t="n"/>
      <c r="BE395" s="0" t="n"/>
      <c r="BF395" s="0" t="n"/>
      <c r="BG395" s="0" t="n"/>
      <c r="BH395" s="0" t="n"/>
      <c r="BI395" s="0" t="n"/>
      <c r="BJ395" s="0" t="n"/>
      <c r="BK395" s="0" t="n"/>
      <c r="BL395" s="0" t="n"/>
      <c r="BM395" s="0" t="n"/>
      <c r="BN395" s="0" t="n"/>
      <c r="BO395" s="0" t="n"/>
      <c r="BP395" s="0" t="n"/>
    </row>
    <row outlineLevel="0" r="396">
      <c r="A396" s="331" t="n">
        <f aca="false" ca="false" dt2D="false" dtr="false" t="normal">+A395+1</f>
        <v>380</v>
      </c>
      <c r="B396" s="6" t="s">
        <v>76</v>
      </c>
      <c r="C396" s="138" t="s">
        <v>104</v>
      </c>
      <c r="D396" s="6" t="s">
        <v>491</v>
      </c>
      <c r="E396" s="203" t="n">
        <f aca="false" ca="true" dt2D="false" dtr="false" t="normal">SUBTOTAL(9, F396:T396)</f>
        <v>2107839.74</v>
      </c>
      <c r="F396" s="18" t="n">
        <v>2107839.74</v>
      </c>
      <c r="G396" s="18" t="n"/>
      <c r="H396" s="18" t="n">
        <v>0</v>
      </c>
      <c r="I396" s="18" t="n"/>
      <c r="J396" s="18" t="n">
        <v>0</v>
      </c>
      <c r="K396" s="18" t="n"/>
      <c r="L396" s="18" t="n"/>
      <c r="M396" s="18" t="n">
        <v>0</v>
      </c>
      <c r="N396" s="18" t="n">
        <v>0</v>
      </c>
      <c r="O396" s="18" t="n">
        <v>0</v>
      </c>
      <c r="P396" s="18" t="n">
        <v>0</v>
      </c>
      <c r="Q396" s="18" t="n">
        <v>0</v>
      </c>
      <c r="R396" s="18" t="n"/>
      <c r="S396" s="18" t="n"/>
      <c r="T396" s="191" t="n"/>
      <c r="U396" s="0" t="n"/>
      <c r="V396" s="333" t="n"/>
      <c r="W396" s="0" t="n"/>
      <c r="X396" s="0" t="n"/>
      <c r="Y396" s="0" t="n"/>
      <c r="Z396" s="0" t="n"/>
      <c r="AA396" s="0" t="n"/>
      <c r="AB396" s="0" t="n"/>
      <c r="AC396" s="0" t="n"/>
      <c r="AD396" s="0" t="n"/>
      <c r="AE396" s="0" t="n"/>
      <c r="AF396" s="0" t="n"/>
      <c r="AG396" s="0" t="n"/>
      <c r="AH396" s="0" t="n"/>
      <c r="AI396" s="0" t="n"/>
      <c r="AJ396" s="0" t="n"/>
      <c r="AK396" s="0" t="n"/>
      <c r="AL396" s="0" t="n"/>
      <c r="AM396" s="0" t="n"/>
      <c r="AN396" s="0" t="n"/>
      <c r="AO396" s="0" t="n"/>
      <c r="AP396" s="0" t="n"/>
      <c r="AQ396" s="0" t="n"/>
      <c r="AR396" s="0" t="n"/>
      <c r="AS396" s="0" t="n"/>
      <c r="AT396" s="0" t="n"/>
      <c r="AU396" s="0" t="n"/>
      <c r="AV396" s="0" t="n"/>
      <c r="AW396" s="0" t="n"/>
      <c r="AX396" s="0" t="n"/>
      <c r="AY396" s="0" t="n"/>
      <c r="AZ396" s="0" t="n"/>
      <c r="BA396" s="0" t="n"/>
      <c r="BB396" s="0" t="n"/>
      <c r="BC396" s="0" t="n"/>
      <c r="BD396" s="0" t="n"/>
      <c r="BE396" s="0" t="n"/>
      <c r="BF396" s="0" t="n"/>
      <c r="BG396" s="0" t="n"/>
      <c r="BH396" s="0" t="n"/>
      <c r="BI396" s="0" t="n"/>
      <c r="BJ396" s="0" t="n"/>
      <c r="BK396" s="0" t="n"/>
      <c r="BL396" s="0" t="n"/>
      <c r="BM396" s="0" t="n"/>
      <c r="BN396" s="0" t="n"/>
      <c r="BO396" s="0" t="n"/>
      <c r="BP396" s="0" t="n"/>
    </row>
    <row outlineLevel="0" r="397">
      <c r="A397" s="331" t="n">
        <f aca="false" ca="false" dt2D="false" dtr="false" t="normal">+A396+1</f>
        <v>381</v>
      </c>
      <c r="B397" s="6" t="n">
        <v>190</v>
      </c>
      <c r="C397" s="138" t="s">
        <v>104</v>
      </c>
      <c r="D397" s="138" t="s">
        <v>315</v>
      </c>
      <c r="E397" s="27" t="n">
        <f aca="false" ca="true" dt2D="false" dtr="false" t="normal">SUBTOTAL(9, F397:T397)</f>
        <v>2097595.92</v>
      </c>
      <c r="F397" s="17" t="n"/>
      <c r="G397" s="18" t="n">
        <v>0</v>
      </c>
      <c r="H397" s="18" t="n">
        <v>1240683.24</v>
      </c>
      <c r="I397" s="18" t="n">
        <v>452701.66</v>
      </c>
      <c r="J397" s="18" t="n"/>
      <c r="K397" s="18" t="n"/>
      <c r="L397" s="18" t="n"/>
      <c r="M397" s="18" t="n"/>
      <c r="N397" s="18" t="n"/>
      <c r="O397" s="18" t="n"/>
      <c r="P397" s="18" t="n"/>
      <c r="Q397" s="18" t="n"/>
      <c r="R397" s="18" t="n">
        <v>388211.02</v>
      </c>
      <c r="S397" s="18" t="n">
        <v>16000</v>
      </c>
      <c r="T397" s="191" t="n"/>
    </row>
    <row outlineLevel="0" r="398">
      <c r="A398" s="331" t="n">
        <f aca="false" ca="false" dt2D="false" dtr="false" t="normal">+A397+1</f>
        <v>382</v>
      </c>
      <c r="B398" s="6" t="n">
        <f aca="false" ca="false" dt2D="false" dtr="false" t="normal">+B397+1</f>
        <v>191</v>
      </c>
      <c r="C398" s="138" t="s">
        <v>177</v>
      </c>
      <c r="D398" s="6" t="s">
        <v>693</v>
      </c>
      <c r="E398" s="27" t="n">
        <f aca="false" ca="true" dt2D="false" dtr="false" t="normal">SUBTOTAL(9, F398:T398)</f>
        <v>1696026.8</v>
      </c>
      <c r="F398" s="18" t="n">
        <v>0</v>
      </c>
      <c r="G398" s="18" t="n">
        <v>0</v>
      </c>
      <c r="H398" s="18" t="n">
        <v>1696026.8</v>
      </c>
      <c r="I398" s="18" t="n">
        <v>0</v>
      </c>
      <c r="J398" s="18" t="n">
        <v>0</v>
      </c>
      <c r="K398" s="18" t="n"/>
      <c r="L398" s="18" t="n"/>
      <c r="M398" s="18" t="n">
        <v>0</v>
      </c>
      <c r="N398" s="18" t="n">
        <v>0</v>
      </c>
      <c r="O398" s="18" t="n">
        <v>0</v>
      </c>
      <c r="P398" s="18" t="n">
        <v>0</v>
      </c>
      <c r="Q398" s="18" t="n">
        <v>0</v>
      </c>
      <c r="R398" s="18" t="n"/>
      <c r="S398" s="18" t="n"/>
      <c r="T398" s="191" t="n"/>
      <c r="U398" s="0" t="n"/>
      <c r="V398" s="333" t="n"/>
      <c r="W398" s="0" t="n"/>
      <c r="X398" s="0" t="n"/>
      <c r="Y398" s="0" t="n"/>
      <c r="Z398" s="0" t="n"/>
      <c r="AA398" s="0" t="n"/>
      <c r="AB398" s="0" t="n"/>
      <c r="AC398" s="0" t="n"/>
      <c r="AD398" s="0" t="n"/>
      <c r="AE398" s="0" t="n"/>
      <c r="AF398" s="0" t="n"/>
      <c r="AG398" s="0" t="n"/>
      <c r="AH398" s="0" t="n"/>
      <c r="AI398" s="0" t="n"/>
      <c r="AJ398" s="0" t="n"/>
      <c r="AK398" s="0" t="n"/>
      <c r="AL398" s="0" t="n"/>
      <c r="AM398" s="0" t="n"/>
      <c r="AN398" s="0" t="n"/>
      <c r="AO398" s="0" t="n"/>
      <c r="AP398" s="0" t="n"/>
      <c r="AQ398" s="0" t="n"/>
      <c r="AR398" s="0" t="n"/>
      <c r="AS398" s="0" t="n"/>
      <c r="AT398" s="0" t="n"/>
      <c r="AU398" s="0" t="n"/>
      <c r="AV398" s="0" t="n"/>
      <c r="AW398" s="0" t="n"/>
      <c r="AX398" s="0" t="n"/>
      <c r="AY398" s="0" t="n"/>
      <c r="AZ398" s="0" t="n"/>
      <c r="BA398" s="0" t="n"/>
      <c r="BB398" s="0" t="n"/>
      <c r="BC398" s="0" t="n"/>
      <c r="BD398" s="0" t="n"/>
      <c r="BE398" s="0" t="n"/>
      <c r="BF398" s="0" t="n"/>
      <c r="BG398" s="0" t="n"/>
      <c r="BH398" s="0" t="n"/>
      <c r="BI398" s="0" t="n"/>
      <c r="BJ398" s="0" t="n"/>
      <c r="BK398" s="0" t="n"/>
      <c r="BL398" s="0" t="n"/>
      <c r="BM398" s="0" t="n"/>
      <c r="BN398" s="0" t="n"/>
      <c r="BO398" s="0" t="n"/>
      <c r="BP398" s="0" t="n"/>
    </row>
    <row outlineLevel="0" r="399">
      <c r="A399" s="331" t="n">
        <f aca="false" ca="false" dt2D="false" dtr="false" t="normal">+A398+1</f>
        <v>383</v>
      </c>
      <c r="B399" s="6" t="n">
        <f aca="false" ca="false" dt2D="false" dtr="false" t="normal">+B398+1</f>
        <v>192</v>
      </c>
      <c r="C399" s="138" t="s">
        <v>177</v>
      </c>
      <c r="D399" s="6" t="s">
        <v>194</v>
      </c>
      <c r="E399" s="27" t="n">
        <f aca="false" ca="true" dt2D="false" dtr="false" t="normal">SUBTOTAL(9, F399:T399)</f>
        <v>4507647.880000001</v>
      </c>
      <c r="F399" s="213" t="n"/>
      <c r="G399" s="18" t="n">
        <v>2958323.74</v>
      </c>
      <c r="H399" s="18" t="n"/>
      <c r="I399" s="18" t="n"/>
      <c r="J399" s="18" t="n"/>
      <c r="K399" s="18" t="n"/>
      <c r="L399" s="18" t="n">
        <v>1515829.2</v>
      </c>
      <c r="M399" s="18" t="n">
        <v>0</v>
      </c>
      <c r="N399" s="18" t="n"/>
      <c r="O399" s="18" t="n"/>
      <c r="P399" s="18" t="n"/>
      <c r="Q399" s="18" t="n"/>
      <c r="R399" s="18" t="n"/>
      <c r="S399" s="18" t="n"/>
      <c r="T399" s="191" t="n">
        <v>33494.94</v>
      </c>
      <c r="U399" s="0" t="n"/>
      <c r="V399" s="333" t="n"/>
      <c r="W399" s="0" t="n"/>
      <c r="X399" s="0" t="n"/>
      <c r="Y399" s="0" t="n"/>
      <c r="Z399" s="0" t="n"/>
      <c r="AA399" s="0" t="n"/>
      <c r="AB399" s="0" t="n"/>
      <c r="AC399" s="0" t="n"/>
      <c r="AD399" s="0" t="n"/>
      <c r="AE399" s="0" t="n"/>
      <c r="AF399" s="0" t="n"/>
      <c r="AG399" s="0" t="n"/>
      <c r="AH399" s="0" t="n"/>
      <c r="AI399" s="0" t="n"/>
      <c r="AJ399" s="0" t="n"/>
      <c r="AK399" s="0" t="n"/>
      <c r="AL399" s="0" t="n"/>
      <c r="AM399" s="0" t="n"/>
      <c r="AN399" s="0" t="n"/>
      <c r="AO399" s="0" t="n"/>
      <c r="AP399" s="0" t="n"/>
      <c r="AQ399" s="0" t="n"/>
      <c r="AR399" s="0" t="n"/>
      <c r="AS399" s="0" t="n"/>
      <c r="AT399" s="0" t="n"/>
      <c r="AU399" s="0" t="n"/>
      <c r="AV399" s="0" t="n"/>
      <c r="AW399" s="0" t="n"/>
      <c r="AX399" s="0" t="n"/>
      <c r="AY399" s="0" t="n"/>
      <c r="AZ399" s="0" t="n"/>
      <c r="BA399" s="0" t="n"/>
      <c r="BB399" s="0" t="n"/>
      <c r="BC399" s="0" t="n"/>
      <c r="BD399" s="0" t="n"/>
      <c r="BE399" s="0" t="n"/>
      <c r="BF399" s="0" t="n"/>
      <c r="BG399" s="0" t="n"/>
      <c r="BH399" s="0" t="n"/>
      <c r="BI399" s="0" t="n"/>
      <c r="BJ399" s="0" t="n"/>
      <c r="BK399" s="0" t="n"/>
      <c r="BL399" s="0" t="n"/>
      <c r="BM399" s="0" t="n"/>
      <c r="BN399" s="0" t="n"/>
      <c r="BO399" s="0" t="n"/>
      <c r="BP399" s="0" t="n"/>
    </row>
    <row outlineLevel="0" r="400">
      <c r="A400" s="331" t="n">
        <f aca="false" ca="false" dt2D="false" dtr="false" t="normal">+A399+1</f>
        <v>384</v>
      </c>
      <c r="B400" s="6" t="n">
        <f aca="false" ca="false" dt2D="false" dtr="false" t="normal">+B399+1</f>
        <v>193</v>
      </c>
      <c r="C400" s="138" t="s">
        <v>177</v>
      </c>
      <c r="D400" s="6" t="s">
        <v>185</v>
      </c>
      <c r="E400" s="27" t="n">
        <f aca="false" ca="true" dt2D="false" dtr="false" t="normal">SUBTOTAL(9, F400:T400)</f>
        <v>2457074</v>
      </c>
      <c r="F400" s="18" t="n"/>
      <c r="G400" s="18" t="n"/>
      <c r="H400" s="18" t="n">
        <v>2457074</v>
      </c>
      <c r="I400" s="18" t="n"/>
      <c r="J400" s="18" t="n"/>
      <c r="K400" s="18" t="n"/>
      <c r="L400" s="18" t="n"/>
      <c r="M400" s="18" t="n"/>
      <c r="N400" s="18" t="n"/>
      <c r="O400" s="18" t="n"/>
      <c r="P400" s="18" t="n"/>
      <c r="Q400" s="18" t="n"/>
      <c r="R400" s="18" t="n"/>
      <c r="S400" s="18" t="n"/>
      <c r="T400" s="191" t="n"/>
      <c r="U400" s="0" t="n"/>
      <c r="V400" s="333" t="n"/>
      <c r="W400" s="0" t="n"/>
      <c r="X400" s="0" t="n"/>
      <c r="Y400" s="0" t="n"/>
      <c r="Z400" s="0" t="n"/>
      <c r="AA400" s="0" t="n"/>
      <c r="AB400" s="0" t="n"/>
      <c r="AC400" s="0" t="n"/>
      <c r="AD400" s="0" t="n"/>
      <c r="AE400" s="0" t="n"/>
      <c r="AF400" s="0" t="n"/>
      <c r="AG400" s="0" t="n"/>
      <c r="AH400" s="0" t="n"/>
      <c r="AI400" s="0" t="n"/>
      <c r="AJ400" s="0" t="n"/>
      <c r="AK400" s="0" t="n"/>
      <c r="AL400" s="0" t="n"/>
      <c r="AM400" s="0" t="n"/>
      <c r="AN400" s="0" t="n"/>
      <c r="AO400" s="0" t="n"/>
      <c r="AP400" s="0" t="n"/>
      <c r="AQ400" s="0" t="n"/>
      <c r="AR400" s="0" t="n"/>
      <c r="AS400" s="0" t="n"/>
      <c r="AT400" s="0" t="n"/>
      <c r="AU400" s="0" t="n"/>
      <c r="AV400" s="0" t="n"/>
      <c r="AW400" s="0" t="n"/>
      <c r="AX400" s="0" t="n"/>
      <c r="AY400" s="0" t="n"/>
      <c r="AZ400" s="0" t="n"/>
      <c r="BA400" s="0" t="n"/>
      <c r="BB400" s="0" t="n"/>
      <c r="BC400" s="0" t="n"/>
      <c r="BD400" s="0" t="n"/>
      <c r="BE400" s="0" t="n"/>
      <c r="BF400" s="0" t="n"/>
      <c r="BG400" s="0" t="n"/>
      <c r="BH400" s="0" t="n"/>
      <c r="BI400" s="0" t="n"/>
      <c r="BJ400" s="0" t="n"/>
      <c r="BK400" s="0" t="n"/>
      <c r="BL400" s="0" t="n"/>
      <c r="BM400" s="0" t="n"/>
      <c r="BN400" s="0" t="n"/>
      <c r="BO400" s="0" t="n"/>
      <c r="BP400" s="0" t="n"/>
    </row>
    <row outlineLevel="0" r="401">
      <c r="A401" s="331" t="n">
        <f aca="false" ca="false" dt2D="false" dtr="false" t="normal">+A400+1</f>
        <v>385</v>
      </c>
      <c r="B401" s="6" t="s">
        <v>76</v>
      </c>
      <c r="C401" s="138" t="s">
        <v>177</v>
      </c>
      <c r="D401" s="6" t="s">
        <v>326</v>
      </c>
      <c r="E401" s="203" t="n">
        <f aca="false" ca="true" dt2D="false" dtr="false" t="normal">SUBTOTAL(9, F401:T401)</f>
        <v>8262278.14</v>
      </c>
      <c r="F401" s="17" t="n">
        <v>8063310.05</v>
      </c>
      <c r="G401" s="18" t="n"/>
      <c r="H401" s="18" t="n"/>
      <c r="I401" s="18" t="n"/>
      <c r="J401" s="18" t="n"/>
      <c r="K401" s="18" t="n"/>
      <c r="L401" s="18" t="n"/>
      <c r="M401" s="18" t="n">
        <v>0</v>
      </c>
      <c r="N401" s="18" t="n"/>
      <c r="O401" s="18" t="n">
        <v>0</v>
      </c>
      <c r="P401" s="18" t="n">
        <v>0</v>
      </c>
      <c r="Q401" s="18" t="n">
        <v>0</v>
      </c>
      <c r="R401" s="18" t="n">
        <v>87085.12</v>
      </c>
      <c r="S401" s="18" t="n">
        <v>4800</v>
      </c>
      <c r="T401" s="191" t="n">
        <v>107082.97</v>
      </c>
      <c r="U401" s="0" t="n"/>
      <c r="V401" s="333" t="n"/>
      <c r="W401" s="0" t="n"/>
      <c r="X401" s="0" t="n"/>
      <c r="Y401" s="0" t="n"/>
      <c r="Z401" s="0" t="n"/>
      <c r="AA401" s="0" t="n"/>
      <c r="AB401" s="0" t="n"/>
      <c r="AC401" s="0" t="n"/>
      <c r="AD401" s="0" t="n"/>
      <c r="AE401" s="0" t="n"/>
      <c r="AF401" s="0" t="n"/>
      <c r="AG401" s="0" t="n"/>
      <c r="AH401" s="0" t="n"/>
      <c r="AI401" s="0" t="n"/>
      <c r="AJ401" s="0" t="n"/>
      <c r="AK401" s="0" t="n"/>
      <c r="AL401" s="0" t="n"/>
      <c r="AM401" s="0" t="n"/>
      <c r="AN401" s="0" t="n"/>
      <c r="AO401" s="0" t="n"/>
      <c r="AP401" s="0" t="n"/>
      <c r="AQ401" s="0" t="n"/>
      <c r="AR401" s="0" t="n"/>
      <c r="AS401" s="0" t="n"/>
      <c r="AT401" s="0" t="n"/>
      <c r="AU401" s="0" t="n"/>
      <c r="AV401" s="0" t="n"/>
      <c r="AW401" s="0" t="n"/>
      <c r="AX401" s="0" t="n"/>
      <c r="AY401" s="0" t="n"/>
      <c r="AZ401" s="0" t="n"/>
      <c r="BA401" s="0" t="n"/>
      <c r="BB401" s="0" t="n"/>
      <c r="BC401" s="0" t="n"/>
      <c r="BD401" s="0" t="n"/>
      <c r="BE401" s="0" t="n"/>
      <c r="BF401" s="0" t="n"/>
      <c r="BG401" s="0" t="n"/>
      <c r="BH401" s="0" t="n"/>
      <c r="BI401" s="0" t="n"/>
      <c r="BJ401" s="0" t="n"/>
      <c r="BK401" s="0" t="n"/>
      <c r="BL401" s="0" t="n"/>
      <c r="BM401" s="0" t="n"/>
      <c r="BN401" s="0" t="n"/>
      <c r="BO401" s="0" t="n"/>
      <c r="BP401" s="0" t="n"/>
    </row>
    <row outlineLevel="0" r="402">
      <c r="A402" s="331" t="n">
        <f aca="false" ca="false" dt2D="false" dtr="false" t="normal">+A401+1</f>
        <v>386</v>
      </c>
      <c r="B402" s="6" t="n">
        <v>194</v>
      </c>
      <c r="C402" s="138" t="s">
        <v>177</v>
      </c>
      <c r="D402" s="6" t="s">
        <v>215</v>
      </c>
      <c r="E402" s="27" t="n">
        <f aca="false" ca="true" dt2D="false" dtr="false" t="normal">SUBTOTAL(9, F402:T402)</f>
        <v>2906929.13</v>
      </c>
      <c r="F402" s="18" t="n">
        <v>2876336.82</v>
      </c>
      <c r="G402" s="18" t="n"/>
      <c r="H402" s="18" t="n"/>
      <c r="I402" s="18" t="n"/>
      <c r="J402" s="18" t="n"/>
      <c r="K402" s="18" t="n"/>
      <c r="L402" s="18" t="n"/>
      <c r="M402" s="18" t="n"/>
      <c r="N402" s="18" t="n"/>
      <c r="O402" s="18" t="n">
        <v>0</v>
      </c>
      <c r="P402" s="18" t="n">
        <v>0</v>
      </c>
      <c r="Q402" s="18" t="n">
        <v>0</v>
      </c>
      <c r="R402" s="18" t="n"/>
      <c r="S402" s="18" t="n"/>
      <c r="T402" s="191" t="n">
        <v>30592.31</v>
      </c>
      <c r="U402" s="0" t="n"/>
      <c r="V402" s="333" t="n"/>
      <c r="W402" s="0" t="n"/>
      <c r="X402" s="0" t="n"/>
      <c r="Y402" s="0" t="n"/>
      <c r="Z402" s="0" t="n"/>
      <c r="AA402" s="0" t="n"/>
      <c r="AB402" s="0" t="n"/>
      <c r="AC402" s="0" t="n"/>
      <c r="AD402" s="0" t="n"/>
      <c r="AE402" s="0" t="n"/>
      <c r="AF402" s="0" t="n"/>
      <c r="AG402" s="0" t="n"/>
      <c r="AH402" s="0" t="n"/>
      <c r="AI402" s="0" t="n"/>
      <c r="AJ402" s="0" t="n"/>
      <c r="AK402" s="0" t="n"/>
      <c r="AL402" s="0" t="n"/>
      <c r="AM402" s="0" t="n"/>
      <c r="AN402" s="0" t="n"/>
      <c r="AO402" s="0" t="n"/>
      <c r="AP402" s="0" t="n"/>
      <c r="AQ402" s="0" t="n"/>
      <c r="AR402" s="0" t="n"/>
      <c r="AS402" s="0" t="n"/>
      <c r="AT402" s="0" t="n"/>
      <c r="AU402" s="0" t="n"/>
      <c r="AV402" s="0" t="n"/>
      <c r="AW402" s="0" t="n"/>
      <c r="AX402" s="0" t="n"/>
      <c r="AY402" s="0" t="n"/>
      <c r="AZ402" s="0" t="n"/>
      <c r="BA402" s="0" t="n"/>
      <c r="BB402" s="0" t="n"/>
      <c r="BC402" s="0" t="n"/>
      <c r="BD402" s="0" t="n"/>
      <c r="BE402" s="0" t="n"/>
      <c r="BF402" s="0" t="n"/>
      <c r="BG402" s="0" t="n"/>
      <c r="BH402" s="0" t="n"/>
      <c r="BI402" s="0" t="n"/>
      <c r="BJ402" s="0" t="n"/>
      <c r="BK402" s="0" t="n"/>
      <c r="BL402" s="0" t="n"/>
      <c r="BM402" s="0" t="n"/>
      <c r="BN402" s="0" t="n"/>
      <c r="BO402" s="0" t="n"/>
      <c r="BP402" s="0" t="n"/>
    </row>
    <row outlineLevel="0" r="403">
      <c r="A403" s="331" t="n">
        <f aca="false" ca="false" dt2D="false" dtr="false" t="normal">+A402+1</f>
        <v>387</v>
      </c>
      <c r="B403" s="6" t="n">
        <v>195</v>
      </c>
      <c r="C403" s="138" t="s">
        <v>177</v>
      </c>
      <c r="D403" s="138" t="s">
        <v>336</v>
      </c>
      <c r="E403" s="203" t="n">
        <f aca="false" ca="true" dt2D="false" dtr="false" t="normal">SUBTOTAL(9, F403:T403)</f>
        <v>7597723.99</v>
      </c>
      <c r="F403" s="17" t="n">
        <v>0</v>
      </c>
      <c r="G403" s="18" t="n">
        <v>0</v>
      </c>
      <c r="H403" s="18" t="n">
        <v>0</v>
      </c>
      <c r="I403" s="18" t="n">
        <v>0</v>
      </c>
      <c r="J403" s="18" t="n">
        <v>0</v>
      </c>
      <c r="K403" s="18" t="n"/>
      <c r="L403" s="18" t="n"/>
      <c r="M403" s="18" t="n">
        <v>0</v>
      </c>
      <c r="N403" s="18" t="n">
        <v>0</v>
      </c>
      <c r="O403" s="18" t="n">
        <v>0</v>
      </c>
      <c r="P403" s="18" t="n">
        <v>7597723.99</v>
      </c>
      <c r="Q403" s="18" t="n">
        <v>0</v>
      </c>
      <c r="R403" s="18" t="n"/>
      <c r="S403" s="18" t="n"/>
      <c r="T403" s="191" t="n"/>
    </row>
    <row outlineLevel="0" r="404">
      <c r="A404" s="331" t="n">
        <f aca="false" ca="false" dt2D="false" dtr="false" t="normal">+A403+1</f>
        <v>388</v>
      </c>
      <c r="B404" s="6" t="n">
        <f aca="false" ca="false" dt2D="false" dtr="false" t="normal">+B403+1</f>
        <v>196</v>
      </c>
      <c r="C404" s="138" t="s">
        <v>177</v>
      </c>
      <c r="D404" s="6" t="s">
        <v>694</v>
      </c>
      <c r="E404" s="203" t="n">
        <f aca="false" ca="true" dt2D="false" dtr="false" t="normal">SUBTOTAL(9, F404:T404)</f>
        <v>2328308.53</v>
      </c>
      <c r="F404" s="18" t="n">
        <v>0</v>
      </c>
      <c r="G404" s="18" t="n"/>
      <c r="H404" s="18" t="n">
        <v>2328308.53</v>
      </c>
      <c r="I404" s="18" t="n"/>
      <c r="J404" s="18" t="n"/>
      <c r="K404" s="18" t="n"/>
      <c r="L404" s="18" t="n"/>
      <c r="M404" s="18" t="n"/>
      <c r="N404" s="18" t="n"/>
      <c r="O404" s="18" t="n"/>
      <c r="P404" s="18" t="n"/>
      <c r="Q404" s="18" t="n"/>
      <c r="R404" s="18" t="n"/>
      <c r="S404" s="18" t="n"/>
      <c r="T404" s="191" t="n"/>
      <c r="U404" s="0" t="n"/>
      <c r="V404" s="333" t="n"/>
      <c r="W404" s="0" t="n"/>
      <c r="X404" s="0" t="n"/>
      <c r="Y404" s="0" t="n"/>
      <c r="Z404" s="0" t="n"/>
      <c r="AA404" s="0" t="n"/>
      <c r="AB404" s="0" t="n"/>
      <c r="AC404" s="0" t="n"/>
      <c r="AD404" s="0" t="n"/>
      <c r="AE404" s="0" t="n"/>
      <c r="AF404" s="0" t="n"/>
      <c r="AG404" s="0" t="n"/>
      <c r="AH404" s="0" t="n"/>
      <c r="AI404" s="0" t="n"/>
      <c r="AJ404" s="0" t="n"/>
      <c r="AK404" s="0" t="n"/>
      <c r="AL404" s="0" t="n"/>
      <c r="AM404" s="0" t="n"/>
      <c r="AN404" s="0" t="n"/>
      <c r="AO404" s="0" t="n"/>
      <c r="AP404" s="0" t="n"/>
      <c r="AQ404" s="0" t="n"/>
      <c r="AR404" s="0" t="n"/>
      <c r="AS404" s="0" t="n"/>
      <c r="AT404" s="0" t="n"/>
      <c r="AU404" s="0" t="n"/>
      <c r="AV404" s="0" t="n"/>
      <c r="AW404" s="0" t="n"/>
      <c r="AX404" s="0" t="n"/>
      <c r="AY404" s="0" t="n"/>
      <c r="AZ404" s="0" t="n"/>
      <c r="BA404" s="0" t="n"/>
      <c r="BB404" s="0" t="n"/>
      <c r="BC404" s="0" t="n"/>
      <c r="BD404" s="0" t="n"/>
      <c r="BE404" s="0" t="n"/>
      <c r="BF404" s="0" t="n"/>
      <c r="BG404" s="0" t="n"/>
      <c r="BH404" s="0" t="n"/>
      <c r="BI404" s="0" t="n"/>
      <c r="BJ404" s="0" t="n"/>
      <c r="BK404" s="0" t="n"/>
      <c r="BL404" s="0" t="n"/>
      <c r="BM404" s="0" t="n"/>
      <c r="BN404" s="0" t="n"/>
      <c r="BO404" s="0" t="n"/>
      <c r="BP404" s="0" t="n"/>
    </row>
    <row outlineLevel="0" r="405">
      <c r="A405" s="331" t="n">
        <f aca="false" ca="false" dt2D="false" dtr="false" t="normal">+A404+1</f>
        <v>389</v>
      </c>
      <c r="B405" s="6" t="s">
        <v>76</v>
      </c>
      <c r="C405" s="138" t="s">
        <v>177</v>
      </c>
      <c r="D405" s="6" t="s">
        <v>352</v>
      </c>
      <c r="E405" s="203" t="n">
        <f aca="false" ca="true" dt2D="false" dtr="false" t="normal">SUBTOTAL(9, F405:T405)</f>
        <v>29075533.09</v>
      </c>
      <c r="F405" s="18" t="n"/>
      <c r="G405" s="18" t="n"/>
      <c r="H405" s="18" t="n">
        <v>1699976.02</v>
      </c>
      <c r="I405" s="18" t="n"/>
      <c r="J405" s="18" t="n"/>
      <c r="K405" s="18" t="n"/>
      <c r="L405" s="18" t="n"/>
      <c r="M405" s="18" t="n"/>
      <c r="N405" s="18" t="n"/>
      <c r="O405" s="18" t="n"/>
      <c r="P405" s="18" t="n">
        <v>21539537.78</v>
      </c>
      <c r="Q405" s="18" t="n">
        <v>5244019.1</v>
      </c>
      <c r="R405" s="18" t="n">
        <v>580000.19</v>
      </c>
      <c r="S405" s="18" t="n">
        <v>12000</v>
      </c>
      <c r="T405" s="191" t="n"/>
      <c r="U405" s="0" t="n"/>
      <c r="V405" s="333" t="n"/>
      <c r="W405" s="0" t="n"/>
      <c r="X405" s="0" t="n"/>
      <c r="Y405" s="0" t="n"/>
      <c r="Z405" s="0" t="n"/>
      <c r="AA405" s="0" t="n"/>
      <c r="AB405" s="0" t="n"/>
      <c r="AC405" s="0" t="n"/>
      <c r="AD405" s="0" t="n"/>
      <c r="AE405" s="0" t="n"/>
      <c r="AF405" s="0" t="n"/>
      <c r="AG405" s="0" t="n"/>
      <c r="AH405" s="0" t="n"/>
      <c r="AI405" s="0" t="n"/>
      <c r="AJ405" s="0" t="n"/>
      <c r="AK405" s="0" t="n"/>
      <c r="AL405" s="0" t="n"/>
      <c r="AM405" s="0" t="n"/>
      <c r="AN405" s="0" t="n"/>
      <c r="AO405" s="0" t="n"/>
      <c r="AP405" s="0" t="n"/>
      <c r="AQ405" s="0" t="n"/>
      <c r="AR405" s="0" t="n"/>
      <c r="AS405" s="0" t="n"/>
      <c r="AT405" s="0" t="n"/>
      <c r="AU405" s="0" t="n"/>
      <c r="AV405" s="0" t="n"/>
      <c r="AW405" s="0" t="n"/>
      <c r="AX405" s="0" t="n"/>
      <c r="AY405" s="0" t="n"/>
      <c r="AZ405" s="0" t="n"/>
      <c r="BA405" s="0" t="n"/>
      <c r="BB405" s="0" t="n"/>
      <c r="BC405" s="0" t="n"/>
      <c r="BD405" s="0" t="n"/>
      <c r="BE405" s="0" t="n"/>
      <c r="BF405" s="0" t="n"/>
      <c r="BG405" s="0" t="n"/>
      <c r="BH405" s="0" t="n"/>
      <c r="BI405" s="0" t="n"/>
      <c r="BJ405" s="0" t="n"/>
      <c r="BK405" s="0" t="n"/>
      <c r="BL405" s="0" t="n"/>
      <c r="BM405" s="0" t="n"/>
      <c r="BN405" s="0" t="n"/>
      <c r="BO405" s="0" t="n"/>
      <c r="BP405" s="0" t="n"/>
    </row>
    <row outlineLevel="0" r="406">
      <c r="A406" s="331" t="n">
        <f aca="false" ca="false" dt2D="false" dtr="false" t="normal">+A405+1</f>
        <v>390</v>
      </c>
      <c r="B406" s="6" t="n">
        <v>197</v>
      </c>
      <c r="C406" s="138" t="s">
        <v>177</v>
      </c>
      <c r="D406" s="6" t="s">
        <v>233</v>
      </c>
      <c r="E406" s="27" t="n">
        <f aca="false" ca="true" dt2D="false" dtr="false" t="normal">SUBTOTAL(9, F406:T406)</f>
        <v>1292467.79</v>
      </c>
      <c r="F406" s="18" t="n">
        <v>0</v>
      </c>
      <c r="G406" s="18" t="n">
        <v>0</v>
      </c>
      <c r="H406" s="18" t="n">
        <v>0</v>
      </c>
      <c r="I406" s="18" t="n">
        <v>0</v>
      </c>
      <c r="J406" s="18" t="n">
        <v>1292467.79</v>
      </c>
      <c r="K406" s="18" t="n"/>
      <c r="L406" s="18" t="n"/>
      <c r="M406" s="18" t="n">
        <v>0</v>
      </c>
      <c r="N406" s="18" t="n">
        <v>0</v>
      </c>
      <c r="O406" s="18" t="n">
        <v>0</v>
      </c>
      <c r="P406" s="18" t="n"/>
      <c r="Q406" s="18" t="n">
        <v>0</v>
      </c>
      <c r="R406" s="18" t="n"/>
      <c r="S406" s="18" t="n"/>
      <c r="T406" s="191" t="n"/>
      <c r="U406" s="0" t="n"/>
      <c r="V406" s="333" t="n"/>
      <c r="W406" s="0" t="n"/>
      <c r="X406" s="0" t="n"/>
      <c r="Y406" s="0" t="n"/>
      <c r="Z406" s="0" t="n"/>
      <c r="AA406" s="0" t="n"/>
      <c r="AB406" s="0" t="n"/>
      <c r="AC406" s="0" t="n"/>
      <c r="AD406" s="0" t="n"/>
      <c r="AE406" s="0" t="n"/>
      <c r="AF406" s="0" t="n"/>
      <c r="AG406" s="0" t="n"/>
      <c r="AH406" s="0" t="n"/>
      <c r="AI406" s="0" t="n"/>
      <c r="AJ406" s="0" t="n"/>
      <c r="AK406" s="0" t="n"/>
      <c r="AL406" s="0" t="n"/>
      <c r="AM406" s="0" t="n"/>
      <c r="AN406" s="0" t="n"/>
      <c r="AO406" s="0" t="n"/>
      <c r="AP406" s="0" t="n"/>
      <c r="AQ406" s="0" t="n"/>
      <c r="AR406" s="0" t="n"/>
      <c r="AS406" s="0" t="n"/>
      <c r="AT406" s="0" t="n"/>
      <c r="AU406" s="0" t="n"/>
      <c r="AV406" s="0" t="n"/>
      <c r="AW406" s="0" t="n"/>
      <c r="AX406" s="0" t="n"/>
      <c r="AY406" s="0" t="n"/>
      <c r="AZ406" s="0" t="n"/>
      <c r="BA406" s="0" t="n"/>
      <c r="BB406" s="0" t="n"/>
      <c r="BC406" s="0" t="n"/>
      <c r="BD406" s="0" t="n"/>
      <c r="BE406" s="0" t="n"/>
      <c r="BF406" s="0" t="n"/>
      <c r="BG406" s="0" t="n"/>
      <c r="BH406" s="0" t="n"/>
      <c r="BI406" s="0" t="n"/>
      <c r="BJ406" s="0" t="n"/>
      <c r="BK406" s="0" t="n"/>
      <c r="BL406" s="0" t="n"/>
      <c r="BM406" s="0" t="n"/>
      <c r="BN406" s="0" t="n"/>
      <c r="BO406" s="0" t="n"/>
      <c r="BP406" s="0" t="n"/>
    </row>
    <row outlineLevel="0" r="407">
      <c r="A407" s="331" t="n">
        <f aca="false" ca="false" dt2D="false" dtr="false" t="normal">+A406+1</f>
        <v>391</v>
      </c>
      <c r="B407" s="6" t="s">
        <v>76</v>
      </c>
      <c r="C407" s="138" t="s">
        <v>177</v>
      </c>
      <c r="D407" s="6" t="s">
        <v>532</v>
      </c>
      <c r="E407" s="203" t="n">
        <f aca="false" ca="true" dt2D="false" dtr="false" t="normal">SUBTOTAL(9, F407:T407)</f>
        <v>12686908.629999999</v>
      </c>
      <c r="F407" s="18" t="n">
        <v>6551161.51</v>
      </c>
      <c r="G407" s="18" t="n">
        <v>3815348.46</v>
      </c>
      <c r="H407" s="18" t="n"/>
      <c r="I407" s="18" t="n">
        <v>2106297.9</v>
      </c>
      <c r="J407" s="18" t="n"/>
      <c r="K407" s="18" t="n"/>
      <c r="L407" s="18" t="n"/>
      <c r="M407" s="18" t="n">
        <v>0</v>
      </c>
      <c r="N407" s="18" t="n">
        <v>0</v>
      </c>
      <c r="O407" s="18" t="n">
        <v>0</v>
      </c>
      <c r="P407" s="18" t="n">
        <v>0</v>
      </c>
      <c r="Q407" s="18" t="n">
        <v>0</v>
      </c>
      <c r="R407" s="18" t="n">
        <v>196100.76</v>
      </c>
      <c r="S407" s="18" t="n">
        <v>18000</v>
      </c>
      <c r="T407" s="191" t="n"/>
      <c r="U407" s="0" t="n"/>
      <c r="V407" s="333" t="n"/>
      <c r="W407" s="0" t="n"/>
      <c r="X407" s="0" t="n"/>
      <c r="Y407" s="0" t="n"/>
      <c r="Z407" s="0" t="n"/>
      <c r="AA407" s="0" t="n"/>
      <c r="AB407" s="0" t="n"/>
      <c r="AC407" s="0" t="n"/>
      <c r="AD407" s="0" t="n"/>
      <c r="AE407" s="0" t="n"/>
      <c r="AF407" s="0" t="n"/>
      <c r="AG407" s="0" t="n"/>
      <c r="AH407" s="0" t="n"/>
      <c r="AI407" s="0" t="n"/>
      <c r="AJ407" s="0" t="n"/>
      <c r="AK407" s="0" t="n"/>
      <c r="AL407" s="0" t="n"/>
      <c r="AM407" s="0" t="n"/>
      <c r="AN407" s="0" t="n"/>
      <c r="AO407" s="0" t="n"/>
      <c r="AP407" s="0" t="n"/>
      <c r="AQ407" s="0" t="n"/>
      <c r="AR407" s="0" t="n"/>
      <c r="AS407" s="0" t="n"/>
      <c r="AT407" s="0" t="n"/>
      <c r="AU407" s="0" t="n"/>
      <c r="AV407" s="0" t="n"/>
      <c r="AW407" s="0" t="n"/>
      <c r="AX407" s="0" t="n"/>
      <c r="AY407" s="0" t="n"/>
      <c r="AZ407" s="0" t="n"/>
      <c r="BA407" s="0" t="n"/>
      <c r="BB407" s="0" t="n"/>
      <c r="BC407" s="0" t="n"/>
      <c r="BD407" s="0" t="n"/>
      <c r="BE407" s="0" t="n"/>
      <c r="BF407" s="0" t="n"/>
      <c r="BG407" s="0" t="n"/>
      <c r="BH407" s="0" t="n"/>
      <c r="BI407" s="0" t="n"/>
      <c r="BJ407" s="0" t="n"/>
      <c r="BK407" s="0" t="n"/>
      <c r="BL407" s="0" t="n"/>
      <c r="BM407" s="0" t="n"/>
      <c r="BN407" s="0" t="n"/>
      <c r="BO407" s="0" t="n"/>
      <c r="BP407" s="0" t="n"/>
    </row>
    <row outlineLevel="0" r="408">
      <c r="A408" s="331" t="n">
        <f aca="false" ca="false" dt2D="false" dtr="false" t="normal">+A407+1</f>
        <v>392</v>
      </c>
      <c r="B408" s="6" t="s">
        <v>76</v>
      </c>
      <c r="C408" s="138" t="s">
        <v>177</v>
      </c>
      <c r="D408" s="6" t="s">
        <v>358</v>
      </c>
      <c r="E408" s="27" t="n">
        <f aca="false" ca="true" dt2D="false" dtr="false" t="normal">SUBTOTAL(9, F408:T408)</f>
        <v>1676807.21</v>
      </c>
      <c r="F408" s="18" t="n">
        <v>0</v>
      </c>
      <c r="G408" s="18" t="n"/>
      <c r="H408" s="18" t="n"/>
      <c r="I408" s="18" t="n"/>
      <c r="J408" s="18" t="n">
        <v>1676807.21</v>
      </c>
      <c r="K408" s="18" t="n"/>
      <c r="L408" s="18" t="n"/>
      <c r="M408" s="18" t="n">
        <v>0</v>
      </c>
      <c r="N408" s="18" t="n">
        <v>0</v>
      </c>
      <c r="O408" s="18" t="n">
        <v>0</v>
      </c>
      <c r="P408" s="18" t="n"/>
      <c r="Q408" s="18" t="n">
        <v>0</v>
      </c>
      <c r="R408" s="18" t="n"/>
      <c r="S408" s="18" t="n"/>
      <c r="T408" s="191" t="n"/>
      <c r="U408" s="0" t="n"/>
      <c r="V408" s="333" t="n"/>
      <c r="W408" s="0" t="n"/>
      <c r="X408" s="0" t="n"/>
      <c r="Y408" s="0" t="n"/>
      <c r="Z408" s="0" t="n"/>
      <c r="AA408" s="0" t="n"/>
      <c r="AB408" s="0" t="n"/>
      <c r="AC408" s="0" t="n"/>
      <c r="AD408" s="0" t="n"/>
      <c r="AE408" s="0" t="n"/>
      <c r="AF408" s="0" t="n"/>
      <c r="AG408" s="0" t="n"/>
      <c r="AH408" s="0" t="n"/>
      <c r="AI408" s="0" t="n"/>
      <c r="AJ408" s="0" t="n"/>
      <c r="AK408" s="0" t="n"/>
      <c r="AL408" s="0" t="n"/>
      <c r="AM408" s="0" t="n"/>
      <c r="AN408" s="0" t="n"/>
      <c r="AO408" s="0" t="n"/>
      <c r="AP408" s="0" t="n"/>
      <c r="AQ408" s="0" t="n"/>
      <c r="AR408" s="0" t="n"/>
      <c r="AS408" s="0" t="n"/>
      <c r="AT408" s="0" t="n"/>
      <c r="AU408" s="0" t="n"/>
      <c r="AV408" s="0" t="n"/>
      <c r="AW408" s="0" t="n"/>
      <c r="AX408" s="0" t="n"/>
      <c r="AY408" s="0" t="n"/>
      <c r="AZ408" s="0" t="n"/>
      <c r="BA408" s="0" t="n"/>
      <c r="BB408" s="0" t="n"/>
      <c r="BC408" s="0" t="n"/>
      <c r="BD408" s="0" t="n"/>
      <c r="BE408" s="0" t="n"/>
      <c r="BF408" s="0" t="n"/>
      <c r="BG408" s="0" t="n"/>
      <c r="BH408" s="0" t="n"/>
      <c r="BI408" s="0" t="n"/>
      <c r="BJ408" s="0" t="n"/>
      <c r="BK408" s="0" t="n"/>
      <c r="BL408" s="0" t="n"/>
      <c r="BM408" s="0" t="n"/>
      <c r="BN408" s="0" t="n"/>
      <c r="BO408" s="0" t="n"/>
      <c r="BP408" s="0" t="n"/>
    </row>
    <row outlineLevel="0" r="409">
      <c r="A409" s="331" t="n">
        <f aca="false" ca="false" dt2D="false" dtr="false" t="normal">+A408+1</f>
        <v>393</v>
      </c>
      <c r="B409" s="6" t="n">
        <v>198</v>
      </c>
      <c r="C409" s="138" t="s">
        <v>177</v>
      </c>
      <c r="D409" s="6" t="s">
        <v>248</v>
      </c>
      <c r="E409" s="203" t="n">
        <f aca="false" ca="true" dt2D="false" dtr="false" t="normal">SUBTOTAL(9, F409:T409)</f>
        <v>2612741.62</v>
      </c>
      <c r="F409" s="18" t="n">
        <v>0</v>
      </c>
      <c r="G409" s="18" t="n">
        <v>0</v>
      </c>
      <c r="H409" s="18" t="n">
        <v>2612741.62</v>
      </c>
      <c r="I409" s="18" t="n">
        <v>0</v>
      </c>
      <c r="J409" s="18" t="n">
        <v>0</v>
      </c>
      <c r="K409" s="18" t="n"/>
      <c r="L409" s="18" t="n"/>
      <c r="M409" s="18" t="n">
        <v>0</v>
      </c>
      <c r="N409" s="18" t="n"/>
      <c r="O409" s="18" t="n"/>
      <c r="P409" s="18" t="n"/>
      <c r="Q409" s="18" t="n">
        <v>0</v>
      </c>
      <c r="R409" s="18" t="n"/>
      <c r="S409" s="18" t="n"/>
      <c r="T409" s="191" t="n"/>
      <c r="U409" s="0" t="n"/>
      <c r="V409" s="333" t="n"/>
      <c r="W409" s="0" t="n"/>
      <c r="X409" s="0" t="n"/>
      <c r="Y409" s="0" t="n"/>
      <c r="Z409" s="0" t="n"/>
      <c r="AA409" s="0" t="n"/>
      <c r="AB409" s="0" t="n"/>
      <c r="AC409" s="0" t="n"/>
      <c r="AD409" s="0" t="n"/>
      <c r="AE409" s="0" t="n"/>
      <c r="AF409" s="0" t="n"/>
      <c r="AG409" s="0" t="n"/>
      <c r="AH409" s="0" t="n"/>
      <c r="AI409" s="0" t="n"/>
      <c r="AJ409" s="0" t="n"/>
      <c r="AK409" s="0" t="n"/>
      <c r="AL409" s="0" t="n"/>
      <c r="AM409" s="0" t="n"/>
      <c r="AN409" s="0" t="n"/>
      <c r="AO409" s="0" t="n"/>
      <c r="AP409" s="0" t="n"/>
      <c r="AQ409" s="0" t="n"/>
      <c r="AR409" s="0" t="n"/>
      <c r="AS409" s="0" t="n"/>
      <c r="AT409" s="0" t="n"/>
      <c r="AU409" s="0" t="n"/>
      <c r="AV409" s="0" t="n"/>
      <c r="AW409" s="0" t="n"/>
      <c r="AX409" s="0" t="n"/>
      <c r="AY409" s="0" t="n"/>
      <c r="AZ409" s="0" t="n"/>
      <c r="BA409" s="0" t="n"/>
      <c r="BB409" s="0" t="n"/>
      <c r="BC409" s="0" t="n"/>
      <c r="BD409" s="0" t="n"/>
      <c r="BE409" s="0" t="n"/>
      <c r="BF409" s="0" t="n"/>
      <c r="BG409" s="0" t="n"/>
      <c r="BH409" s="0" t="n"/>
      <c r="BI409" s="0" t="n"/>
      <c r="BJ409" s="0" t="n"/>
      <c r="BK409" s="0" t="n"/>
      <c r="BL409" s="0" t="n"/>
      <c r="BM409" s="0" t="n"/>
      <c r="BN409" s="0" t="n"/>
      <c r="BO409" s="0" t="n"/>
      <c r="BP409" s="0" t="n"/>
    </row>
    <row outlineLevel="0" r="410">
      <c r="A410" s="331" t="n">
        <f aca="false" ca="false" dt2D="false" dtr="false" t="normal">+A409+1</f>
        <v>394</v>
      </c>
      <c r="B410" s="6" t="s">
        <v>76</v>
      </c>
      <c r="C410" s="138" t="s">
        <v>177</v>
      </c>
      <c r="D410" s="6" t="s">
        <v>249</v>
      </c>
      <c r="E410" s="27" t="n">
        <f aca="false" ca="true" dt2D="false" dtr="false" t="normal">SUBTOTAL(9, F410:T410)</f>
        <v>4692599.98</v>
      </c>
      <c r="F410" s="18" t="n">
        <v>4647411.23</v>
      </c>
      <c r="G410" s="18" t="n"/>
      <c r="H410" s="18" t="n"/>
      <c r="I410" s="18" t="n"/>
      <c r="J410" s="18" t="n"/>
      <c r="K410" s="18" t="n"/>
      <c r="L410" s="18" t="n"/>
      <c r="M410" s="18" t="n"/>
      <c r="N410" s="18" t="n"/>
      <c r="O410" s="18" t="n">
        <v>0</v>
      </c>
      <c r="P410" s="18" t="n">
        <v>0</v>
      </c>
      <c r="Q410" s="18" t="n">
        <v>0</v>
      </c>
      <c r="R410" s="18" t="n"/>
      <c r="S410" s="18" t="n"/>
      <c r="T410" s="191" t="n">
        <v>45188.75</v>
      </c>
      <c r="U410" s="0" t="n"/>
      <c r="V410" s="333" t="n"/>
      <c r="W410" s="0" t="n"/>
      <c r="X410" s="0" t="n"/>
      <c r="Y410" s="0" t="n"/>
      <c r="Z410" s="0" t="n"/>
      <c r="AA410" s="0" t="n"/>
      <c r="AB410" s="0" t="n"/>
      <c r="AC410" s="0" t="n"/>
      <c r="AD410" s="0" t="n"/>
      <c r="AE410" s="0" t="n"/>
      <c r="AF410" s="0" t="n"/>
      <c r="AG410" s="0" t="n"/>
      <c r="AH410" s="0" t="n"/>
      <c r="AI410" s="0" t="n"/>
      <c r="AJ410" s="0" t="n"/>
      <c r="AK410" s="0" t="n"/>
      <c r="AL410" s="0" t="n"/>
      <c r="AM410" s="0" t="n"/>
      <c r="AN410" s="0" t="n"/>
      <c r="AO410" s="0" t="n"/>
      <c r="AP410" s="0" t="n"/>
      <c r="AQ410" s="0" t="n"/>
      <c r="AR410" s="0" t="n"/>
      <c r="AS410" s="0" t="n"/>
      <c r="AT410" s="0" t="n"/>
      <c r="AU410" s="0" t="n"/>
      <c r="AV410" s="0" t="n"/>
      <c r="AW410" s="0" t="n"/>
      <c r="AX410" s="0" t="n"/>
      <c r="AY410" s="0" t="n"/>
      <c r="AZ410" s="0" t="n"/>
      <c r="BA410" s="0" t="n"/>
      <c r="BB410" s="0" t="n"/>
      <c r="BC410" s="0" t="n"/>
      <c r="BD410" s="0" t="n"/>
      <c r="BE410" s="0" t="n"/>
      <c r="BF410" s="0" t="n"/>
      <c r="BG410" s="0" t="n"/>
      <c r="BH410" s="0" t="n"/>
      <c r="BI410" s="0" t="n"/>
      <c r="BJ410" s="0" t="n"/>
      <c r="BK410" s="0" t="n"/>
      <c r="BL410" s="0" t="n"/>
      <c r="BM410" s="0" t="n"/>
      <c r="BN410" s="0" t="n"/>
      <c r="BO410" s="0" t="n"/>
      <c r="BP410" s="0" t="n"/>
    </row>
    <row outlineLevel="0" r="411">
      <c r="A411" s="331" t="n">
        <f aca="false" ca="false" dt2D="false" dtr="false" t="normal">+A410+1</f>
        <v>395</v>
      </c>
      <c r="B411" s="6" t="s">
        <v>76</v>
      </c>
      <c r="C411" s="138" t="s">
        <v>177</v>
      </c>
      <c r="D411" s="6" t="s">
        <v>551</v>
      </c>
      <c r="E411" s="27" t="n">
        <f aca="false" ca="true" dt2D="false" dtr="false" t="normal">SUBTOTAL(9, F411:T411)</f>
        <v>13821027.05</v>
      </c>
      <c r="F411" s="18" t="n"/>
      <c r="G411" s="18" t="n"/>
      <c r="H411" s="18" t="n"/>
      <c r="I411" s="18" t="n"/>
      <c r="J411" s="18" t="n"/>
      <c r="K411" s="18" t="n"/>
      <c r="L411" s="18" t="n"/>
      <c r="M411" s="18" t="n">
        <v>0</v>
      </c>
      <c r="N411" s="18" t="n"/>
      <c r="O411" s="18" t="n">
        <v>0</v>
      </c>
      <c r="P411" s="18" t="n">
        <v>13526268.88</v>
      </c>
      <c r="Q411" s="18" t="n"/>
      <c r="R411" s="18" t="n">
        <v>286758.17</v>
      </c>
      <c r="S411" s="18" t="n">
        <v>8000</v>
      </c>
      <c r="T411" s="191" t="n"/>
      <c r="U411" s="0" t="n"/>
      <c r="V411" s="333" t="n"/>
      <c r="W411" s="0" t="n"/>
      <c r="X411" s="0" t="n"/>
      <c r="Y411" s="0" t="n"/>
      <c r="Z411" s="0" t="n"/>
      <c r="AA411" s="0" t="n"/>
      <c r="AB411" s="0" t="n"/>
      <c r="AC411" s="0" t="n"/>
      <c r="AD411" s="0" t="n"/>
      <c r="AE411" s="0" t="n"/>
      <c r="AF411" s="0" t="n"/>
      <c r="AG411" s="0" t="n"/>
      <c r="AH411" s="0" t="n"/>
      <c r="AI411" s="0" t="n"/>
      <c r="AJ411" s="0" t="n"/>
      <c r="AK411" s="0" t="n"/>
      <c r="AL411" s="0" t="n"/>
      <c r="AM411" s="0" t="n"/>
      <c r="AN411" s="0" t="n"/>
      <c r="AO411" s="0" t="n"/>
      <c r="AP411" s="0" t="n"/>
      <c r="AQ411" s="0" t="n"/>
      <c r="AR411" s="0" t="n"/>
      <c r="AS411" s="0" t="n"/>
      <c r="AT411" s="0" t="n"/>
      <c r="AU411" s="0" t="n"/>
      <c r="AV411" s="0" t="n"/>
      <c r="AW411" s="0" t="n"/>
      <c r="AX411" s="0" t="n"/>
      <c r="AY411" s="0" t="n"/>
      <c r="AZ411" s="0" t="n"/>
      <c r="BA411" s="0" t="n"/>
      <c r="BB411" s="0" t="n"/>
      <c r="BC411" s="0" t="n"/>
      <c r="BD411" s="0" t="n"/>
      <c r="BE411" s="0" t="n"/>
      <c r="BF411" s="0" t="n"/>
      <c r="BG411" s="0" t="n"/>
      <c r="BH411" s="0" t="n"/>
      <c r="BI411" s="0" t="n"/>
      <c r="BJ411" s="0" t="n"/>
      <c r="BK411" s="0" t="n"/>
      <c r="BL411" s="0" t="n"/>
      <c r="BM411" s="0" t="n"/>
      <c r="BN411" s="0" t="n"/>
      <c r="BO411" s="0" t="n"/>
      <c r="BP411" s="0" t="n"/>
    </row>
    <row outlineLevel="0" r="412">
      <c r="A412" s="331" t="n">
        <f aca="false" ca="false" dt2D="false" dtr="false" t="normal">+A411+1</f>
        <v>396</v>
      </c>
      <c r="B412" s="6" t="s">
        <v>76</v>
      </c>
      <c r="C412" s="138" t="s">
        <v>177</v>
      </c>
      <c r="D412" s="6" t="s">
        <v>554</v>
      </c>
      <c r="E412" s="27" t="n">
        <f aca="false" ca="true" dt2D="false" dtr="false" t="normal">SUBTOTAL(9, F412:T412)</f>
        <v>10840452.98</v>
      </c>
      <c r="F412" s="18" t="n"/>
      <c r="G412" s="18" t="n"/>
      <c r="H412" s="18" t="n"/>
      <c r="I412" s="18" t="n"/>
      <c r="J412" s="18" t="n"/>
      <c r="K412" s="18" t="n"/>
      <c r="L412" s="18" t="n"/>
      <c r="M412" s="18" t="n">
        <v>0</v>
      </c>
      <c r="N412" s="18" t="n"/>
      <c r="O412" s="18" t="n">
        <v>0</v>
      </c>
      <c r="P412" s="18" t="n">
        <v>10548266.43</v>
      </c>
      <c r="Q412" s="18" t="n"/>
      <c r="R412" s="218" t="n">
        <v>284186.55</v>
      </c>
      <c r="S412" s="18" t="n">
        <v>8000</v>
      </c>
      <c r="T412" s="191" t="n"/>
      <c r="U412" s="0" t="n"/>
      <c r="V412" s="333" t="n"/>
      <c r="W412" s="0" t="n"/>
      <c r="X412" s="0" t="n"/>
      <c r="Y412" s="0" t="n"/>
      <c r="Z412" s="0" t="n"/>
      <c r="AA412" s="0" t="n"/>
      <c r="AB412" s="0" t="n"/>
      <c r="AC412" s="0" t="n"/>
      <c r="AD412" s="0" t="n"/>
      <c r="AE412" s="0" t="n"/>
      <c r="AF412" s="0" t="n"/>
      <c r="AG412" s="0" t="n"/>
      <c r="AH412" s="0" t="n"/>
      <c r="AI412" s="0" t="n"/>
      <c r="AJ412" s="0" t="n"/>
      <c r="AK412" s="0" t="n"/>
      <c r="AL412" s="0" t="n"/>
      <c r="AM412" s="0" t="n"/>
      <c r="AN412" s="0" t="n"/>
      <c r="AO412" s="0" t="n"/>
      <c r="AP412" s="0" t="n"/>
      <c r="AQ412" s="0" t="n"/>
      <c r="AR412" s="0" t="n"/>
      <c r="AS412" s="0" t="n"/>
      <c r="AT412" s="0" t="n"/>
      <c r="AU412" s="0" t="n"/>
      <c r="AV412" s="0" t="n"/>
      <c r="AW412" s="0" t="n"/>
      <c r="AX412" s="0" t="n"/>
      <c r="AY412" s="0" t="n"/>
      <c r="AZ412" s="0" t="n"/>
      <c r="BA412" s="0" t="n"/>
      <c r="BB412" s="0" t="n"/>
      <c r="BC412" s="0" t="n"/>
      <c r="BD412" s="0" t="n"/>
      <c r="BE412" s="0" t="n"/>
      <c r="BF412" s="0" t="n"/>
      <c r="BG412" s="0" t="n"/>
      <c r="BH412" s="0" t="n"/>
      <c r="BI412" s="0" t="n"/>
      <c r="BJ412" s="0" t="n"/>
      <c r="BK412" s="0" t="n"/>
      <c r="BL412" s="0" t="n"/>
      <c r="BM412" s="0" t="n"/>
      <c r="BN412" s="0" t="n"/>
      <c r="BO412" s="0" t="n"/>
      <c r="BP412" s="0" t="n"/>
    </row>
    <row outlineLevel="0" r="413">
      <c r="A413" s="331" t="n">
        <f aca="false" ca="false" dt2D="false" dtr="false" t="normal">+A412+1</f>
        <v>397</v>
      </c>
      <c r="B413" s="6" t="s">
        <v>76</v>
      </c>
      <c r="C413" s="138" t="s">
        <v>177</v>
      </c>
      <c r="D413" s="6" t="s">
        <v>367</v>
      </c>
      <c r="E413" s="27" t="n">
        <f aca="false" ca="true" dt2D="false" dtr="false" t="normal">SUBTOTAL(9, F413:T413)</f>
        <v>2787893.7900000005</v>
      </c>
      <c r="F413" s="18" t="n"/>
      <c r="G413" s="18" t="n"/>
      <c r="H413" s="18" t="n">
        <v>1270077.84</v>
      </c>
      <c r="I413" s="18" t="n">
        <v>1283887.8</v>
      </c>
      <c r="J413" s="18" t="n"/>
      <c r="K413" s="18" t="n"/>
      <c r="L413" s="18" t="n"/>
      <c r="M413" s="18" t="n"/>
      <c r="N413" s="18" t="n"/>
      <c r="O413" s="18" t="n"/>
      <c r="P413" s="18" t="n"/>
      <c r="Q413" s="217" t="n"/>
      <c r="R413" s="218" t="n">
        <v>227071.01</v>
      </c>
      <c r="S413" s="218" t="n">
        <v>6857.14</v>
      </c>
      <c r="T413" s="191" t="n"/>
      <c r="U413" s="0" t="n"/>
      <c r="V413" s="333" t="n"/>
      <c r="W413" s="0" t="n"/>
      <c r="X413" s="0" t="n"/>
      <c r="Y413" s="0" t="n"/>
      <c r="Z413" s="0" t="n"/>
      <c r="AA413" s="0" t="n"/>
      <c r="AB413" s="0" t="n"/>
      <c r="AC413" s="0" t="n"/>
      <c r="AD413" s="0" t="n"/>
      <c r="AE413" s="0" t="n"/>
      <c r="AF413" s="0" t="n"/>
      <c r="AG413" s="0" t="n"/>
      <c r="AH413" s="0" t="n"/>
      <c r="AI413" s="0" t="n"/>
      <c r="AJ413" s="0" t="n"/>
      <c r="AK413" s="0" t="n"/>
      <c r="AL413" s="0" t="n"/>
      <c r="AM413" s="0" t="n"/>
      <c r="AN413" s="0" t="n"/>
      <c r="AO413" s="0" t="n"/>
      <c r="AP413" s="0" t="n"/>
      <c r="AQ413" s="0" t="n"/>
      <c r="AR413" s="0" t="n"/>
      <c r="AS413" s="0" t="n"/>
      <c r="AT413" s="0" t="n"/>
      <c r="AU413" s="0" t="n"/>
      <c r="AV413" s="0" t="n"/>
      <c r="AW413" s="0" t="n"/>
      <c r="AX413" s="0" t="n"/>
      <c r="AY413" s="0" t="n"/>
      <c r="AZ413" s="0" t="n"/>
      <c r="BA413" s="0" t="n"/>
      <c r="BB413" s="0" t="n"/>
      <c r="BC413" s="0" t="n"/>
      <c r="BD413" s="0" t="n"/>
      <c r="BE413" s="0" t="n"/>
      <c r="BF413" s="0" t="n"/>
      <c r="BG413" s="0" t="n"/>
      <c r="BH413" s="0" t="n"/>
      <c r="BI413" s="0" t="n"/>
      <c r="BJ413" s="0" t="n"/>
      <c r="BK413" s="0" t="n"/>
      <c r="BL413" s="0" t="n"/>
      <c r="BM413" s="0" t="n"/>
      <c r="BN413" s="0" t="n"/>
      <c r="BO413" s="0" t="n"/>
      <c r="BP413" s="0" t="n"/>
    </row>
    <row outlineLevel="0" r="414">
      <c r="A414" s="331" t="n">
        <f aca="false" ca="false" dt2D="false" dtr="false" t="normal">+A413+1</f>
        <v>398</v>
      </c>
      <c r="B414" s="6" t="n">
        <v>199</v>
      </c>
      <c r="C414" s="138" t="s">
        <v>177</v>
      </c>
      <c r="D414" s="6" t="s">
        <v>703</v>
      </c>
      <c r="E414" s="27" t="n">
        <f aca="false" ca="true" dt2D="false" dtr="false" t="normal">SUBTOTAL(9, F414:T414)</f>
        <v>1518027.61</v>
      </c>
      <c r="F414" s="18" t="n">
        <v>0</v>
      </c>
      <c r="G414" s="18" t="n">
        <v>0</v>
      </c>
      <c r="H414" s="18" t="n">
        <v>0</v>
      </c>
      <c r="I414" s="18" t="n">
        <v>0</v>
      </c>
      <c r="J414" s="18" t="n">
        <v>1518027.61</v>
      </c>
      <c r="K414" s="18" t="n"/>
      <c r="L414" s="18" t="n"/>
      <c r="M414" s="18" t="n">
        <v>0</v>
      </c>
      <c r="N414" s="18" t="n">
        <v>0</v>
      </c>
      <c r="O414" s="18" t="n">
        <v>0</v>
      </c>
      <c r="P414" s="18" t="n">
        <v>0</v>
      </c>
      <c r="Q414" s="18" t="n">
        <v>0</v>
      </c>
      <c r="R414" s="200" t="n"/>
      <c r="S414" s="18" t="n"/>
      <c r="T414" s="191" t="n"/>
      <c r="U414" s="0" t="n"/>
      <c r="V414" s="333" t="n"/>
      <c r="W414" s="0" t="n"/>
      <c r="X414" s="0" t="n"/>
      <c r="Y414" s="0" t="n"/>
      <c r="Z414" s="0" t="n"/>
      <c r="AA414" s="0" t="n"/>
      <c r="AB414" s="0" t="n"/>
      <c r="AC414" s="0" t="n"/>
      <c r="AD414" s="0" t="n"/>
      <c r="AE414" s="0" t="n"/>
      <c r="AF414" s="0" t="n"/>
      <c r="AG414" s="0" t="n"/>
      <c r="AH414" s="0" t="n"/>
      <c r="AI414" s="0" t="n"/>
      <c r="AJ414" s="0" t="n"/>
      <c r="AK414" s="0" t="n"/>
      <c r="AL414" s="0" t="n"/>
      <c r="AM414" s="0" t="n"/>
      <c r="AN414" s="0" t="n"/>
      <c r="AO414" s="0" t="n"/>
      <c r="AP414" s="0" t="n"/>
      <c r="AQ414" s="0" t="n"/>
      <c r="AR414" s="0" t="n"/>
      <c r="AS414" s="0" t="n"/>
      <c r="AT414" s="0" t="n"/>
      <c r="AU414" s="0" t="n"/>
      <c r="AV414" s="0" t="n"/>
      <c r="AW414" s="0" t="n"/>
      <c r="AX414" s="0" t="n"/>
      <c r="AY414" s="0" t="n"/>
      <c r="AZ414" s="0" t="n"/>
      <c r="BA414" s="0" t="n"/>
      <c r="BB414" s="0" t="n"/>
      <c r="BC414" s="0" t="n"/>
      <c r="BD414" s="0" t="n"/>
      <c r="BE414" s="0" t="n"/>
      <c r="BF414" s="0" t="n"/>
      <c r="BG414" s="0" t="n"/>
      <c r="BH414" s="0" t="n"/>
      <c r="BI414" s="0" t="n"/>
      <c r="BJ414" s="0" t="n"/>
      <c r="BK414" s="0" t="n"/>
      <c r="BL414" s="0" t="n"/>
      <c r="BM414" s="0" t="n"/>
      <c r="BN414" s="0" t="n"/>
      <c r="BO414" s="0" t="n"/>
      <c r="BP414" s="0" t="n"/>
    </row>
    <row outlineLevel="0" r="415">
      <c r="A415" s="331" t="n">
        <f aca="false" ca="false" dt2D="false" dtr="false" t="normal">+A414+1</f>
        <v>399</v>
      </c>
      <c r="B415" s="6" t="n">
        <v>200</v>
      </c>
      <c r="C415" s="138" t="s">
        <v>177</v>
      </c>
      <c r="D415" s="6" t="s">
        <v>276</v>
      </c>
      <c r="E415" s="27" t="n">
        <f aca="false" ca="true" dt2D="false" dtr="false" t="normal">SUBTOTAL(9, F415:T415)</f>
        <v>937789.51</v>
      </c>
      <c r="F415" s="18" t="n"/>
      <c r="G415" s="18" t="n">
        <v>937789.51</v>
      </c>
      <c r="H415" s="18" t="n"/>
      <c r="I415" s="18" t="n"/>
      <c r="J415" s="18" t="n"/>
      <c r="K415" s="18" t="n"/>
      <c r="L415" s="18" t="n"/>
      <c r="M415" s="18" t="n">
        <v>0</v>
      </c>
      <c r="N415" s="18" t="n">
        <v>0</v>
      </c>
      <c r="O415" s="18" t="n">
        <v>0</v>
      </c>
      <c r="P415" s="18" t="n">
        <v>0</v>
      </c>
      <c r="Q415" s="18" t="n">
        <v>0</v>
      </c>
      <c r="R415" s="18" t="n"/>
      <c r="S415" s="18" t="n"/>
      <c r="T415" s="191" t="n"/>
      <c r="U415" s="0" t="n"/>
      <c r="V415" s="333" t="n"/>
      <c r="W415" s="0" t="n"/>
      <c r="X415" s="0" t="n"/>
      <c r="Y415" s="0" t="n"/>
      <c r="Z415" s="0" t="n"/>
      <c r="AA415" s="0" t="n"/>
      <c r="AB415" s="0" t="n"/>
      <c r="AC415" s="0" t="n"/>
      <c r="AD415" s="0" t="n"/>
      <c r="AE415" s="0" t="n"/>
      <c r="AF415" s="0" t="n"/>
      <c r="AG415" s="0" t="n"/>
      <c r="AH415" s="0" t="n"/>
      <c r="AI415" s="0" t="n"/>
      <c r="AJ415" s="0" t="n"/>
      <c r="AK415" s="0" t="n"/>
      <c r="AL415" s="0" t="n"/>
      <c r="AM415" s="0" t="n"/>
      <c r="AN415" s="0" t="n"/>
      <c r="AO415" s="0" t="n"/>
      <c r="AP415" s="0" t="n"/>
      <c r="AQ415" s="0" t="n"/>
      <c r="AR415" s="0" t="n"/>
      <c r="AS415" s="0" t="n"/>
      <c r="AT415" s="0" t="n"/>
      <c r="AU415" s="0" t="n"/>
      <c r="AV415" s="0" t="n"/>
      <c r="AW415" s="0" t="n"/>
      <c r="AX415" s="0" t="n"/>
      <c r="AY415" s="0" t="n"/>
      <c r="AZ415" s="0" t="n"/>
      <c r="BA415" s="0" t="n"/>
      <c r="BB415" s="0" t="n"/>
      <c r="BC415" s="0" t="n"/>
      <c r="BD415" s="0" t="n"/>
      <c r="BE415" s="0" t="n"/>
      <c r="BF415" s="0" t="n"/>
      <c r="BG415" s="0" t="n"/>
      <c r="BH415" s="0" t="n"/>
      <c r="BI415" s="0" t="n"/>
      <c r="BJ415" s="0" t="n"/>
      <c r="BK415" s="0" t="n"/>
      <c r="BL415" s="0" t="n"/>
      <c r="BM415" s="0" t="n"/>
      <c r="BN415" s="0" t="n"/>
      <c r="BO415" s="0" t="n"/>
      <c r="BP415" s="0" t="n"/>
    </row>
    <row outlineLevel="0" r="416">
      <c r="A416" s="331" t="n">
        <f aca="false" ca="false" dt2D="false" dtr="false" t="normal">+A415+1</f>
        <v>400</v>
      </c>
      <c r="B416" s="6" t="n">
        <f aca="false" ca="false" dt2D="false" dtr="false" t="normal">+B415+1</f>
        <v>201</v>
      </c>
      <c r="C416" s="138" t="s">
        <v>177</v>
      </c>
      <c r="D416" s="6" t="s">
        <v>394</v>
      </c>
      <c r="E416" s="27" t="n">
        <f aca="false" ca="true" dt2D="false" dtr="false" t="normal">SUBTOTAL(9, F416:T416)</f>
        <v>1569375.8099999998</v>
      </c>
      <c r="F416" s="18" t="n"/>
      <c r="G416" s="18" t="n"/>
      <c r="H416" s="18" t="n">
        <v>1517607.49</v>
      </c>
      <c r="I416" s="18" t="n"/>
      <c r="J416" s="18" t="n"/>
      <c r="K416" s="18" t="n"/>
      <c r="L416" s="18" t="n"/>
      <c r="M416" s="18" t="n"/>
      <c r="N416" s="18" t="n"/>
      <c r="O416" s="18" t="n">
        <v>0</v>
      </c>
      <c r="P416" s="18" t="n"/>
      <c r="Q416" s="18" t="n"/>
      <c r="R416" s="218" t="n">
        <v>44088.15</v>
      </c>
      <c r="S416" s="218" t="n">
        <v>7680.17</v>
      </c>
      <c r="T416" s="191" t="n"/>
      <c r="U416" s="0" t="n"/>
      <c r="V416" s="333" t="n"/>
      <c r="W416" s="0" t="n"/>
      <c r="X416" s="0" t="n"/>
      <c r="Y416" s="0" t="n"/>
      <c r="Z416" s="0" t="n"/>
      <c r="AA416" s="0" t="n"/>
      <c r="AB416" s="0" t="n"/>
      <c r="AC416" s="0" t="n"/>
      <c r="AD416" s="0" t="n"/>
      <c r="AE416" s="0" t="n"/>
      <c r="AF416" s="0" t="n"/>
      <c r="AG416" s="0" t="n"/>
      <c r="AH416" s="0" t="n"/>
      <c r="AI416" s="0" t="n"/>
      <c r="AJ416" s="0" t="n"/>
      <c r="AK416" s="0" t="n"/>
      <c r="AL416" s="0" t="n"/>
      <c r="AM416" s="0" t="n"/>
      <c r="AN416" s="0" t="n"/>
      <c r="AO416" s="0" t="n"/>
      <c r="AP416" s="0" t="n"/>
      <c r="AQ416" s="0" t="n"/>
      <c r="AR416" s="0" t="n"/>
      <c r="AS416" s="0" t="n"/>
      <c r="AT416" s="0" t="n"/>
      <c r="AU416" s="0" t="n"/>
      <c r="AV416" s="0" t="n"/>
      <c r="AW416" s="0" t="n"/>
      <c r="AX416" s="0" t="n"/>
      <c r="AY416" s="0" t="n"/>
      <c r="AZ416" s="0" t="n"/>
      <c r="BA416" s="0" t="n"/>
      <c r="BB416" s="0" t="n"/>
      <c r="BC416" s="0" t="n"/>
      <c r="BD416" s="0" t="n"/>
      <c r="BE416" s="0" t="n"/>
      <c r="BF416" s="0" t="n"/>
      <c r="BG416" s="0" t="n"/>
      <c r="BH416" s="0" t="n"/>
      <c r="BI416" s="0" t="n"/>
      <c r="BJ416" s="0" t="n"/>
      <c r="BK416" s="0" t="n"/>
      <c r="BL416" s="0" t="n"/>
      <c r="BM416" s="0" t="n"/>
      <c r="BN416" s="0" t="n"/>
      <c r="BO416" s="0" t="n"/>
      <c r="BP416" s="0" t="n"/>
    </row>
    <row outlineLevel="0" r="417">
      <c r="A417" s="331" t="n">
        <f aca="false" ca="false" dt2D="false" dtr="false" t="normal">+A416+1</f>
        <v>401</v>
      </c>
      <c r="B417" s="6" t="n">
        <f aca="false" ca="false" dt2D="false" dtr="false" t="normal">+B416+1</f>
        <v>202</v>
      </c>
      <c r="C417" s="138" t="s">
        <v>177</v>
      </c>
      <c r="D417" s="6" t="s">
        <v>279</v>
      </c>
      <c r="E417" s="203" t="n">
        <f aca="false" ca="true" dt2D="false" dtr="false" t="normal">SUBTOTAL(9, F417:T417)</f>
        <v>21301944.08</v>
      </c>
      <c r="F417" s="18" t="n">
        <v>4825175.64</v>
      </c>
      <c r="G417" s="18" t="n"/>
      <c r="H417" s="18" t="n">
        <v>1641706.8</v>
      </c>
      <c r="I417" s="18" t="n"/>
      <c r="J417" s="18" t="n"/>
      <c r="K417" s="18" t="n"/>
      <c r="L417" s="18" t="n"/>
      <c r="M417" s="18" t="n">
        <v>0</v>
      </c>
      <c r="N417" s="18" t="n">
        <v>8211860.62</v>
      </c>
      <c r="O417" s="18" t="n">
        <v>0</v>
      </c>
      <c r="P417" s="18" t="n"/>
      <c r="Q417" s="18" t="n">
        <v>6291723.6</v>
      </c>
      <c r="R417" s="218" t="n">
        <v>318677.42</v>
      </c>
      <c r="S417" s="218" t="n">
        <v>12800</v>
      </c>
      <c r="T417" s="191" t="n"/>
      <c r="U417" s="0" t="n"/>
      <c r="V417" s="333" t="n"/>
      <c r="W417" s="0" t="n"/>
      <c r="X417" s="0" t="n"/>
      <c r="Y417" s="0" t="n"/>
      <c r="Z417" s="0" t="n"/>
      <c r="AA417" s="0" t="n"/>
      <c r="AB417" s="0" t="n"/>
      <c r="AC417" s="0" t="n"/>
      <c r="AD417" s="0" t="n"/>
      <c r="AE417" s="0" t="n"/>
      <c r="AF417" s="0" t="n"/>
      <c r="AG417" s="0" t="n"/>
      <c r="AH417" s="0" t="n"/>
      <c r="AI417" s="0" t="n"/>
      <c r="AJ417" s="0" t="n"/>
      <c r="AK417" s="0" t="n"/>
      <c r="AL417" s="0" t="n"/>
      <c r="AM417" s="0" t="n"/>
      <c r="AN417" s="0" t="n"/>
      <c r="AO417" s="0" t="n"/>
      <c r="AP417" s="0" t="n"/>
      <c r="AQ417" s="0" t="n"/>
      <c r="AR417" s="0" t="n"/>
      <c r="AS417" s="0" t="n"/>
      <c r="AT417" s="0" t="n"/>
      <c r="AU417" s="0" t="n"/>
      <c r="AV417" s="0" t="n"/>
      <c r="AW417" s="0" t="n"/>
      <c r="AX417" s="0" t="n"/>
      <c r="AY417" s="0" t="n"/>
      <c r="AZ417" s="0" t="n"/>
      <c r="BA417" s="0" t="n"/>
      <c r="BB417" s="0" t="n"/>
      <c r="BC417" s="0" t="n"/>
      <c r="BD417" s="0" t="n"/>
      <c r="BE417" s="0" t="n"/>
      <c r="BF417" s="0" t="n"/>
      <c r="BG417" s="0" t="n"/>
      <c r="BH417" s="0" t="n"/>
      <c r="BI417" s="0" t="n"/>
      <c r="BJ417" s="0" t="n"/>
      <c r="BK417" s="0" t="n"/>
      <c r="BL417" s="0" t="n"/>
      <c r="BM417" s="0" t="n"/>
      <c r="BN417" s="0" t="n"/>
      <c r="BO417" s="0" t="n"/>
      <c r="BP417" s="0" t="n"/>
    </row>
    <row outlineLevel="0" r="418">
      <c r="A418" s="331" t="n">
        <f aca="false" ca="false" dt2D="false" dtr="false" t="normal">+A417+1</f>
        <v>402</v>
      </c>
      <c r="B418" s="6" t="n">
        <f aca="false" ca="false" dt2D="false" dtr="false" t="normal">+B417+1</f>
        <v>203</v>
      </c>
      <c r="C418" s="138" t="s">
        <v>177</v>
      </c>
      <c r="D418" s="6" t="s">
        <v>709</v>
      </c>
      <c r="E418" s="203" t="n">
        <f aca="false" ca="true" dt2D="false" dtr="false" t="normal">SUBTOTAL(9, F418:T418)</f>
        <v>6633043.04</v>
      </c>
      <c r="F418" s="18" t="n">
        <v>6577590.92</v>
      </c>
      <c r="G418" s="18" t="n">
        <v>0</v>
      </c>
      <c r="H418" s="18" t="n">
        <v>0</v>
      </c>
      <c r="I418" s="18" t="n">
        <v>0</v>
      </c>
      <c r="J418" s="18" t="n">
        <v>0</v>
      </c>
      <c r="K418" s="18" t="n"/>
      <c r="L418" s="18" t="n"/>
      <c r="M418" s="18" t="n">
        <v>0</v>
      </c>
      <c r="N418" s="18" t="n">
        <v>0</v>
      </c>
      <c r="O418" s="18" t="n">
        <v>0</v>
      </c>
      <c r="P418" s="18" t="n">
        <v>0</v>
      </c>
      <c r="Q418" s="18" t="n">
        <v>0</v>
      </c>
      <c r="R418" s="218" t="n">
        <v>31452.12</v>
      </c>
      <c r="S418" s="218" t="n">
        <v>24000</v>
      </c>
      <c r="T418" s="191" t="n"/>
      <c r="U418" s="0" t="n"/>
      <c r="V418" s="333" t="n"/>
      <c r="W418" s="0" t="n"/>
      <c r="X418" s="0" t="n"/>
      <c r="Y418" s="0" t="n"/>
      <c r="Z418" s="0" t="n"/>
      <c r="AA418" s="0" t="n"/>
      <c r="AB418" s="0" t="n"/>
      <c r="AC418" s="0" t="n"/>
      <c r="AD418" s="0" t="n"/>
      <c r="AE418" s="0" t="n"/>
      <c r="AF418" s="0" t="n"/>
      <c r="AG418" s="0" t="n"/>
      <c r="AH418" s="0" t="n"/>
      <c r="AI418" s="0" t="n"/>
      <c r="AJ418" s="0" t="n"/>
      <c r="AK418" s="0" t="n"/>
      <c r="AL418" s="0" t="n"/>
      <c r="AM418" s="0" t="n"/>
      <c r="AN418" s="0" t="n"/>
      <c r="AO418" s="0" t="n"/>
      <c r="AP418" s="0" t="n"/>
      <c r="AQ418" s="0" t="n"/>
      <c r="AR418" s="0" t="n"/>
      <c r="AS418" s="0" t="n"/>
      <c r="AT418" s="0" t="n"/>
      <c r="AU418" s="0" t="n"/>
      <c r="AV418" s="0" t="n"/>
      <c r="AW418" s="0" t="n"/>
      <c r="AX418" s="0" t="n"/>
      <c r="AY418" s="0" t="n"/>
      <c r="AZ418" s="0" t="n"/>
      <c r="BA418" s="0" t="n"/>
      <c r="BB418" s="0" t="n"/>
      <c r="BC418" s="0" t="n"/>
      <c r="BD418" s="0" t="n"/>
      <c r="BE418" s="0" t="n"/>
      <c r="BF418" s="0" t="n"/>
      <c r="BG418" s="0" t="n"/>
      <c r="BH418" s="0" t="n"/>
      <c r="BI418" s="0" t="n"/>
      <c r="BJ418" s="0" t="n"/>
      <c r="BK418" s="0" t="n"/>
      <c r="BL418" s="0" t="n"/>
      <c r="BM418" s="0" t="n"/>
      <c r="BN418" s="0" t="n"/>
      <c r="BO418" s="0" t="n"/>
      <c r="BP418" s="0" t="n"/>
    </row>
    <row outlineLevel="0" r="419">
      <c r="A419" s="331" t="n">
        <f aca="false" ca="false" dt2D="false" dtr="false" t="normal">+A418+1</f>
        <v>403</v>
      </c>
      <c r="B419" s="6" t="s">
        <v>76</v>
      </c>
      <c r="C419" s="138" t="s">
        <v>177</v>
      </c>
      <c r="D419" s="6" t="s">
        <v>283</v>
      </c>
      <c r="E419" s="27" t="n">
        <f aca="false" ca="true" dt2D="false" dtr="false" t="normal">SUBTOTAL(9, F419:T419)</f>
        <v>2668996.74</v>
      </c>
      <c r="F419" s="18" t="n"/>
      <c r="G419" s="18" t="n">
        <v>2668996.74</v>
      </c>
      <c r="H419" s="18" t="n"/>
      <c r="I419" s="18" t="n"/>
      <c r="J419" s="18" t="n"/>
      <c r="K419" s="18" t="n"/>
      <c r="L419" s="18" t="n"/>
      <c r="M419" s="18" t="n"/>
      <c r="N419" s="18" t="n"/>
      <c r="O419" s="18" t="n"/>
      <c r="P419" s="18" t="n"/>
      <c r="Q419" s="18" t="n"/>
      <c r="R419" s="18" t="n"/>
      <c r="S419" s="18" t="n"/>
      <c r="T419" s="191" t="n"/>
      <c r="U419" s="0" t="n"/>
      <c r="V419" s="333" t="n"/>
      <c r="W419" s="0" t="n"/>
      <c r="X419" s="0" t="n"/>
      <c r="Y419" s="0" t="n"/>
      <c r="Z419" s="0" t="n"/>
      <c r="AA419" s="0" t="n"/>
      <c r="AB419" s="0" t="n"/>
      <c r="AC419" s="0" t="n"/>
      <c r="AD419" s="0" t="n"/>
      <c r="AE419" s="0" t="n"/>
      <c r="AF419" s="0" t="n"/>
      <c r="AG419" s="0" t="n"/>
      <c r="AH419" s="0" t="n"/>
      <c r="AI419" s="0" t="n"/>
      <c r="AJ419" s="0" t="n"/>
      <c r="AK419" s="0" t="n"/>
      <c r="AL419" s="0" t="n"/>
      <c r="AM419" s="0" t="n"/>
      <c r="AN419" s="0" t="n"/>
      <c r="AO419" s="0" t="n"/>
      <c r="AP419" s="0" t="n"/>
      <c r="AQ419" s="0" t="n"/>
      <c r="AR419" s="0" t="n"/>
      <c r="AS419" s="0" t="n"/>
      <c r="AT419" s="0" t="n"/>
      <c r="AU419" s="0" t="n"/>
      <c r="AV419" s="0" t="n"/>
      <c r="AW419" s="0" t="n"/>
      <c r="AX419" s="0" t="n"/>
      <c r="AY419" s="0" t="n"/>
      <c r="AZ419" s="0" t="n"/>
      <c r="BA419" s="0" t="n"/>
      <c r="BB419" s="0" t="n"/>
      <c r="BC419" s="0" t="n"/>
      <c r="BD419" s="0" t="n"/>
      <c r="BE419" s="0" t="n"/>
      <c r="BF419" s="0" t="n"/>
      <c r="BG419" s="0" t="n"/>
      <c r="BH419" s="0" t="n"/>
      <c r="BI419" s="0" t="n"/>
      <c r="BJ419" s="0" t="n"/>
      <c r="BK419" s="0" t="n"/>
      <c r="BL419" s="0" t="n"/>
      <c r="BM419" s="0" t="n"/>
      <c r="BN419" s="0" t="n"/>
      <c r="BO419" s="0" t="n"/>
      <c r="BP419" s="0" t="n"/>
    </row>
    <row outlineLevel="0" r="420">
      <c r="A420" s="331" t="n">
        <f aca="false" ca="false" dt2D="false" dtr="false" t="normal">+A419+1</f>
        <v>404</v>
      </c>
      <c r="B420" s="6" t="s">
        <v>76</v>
      </c>
      <c r="C420" s="138" t="s">
        <v>177</v>
      </c>
      <c r="D420" s="6" t="s">
        <v>285</v>
      </c>
      <c r="E420" s="27" t="n">
        <f aca="false" ca="true" dt2D="false" dtr="false" t="normal">SUBTOTAL(9, F420:T420)</f>
        <v>4620721.522</v>
      </c>
      <c r="F420" s="18" t="n">
        <v>4620721.522</v>
      </c>
      <c r="G420" s="18" t="n"/>
      <c r="H420" s="18" t="n"/>
      <c r="I420" s="18" t="n"/>
      <c r="J420" s="18" t="n"/>
      <c r="K420" s="18" t="n"/>
      <c r="L420" s="18" t="n"/>
      <c r="M420" s="18" t="n"/>
      <c r="N420" s="18" t="n"/>
      <c r="O420" s="18" t="n"/>
      <c r="P420" s="18" t="n"/>
      <c r="Q420" s="18" t="n"/>
      <c r="R420" s="18" t="n"/>
      <c r="S420" s="18" t="n"/>
      <c r="T420" s="191" t="n"/>
      <c r="U420" s="0" t="n"/>
      <c r="V420" s="333" t="n"/>
      <c r="W420" s="0" t="n"/>
      <c r="X420" s="0" t="n"/>
      <c r="Y420" s="0" t="n"/>
      <c r="Z420" s="0" t="n"/>
      <c r="AA420" s="0" t="n"/>
      <c r="AB420" s="0" t="n"/>
      <c r="AC420" s="0" t="n"/>
      <c r="AD420" s="0" t="n"/>
      <c r="AE420" s="0" t="n"/>
      <c r="AF420" s="0" t="n"/>
      <c r="AG420" s="0" t="n"/>
      <c r="AH420" s="0" t="n"/>
      <c r="AI420" s="0" t="n"/>
      <c r="AJ420" s="0" t="n"/>
      <c r="AK420" s="0" t="n"/>
      <c r="AL420" s="0" t="n"/>
      <c r="AM420" s="0" t="n"/>
      <c r="AN420" s="0" t="n"/>
      <c r="AO420" s="0" t="n"/>
      <c r="AP420" s="0" t="n"/>
      <c r="AQ420" s="0" t="n"/>
      <c r="AR420" s="0" t="n"/>
      <c r="AS420" s="0" t="n"/>
      <c r="AT420" s="0" t="n"/>
      <c r="AU420" s="0" t="n"/>
      <c r="AV420" s="0" t="n"/>
      <c r="AW420" s="0" t="n"/>
      <c r="AX420" s="0" t="n"/>
      <c r="AY420" s="0" t="n"/>
      <c r="AZ420" s="0" t="n"/>
      <c r="BA420" s="0" t="n"/>
      <c r="BB420" s="0" t="n"/>
      <c r="BC420" s="0" t="n"/>
      <c r="BD420" s="0" t="n"/>
      <c r="BE420" s="0" t="n"/>
      <c r="BF420" s="0" t="n"/>
      <c r="BG420" s="0" t="n"/>
      <c r="BH420" s="0" t="n"/>
      <c r="BI420" s="0" t="n"/>
      <c r="BJ420" s="0" t="n"/>
      <c r="BK420" s="0" t="n"/>
      <c r="BL420" s="0" t="n"/>
      <c r="BM420" s="0" t="n"/>
      <c r="BN420" s="0" t="n"/>
      <c r="BO420" s="0" t="n"/>
      <c r="BP420" s="0" t="n"/>
    </row>
    <row outlineLevel="0" r="421">
      <c r="A421" s="331" t="n">
        <f aca="false" ca="false" dt2D="false" dtr="false" t="normal">+A420+1</f>
        <v>405</v>
      </c>
      <c r="B421" s="6" t="s">
        <v>76</v>
      </c>
      <c r="C421" s="138" t="s">
        <v>177</v>
      </c>
      <c r="D421" s="6" t="s">
        <v>576</v>
      </c>
      <c r="E421" s="27" t="n">
        <f aca="false" ca="true" dt2D="false" dtr="false" t="normal">SUBTOTAL(9, F421:T421)</f>
        <v>1471006.89</v>
      </c>
      <c r="F421" s="18" t="n"/>
      <c r="G421" s="18" t="n">
        <v>1434980.99</v>
      </c>
      <c r="H421" s="18" t="n"/>
      <c r="I421" s="18" t="n"/>
      <c r="J421" s="18" t="n"/>
      <c r="K421" s="18" t="n"/>
      <c r="L421" s="18" t="n"/>
      <c r="M421" s="18" t="n">
        <v>0</v>
      </c>
      <c r="N421" s="18" t="n"/>
      <c r="O421" s="18" t="n">
        <v>0</v>
      </c>
      <c r="P421" s="18" t="n">
        <v>0</v>
      </c>
      <c r="Q421" s="18" t="n"/>
      <c r="R421" s="18" t="n">
        <v>31225.9</v>
      </c>
      <c r="S421" s="18" t="n">
        <v>4800</v>
      </c>
      <c r="T421" s="191" t="n"/>
      <c r="U421" s="0" t="n"/>
      <c r="V421" s="333" t="n"/>
      <c r="W421" s="0" t="n"/>
      <c r="X421" s="0" t="n"/>
      <c r="Y421" s="0" t="n"/>
      <c r="Z421" s="0" t="n"/>
      <c r="AA421" s="0" t="n"/>
      <c r="AB421" s="0" t="n"/>
      <c r="AC421" s="0" t="n"/>
      <c r="AD421" s="0" t="n"/>
      <c r="AE421" s="0" t="n"/>
      <c r="AF421" s="0" t="n"/>
      <c r="AG421" s="0" t="n"/>
      <c r="AH421" s="0" t="n"/>
      <c r="AI421" s="0" t="n"/>
      <c r="AJ421" s="0" t="n"/>
      <c r="AK421" s="0" t="n"/>
      <c r="AL421" s="0" t="n"/>
      <c r="AM421" s="0" t="n"/>
      <c r="AN421" s="0" t="n"/>
      <c r="AO421" s="0" t="n"/>
      <c r="AP421" s="0" t="n"/>
      <c r="AQ421" s="0" t="n"/>
      <c r="AR421" s="0" t="n"/>
      <c r="AS421" s="0" t="n"/>
      <c r="AT421" s="0" t="n"/>
      <c r="AU421" s="0" t="n"/>
      <c r="AV421" s="0" t="n"/>
      <c r="AW421" s="0" t="n"/>
      <c r="AX421" s="0" t="n"/>
      <c r="AY421" s="0" t="n"/>
      <c r="AZ421" s="0" t="n"/>
      <c r="BA421" s="0" t="n"/>
      <c r="BB421" s="0" t="n"/>
      <c r="BC421" s="0" t="n"/>
      <c r="BD421" s="0" t="n"/>
      <c r="BE421" s="0" t="n"/>
      <c r="BF421" s="0" t="n"/>
      <c r="BG421" s="0" t="n"/>
      <c r="BH421" s="0" t="n"/>
      <c r="BI421" s="0" t="n"/>
      <c r="BJ421" s="0" t="n"/>
      <c r="BK421" s="0" t="n"/>
      <c r="BL421" s="0" t="n"/>
      <c r="BM421" s="0" t="n"/>
      <c r="BN421" s="0" t="n"/>
      <c r="BO421" s="0" t="n"/>
      <c r="BP421" s="0" t="n"/>
    </row>
    <row outlineLevel="0" r="422">
      <c r="A422" s="331" t="n">
        <f aca="false" ca="false" dt2D="false" dtr="false" t="normal">+A421+1</f>
        <v>406</v>
      </c>
      <c r="B422" s="6" t="s">
        <v>76</v>
      </c>
      <c r="C422" s="138" t="s">
        <v>177</v>
      </c>
      <c r="D422" s="6" t="s">
        <v>577</v>
      </c>
      <c r="E422" s="27" t="n">
        <f aca="false" ca="true" dt2D="false" dtr="false" t="normal">SUBTOTAL(9, F422:T422)</f>
        <v>1823889.76</v>
      </c>
      <c r="F422" s="18" t="n"/>
      <c r="G422" s="18" t="n">
        <v>1788007.61</v>
      </c>
      <c r="H422" s="18" t="n"/>
      <c r="I422" s="18" t="n"/>
      <c r="J422" s="18" t="n"/>
      <c r="K422" s="18" t="n"/>
      <c r="L422" s="18" t="n"/>
      <c r="M422" s="18" t="n">
        <v>0</v>
      </c>
      <c r="N422" s="18" t="n"/>
      <c r="O422" s="18" t="n">
        <v>0</v>
      </c>
      <c r="P422" s="18" t="n">
        <v>0</v>
      </c>
      <c r="Q422" s="18" t="n">
        <v>0</v>
      </c>
      <c r="R422" s="18" t="n">
        <v>31082.15</v>
      </c>
      <c r="S422" s="18" t="n">
        <v>4800</v>
      </c>
      <c r="T422" s="191" t="n"/>
      <c r="U422" s="0" t="n"/>
      <c r="V422" s="333" t="n"/>
      <c r="W422" s="0" t="n"/>
      <c r="X422" s="0" t="n"/>
      <c r="Y422" s="0" t="n"/>
      <c r="Z422" s="0" t="n"/>
      <c r="AA422" s="0" t="n"/>
      <c r="AB422" s="0" t="n"/>
      <c r="AC422" s="0" t="n"/>
      <c r="AD422" s="0" t="n"/>
      <c r="AE422" s="0" t="n"/>
      <c r="AF422" s="0" t="n"/>
      <c r="AG422" s="0" t="n"/>
      <c r="AH422" s="0" t="n"/>
      <c r="AI422" s="0" t="n"/>
      <c r="AJ422" s="0" t="n"/>
      <c r="AK422" s="0" t="n"/>
      <c r="AL422" s="0" t="n"/>
      <c r="AM422" s="0" t="n"/>
      <c r="AN422" s="0" t="n"/>
      <c r="AO422" s="0" t="n"/>
      <c r="AP422" s="0" t="n"/>
      <c r="AQ422" s="0" t="n"/>
      <c r="AR422" s="0" t="n"/>
      <c r="AS422" s="0" t="n"/>
      <c r="AT422" s="0" t="n"/>
      <c r="AU422" s="0" t="n"/>
      <c r="AV422" s="0" t="n"/>
      <c r="AW422" s="0" t="n"/>
      <c r="AX422" s="0" t="n"/>
      <c r="AY422" s="0" t="n"/>
      <c r="AZ422" s="0" t="n"/>
      <c r="BA422" s="0" t="n"/>
      <c r="BB422" s="0" t="n"/>
      <c r="BC422" s="0" t="n"/>
      <c r="BD422" s="0" t="n"/>
      <c r="BE422" s="0" t="n"/>
      <c r="BF422" s="0" t="n"/>
      <c r="BG422" s="0" t="n"/>
      <c r="BH422" s="0" t="n"/>
      <c r="BI422" s="0" t="n"/>
      <c r="BJ422" s="0" t="n"/>
      <c r="BK422" s="0" t="n"/>
      <c r="BL422" s="0" t="n"/>
      <c r="BM422" s="0" t="n"/>
      <c r="BN422" s="0" t="n"/>
      <c r="BO422" s="0" t="n"/>
      <c r="BP422" s="0" t="n"/>
    </row>
    <row outlineLevel="0" r="423">
      <c r="A423" s="331" t="n">
        <f aca="false" ca="false" dt2D="false" dtr="false" t="normal">+A422+1</f>
        <v>407</v>
      </c>
      <c r="B423" s="6" t="s">
        <v>76</v>
      </c>
      <c r="C423" s="138" t="s">
        <v>177</v>
      </c>
      <c r="D423" s="6" t="s">
        <v>579</v>
      </c>
      <c r="E423" s="27" t="n">
        <f aca="false" ca="true" dt2D="false" dtr="false" t="normal">SUBTOTAL(9, F423:T423)</f>
        <v>7879770.54</v>
      </c>
      <c r="F423" s="18" t="n">
        <v>6881617.84</v>
      </c>
      <c r="G423" s="18" t="n">
        <v>998152.7</v>
      </c>
      <c r="H423" s="18" t="n"/>
      <c r="I423" s="18" t="n"/>
      <c r="J423" s="18" t="n"/>
      <c r="K423" s="18" t="n"/>
      <c r="L423" s="18" t="n"/>
      <c r="M423" s="18" t="n">
        <v>0</v>
      </c>
      <c r="N423" s="18" t="n"/>
      <c r="O423" s="18" t="n">
        <v>0</v>
      </c>
      <c r="P423" s="18" t="n">
        <v>0</v>
      </c>
      <c r="Q423" s="18" t="n"/>
      <c r="R423" s="18" t="n"/>
      <c r="S423" s="18" t="n"/>
      <c r="T423" s="191" t="n"/>
      <c r="U423" s="0" t="n"/>
      <c r="V423" s="333" t="n"/>
      <c r="W423" s="0" t="n"/>
      <c r="X423" s="0" t="n"/>
      <c r="Y423" s="0" t="n"/>
      <c r="Z423" s="0" t="n"/>
      <c r="AA423" s="0" t="n"/>
      <c r="AB423" s="0" t="n"/>
      <c r="AC423" s="0" t="n"/>
      <c r="AD423" s="0" t="n"/>
      <c r="AE423" s="0" t="n"/>
      <c r="AF423" s="0" t="n"/>
      <c r="AG423" s="0" t="n"/>
      <c r="AH423" s="0" t="n"/>
      <c r="AI423" s="0" t="n"/>
      <c r="AJ423" s="0" t="n"/>
      <c r="AK423" s="0" t="n"/>
      <c r="AL423" s="0" t="n"/>
      <c r="AM423" s="0" t="n"/>
      <c r="AN423" s="0" t="n"/>
      <c r="AO423" s="0" t="n"/>
      <c r="AP423" s="0" t="n"/>
      <c r="AQ423" s="0" t="n"/>
      <c r="AR423" s="0" t="n"/>
      <c r="AS423" s="0" t="n"/>
      <c r="AT423" s="0" t="n"/>
      <c r="AU423" s="0" t="n"/>
      <c r="AV423" s="0" t="n"/>
      <c r="AW423" s="0" t="n"/>
      <c r="AX423" s="0" t="n"/>
      <c r="AY423" s="0" t="n"/>
      <c r="AZ423" s="0" t="n"/>
      <c r="BA423" s="0" t="n"/>
      <c r="BB423" s="0" t="n"/>
      <c r="BC423" s="0" t="n"/>
      <c r="BD423" s="0" t="n"/>
      <c r="BE423" s="0" t="n"/>
      <c r="BF423" s="0" t="n"/>
      <c r="BG423" s="0" t="n"/>
      <c r="BH423" s="0" t="n"/>
      <c r="BI423" s="0" t="n"/>
      <c r="BJ423" s="0" t="n"/>
      <c r="BK423" s="0" t="n"/>
      <c r="BL423" s="0" t="n"/>
      <c r="BM423" s="0" t="n"/>
      <c r="BN423" s="0" t="n"/>
      <c r="BO423" s="0" t="n"/>
      <c r="BP423" s="0" t="n"/>
    </row>
    <row outlineLevel="0" r="424">
      <c r="A424" s="331" t="n">
        <f aca="false" ca="false" dt2D="false" dtr="false" t="normal">+A423+1</f>
        <v>408</v>
      </c>
      <c r="B424" s="6" t="s">
        <v>76</v>
      </c>
      <c r="C424" s="138" t="s">
        <v>177</v>
      </c>
      <c r="D424" s="6" t="s">
        <v>294</v>
      </c>
      <c r="E424" s="27" t="n">
        <f aca="false" ca="true" dt2D="false" dtr="false" t="normal">SUBTOTAL(9, F424:T424)</f>
        <v>46145720.29000001</v>
      </c>
      <c r="F424" s="18" t="n"/>
      <c r="G424" s="18" t="n"/>
      <c r="H424" s="18" t="n"/>
      <c r="I424" s="18" t="n"/>
      <c r="J424" s="18" t="n"/>
      <c r="K424" s="18" t="n"/>
      <c r="L424" s="18" t="n"/>
      <c r="M424" s="18" t="n"/>
      <c r="N424" s="18" t="n"/>
      <c r="O424" s="18" t="n"/>
      <c r="P424" s="18" t="n">
        <v>27117129.62</v>
      </c>
      <c r="Q424" s="18" t="n">
        <v>18561498.89</v>
      </c>
      <c r="R424" s="18" t="n">
        <v>325518.36</v>
      </c>
      <c r="S424" s="18" t="n">
        <v>28000</v>
      </c>
      <c r="T424" s="191" t="n">
        <v>113573.42</v>
      </c>
      <c r="U424" s="0" t="n"/>
      <c r="V424" s="333" t="n"/>
      <c r="W424" s="0" t="n"/>
      <c r="X424" s="0" t="n"/>
      <c r="Y424" s="0" t="n"/>
      <c r="Z424" s="0" t="n"/>
      <c r="AA424" s="0" t="n"/>
      <c r="AB424" s="0" t="n"/>
      <c r="AC424" s="0" t="n"/>
      <c r="AD424" s="0" t="n"/>
      <c r="AE424" s="0" t="n"/>
      <c r="AF424" s="0" t="n"/>
      <c r="AG424" s="0" t="n"/>
      <c r="AH424" s="0" t="n"/>
      <c r="AI424" s="0" t="n"/>
      <c r="AJ424" s="0" t="n"/>
      <c r="AK424" s="0" t="n"/>
      <c r="AL424" s="0" t="n"/>
      <c r="AM424" s="0" t="n"/>
      <c r="AN424" s="0" t="n"/>
      <c r="AO424" s="0" t="n"/>
      <c r="AP424" s="0" t="n"/>
      <c r="AQ424" s="0" t="n"/>
      <c r="AR424" s="0" t="n"/>
      <c r="AS424" s="0" t="n"/>
      <c r="AT424" s="0" t="n"/>
      <c r="AU424" s="0" t="n"/>
      <c r="AV424" s="0" t="n"/>
      <c r="AW424" s="0" t="n"/>
      <c r="AX424" s="0" t="n"/>
      <c r="AY424" s="0" t="n"/>
      <c r="AZ424" s="0" t="n"/>
      <c r="BA424" s="0" t="n"/>
      <c r="BB424" s="0" t="n"/>
      <c r="BC424" s="0" t="n"/>
      <c r="BD424" s="0" t="n"/>
      <c r="BE424" s="0" t="n"/>
      <c r="BF424" s="0" t="n"/>
      <c r="BG424" s="0" t="n"/>
      <c r="BH424" s="0" t="n"/>
      <c r="BI424" s="0" t="n"/>
      <c r="BJ424" s="0" t="n"/>
      <c r="BK424" s="0" t="n"/>
      <c r="BL424" s="0" t="n"/>
      <c r="BM424" s="0" t="n"/>
      <c r="BN424" s="0" t="n"/>
      <c r="BO424" s="0" t="n"/>
      <c r="BP424" s="0" t="n"/>
    </row>
    <row outlineLevel="0" r="425">
      <c r="A425" s="331" t="n">
        <f aca="false" ca="false" dt2D="false" dtr="false" t="normal">+A424+1</f>
        <v>409</v>
      </c>
      <c r="B425" s="6" t="s">
        <v>76</v>
      </c>
      <c r="C425" s="138" t="s">
        <v>177</v>
      </c>
      <c r="D425" s="138" t="s">
        <v>409</v>
      </c>
      <c r="E425" s="27" t="n">
        <f aca="false" ca="true" dt2D="false" dtr="false" t="normal">SUBTOTAL(9, F425:T425)</f>
        <v>6630811.47</v>
      </c>
      <c r="F425" s="17" t="n"/>
      <c r="G425" s="18" t="n"/>
      <c r="H425" s="18" t="n"/>
      <c r="I425" s="18" t="n"/>
      <c r="J425" s="18" t="n"/>
      <c r="K425" s="18" t="n"/>
      <c r="L425" s="18" t="n"/>
      <c r="M425" s="18" t="n"/>
      <c r="N425" s="18" t="n"/>
      <c r="O425" s="18" t="n"/>
      <c r="P425" s="18" t="n"/>
      <c r="Q425" s="18" t="n">
        <v>6630811.47</v>
      </c>
      <c r="R425" s="18" t="n"/>
      <c r="S425" s="18" t="n"/>
      <c r="T425" s="191" t="n"/>
    </row>
    <row outlineLevel="0" r="426">
      <c r="A426" s="331" t="n">
        <f aca="false" ca="false" dt2D="false" dtr="false" t="normal">+A425+1</f>
        <v>410</v>
      </c>
      <c r="B426" s="6" t="s">
        <v>76</v>
      </c>
      <c r="C426" s="138" t="s">
        <v>177</v>
      </c>
      <c r="D426" s="6" t="s">
        <v>588</v>
      </c>
      <c r="E426" s="27" t="n">
        <f aca="false" ca="true" dt2D="false" dtr="false" t="normal">SUBTOTAL(9, F426:T426)</f>
        <v>2642400.08</v>
      </c>
      <c r="F426" s="18" t="n"/>
      <c r="G426" s="18" t="n"/>
      <c r="H426" s="18" t="n">
        <v>2642400.08</v>
      </c>
      <c r="I426" s="18" t="n">
        <v>0</v>
      </c>
      <c r="J426" s="18" t="n"/>
      <c r="K426" s="18" t="n"/>
      <c r="L426" s="18" t="n"/>
      <c r="M426" s="18" t="n"/>
      <c r="N426" s="18" t="n"/>
      <c r="O426" s="18" t="n"/>
      <c r="P426" s="18" t="n"/>
      <c r="Q426" s="18" t="n"/>
      <c r="R426" s="18" t="n"/>
      <c r="S426" s="18" t="n"/>
      <c r="T426" s="191" t="n"/>
      <c r="U426" s="0" t="n"/>
      <c r="V426" s="333" t="n"/>
      <c r="W426" s="0" t="n"/>
      <c r="X426" s="0" t="n"/>
      <c r="Y426" s="0" t="n"/>
      <c r="Z426" s="0" t="n"/>
      <c r="AA426" s="0" t="n"/>
      <c r="AB426" s="0" t="n"/>
      <c r="AC426" s="0" t="n"/>
      <c r="AD426" s="0" t="n"/>
      <c r="AE426" s="0" t="n"/>
      <c r="AF426" s="0" t="n"/>
      <c r="AG426" s="0" t="n"/>
      <c r="AH426" s="0" t="n"/>
      <c r="AI426" s="0" t="n"/>
      <c r="AJ426" s="0" t="n"/>
      <c r="AK426" s="0" t="n"/>
      <c r="AL426" s="0" t="n"/>
      <c r="AM426" s="0" t="n"/>
      <c r="AN426" s="0" t="n"/>
      <c r="AO426" s="0" t="n"/>
      <c r="AP426" s="0" t="n"/>
      <c r="AQ426" s="0" t="n"/>
      <c r="AR426" s="0" t="n"/>
      <c r="AS426" s="0" t="n"/>
      <c r="AT426" s="0" t="n"/>
      <c r="AU426" s="0" t="n"/>
      <c r="AV426" s="0" t="n"/>
      <c r="AW426" s="0" t="n"/>
      <c r="AX426" s="0" t="n"/>
      <c r="AY426" s="0" t="n"/>
      <c r="AZ426" s="0" t="n"/>
      <c r="BA426" s="0" t="n"/>
      <c r="BB426" s="0" t="n"/>
      <c r="BC426" s="0" t="n"/>
      <c r="BD426" s="0" t="n"/>
      <c r="BE426" s="0" t="n"/>
      <c r="BF426" s="0" t="n"/>
      <c r="BG426" s="0" t="n"/>
      <c r="BH426" s="0" t="n"/>
      <c r="BI426" s="0" t="n"/>
      <c r="BJ426" s="0" t="n"/>
      <c r="BK426" s="0" t="n"/>
      <c r="BL426" s="0" t="n"/>
      <c r="BM426" s="0" t="n"/>
      <c r="BN426" s="0" t="n"/>
      <c r="BO426" s="0" t="n"/>
      <c r="BP426" s="0" t="n"/>
    </row>
    <row outlineLevel="0" r="427">
      <c r="A427" s="331" t="n">
        <f aca="false" ca="false" dt2D="false" dtr="false" t="normal">+A426+1</f>
        <v>411</v>
      </c>
      <c r="B427" s="6" t="n">
        <v>204</v>
      </c>
      <c r="C427" s="138" t="s">
        <v>177</v>
      </c>
      <c r="D427" s="6" t="s">
        <v>722</v>
      </c>
      <c r="E427" s="27" t="n">
        <f aca="false" ca="true" dt2D="false" dtr="false" t="normal">SUBTOTAL(9, F427:T427)</f>
        <v>5699797.859999999</v>
      </c>
      <c r="F427" s="18" t="n"/>
      <c r="G427" s="18" t="n"/>
      <c r="H427" s="18" t="n"/>
      <c r="I427" s="18" t="n"/>
      <c r="J427" s="18" t="n"/>
      <c r="K427" s="18" t="n"/>
      <c r="L427" s="18" t="n"/>
      <c r="M427" s="18" t="n"/>
      <c r="N427" s="18" t="n">
        <v>5449539.43</v>
      </c>
      <c r="O427" s="18" t="n"/>
      <c r="P427" s="18" t="n"/>
      <c r="Q427" s="18" t="n"/>
      <c r="R427" s="18" t="n">
        <v>226258.43</v>
      </c>
      <c r="S427" s="18" t="n">
        <v>24000</v>
      </c>
      <c r="T427" s="191" t="n"/>
      <c r="U427" s="0" t="n"/>
      <c r="V427" s="333" t="n"/>
      <c r="W427" s="0" t="n"/>
      <c r="X427" s="0" t="n"/>
      <c r="Y427" s="0" t="n"/>
      <c r="Z427" s="0" t="n"/>
      <c r="AA427" s="0" t="n"/>
      <c r="AB427" s="0" t="n"/>
      <c r="AC427" s="0" t="n"/>
      <c r="AD427" s="0" t="n"/>
      <c r="AE427" s="0" t="n"/>
      <c r="AF427" s="0" t="n"/>
      <c r="AG427" s="0" t="n"/>
      <c r="AH427" s="0" t="n"/>
      <c r="AI427" s="0" t="n"/>
      <c r="AJ427" s="0" t="n"/>
      <c r="AK427" s="0" t="n"/>
      <c r="AL427" s="0" t="n"/>
      <c r="AM427" s="0" t="n"/>
      <c r="AN427" s="0" t="n"/>
      <c r="AO427" s="0" t="n"/>
      <c r="AP427" s="0" t="n"/>
      <c r="AQ427" s="0" t="n"/>
      <c r="AR427" s="0" t="n"/>
      <c r="AS427" s="0" t="n"/>
      <c r="AT427" s="0" t="n"/>
      <c r="AU427" s="0" t="n"/>
      <c r="AV427" s="0" t="n"/>
      <c r="AW427" s="0" t="n"/>
      <c r="AX427" s="0" t="n"/>
      <c r="AY427" s="0" t="n"/>
      <c r="AZ427" s="0" t="n"/>
      <c r="BA427" s="0" t="n"/>
      <c r="BB427" s="0" t="n"/>
      <c r="BC427" s="0" t="n"/>
      <c r="BD427" s="0" t="n"/>
      <c r="BE427" s="0" t="n"/>
      <c r="BF427" s="0" t="n"/>
      <c r="BG427" s="0" t="n"/>
      <c r="BH427" s="0" t="n"/>
      <c r="BI427" s="0" t="n"/>
      <c r="BJ427" s="0" t="n"/>
      <c r="BK427" s="0" t="n"/>
      <c r="BL427" s="0" t="n"/>
      <c r="BM427" s="0" t="n"/>
      <c r="BN427" s="0" t="n"/>
      <c r="BO427" s="0" t="n"/>
      <c r="BP427" s="0" t="n"/>
    </row>
    <row outlineLevel="0" r="428">
      <c r="A428" s="331" t="n">
        <f aca="false" ca="false" dt2D="false" dtr="false" t="normal">+A427+1</f>
        <v>412</v>
      </c>
      <c r="B428" s="6" t="s">
        <v>76</v>
      </c>
      <c r="C428" s="138" t="s">
        <v>177</v>
      </c>
      <c r="D428" s="6" t="s">
        <v>590</v>
      </c>
      <c r="E428" s="203" t="n">
        <f aca="false" ca="true" dt2D="false" dtr="false" t="normal">SUBTOTAL(9, F428:T428)</f>
        <v>13682647.209999999</v>
      </c>
      <c r="F428" s="18" t="n">
        <v>5021208.78</v>
      </c>
      <c r="G428" s="18" t="n">
        <v>734322.14</v>
      </c>
      <c r="H428" s="18" t="n"/>
      <c r="I428" s="18" t="n">
        <v>1975667.5</v>
      </c>
      <c r="J428" s="18" t="n"/>
      <c r="K428" s="18" t="n"/>
      <c r="L428" s="18" t="n"/>
      <c r="M428" s="18" t="n">
        <v>0</v>
      </c>
      <c r="N428" s="18" t="n">
        <v>0</v>
      </c>
      <c r="O428" s="18" t="n">
        <v>0</v>
      </c>
      <c r="P428" s="18" t="n">
        <v>5170020</v>
      </c>
      <c r="Q428" s="18" t="n"/>
      <c r="R428" s="18" t="n">
        <v>767714.5</v>
      </c>
      <c r="S428" s="18" t="n">
        <v>13714.29</v>
      </c>
      <c r="T428" s="191" t="n"/>
      <c r="U428" s="0" t="n"/>
      <c r="V428" s="333" t="n"/>
      <c r="W428" s="0" t="n"/>
      <c r="X428" s="0" t="n"/>
      <c r="Y428" s="0" t="n"/>
      <c r="Z428" s="0" t="n"/>
      <c r="AA428" s="0" t="n"/>
      <c r="AB428" s="0" t="n"/>
      <c r="AC428" s="0" t="n"/>
      <c r="AD428" s="0" t="n"/>
      <c r="AE428" s="0" t="n"/>
      <c r="AF428" s="0" t="n"/>
      <c r="AG428" s="0" t="n"/>
      <c r="AH428" s="0" t="n"/>
      <c r="AI428" s="0" t="n"/>
      <c r="AJ428" s="0" t="n"/>
      <c r="AK428" s="0" t="n"/>
      <c r="AL428" s="0" t="n"/>
      <c r="AM428" s="0" t="n"/>
      <c r="AN428" s="0" t="n"/>
      <c r="AO428" s="0" t="n"/>
      <c r="AP428" s="0" t="n"/>
      <c r="AQ428" s="0" t="n"/>
      <c r="AR428" s="0" t="n"/>
      <c r="AS428" s="0" t="n"/>
      <c r="AT428" s="0" t="n"/>
      <c r="AU428" s="0" t="n"/>
      <c r="AV428" s="0" t="n"/>
      <c r="AW428" s="0" t="n"/>
      <c r="AX428" s="0" t="n"/>
      <c r="AY428" s="0" t="n"/>
      <c r="AZ428" s="0" t="n"/>
      <c r="BA428" s="0" t="n"/>
      <c r="BB428" s="0" t="n"/>
      <c r="BC428" s="0" t="n"/>
      <c r="BD428" s="0" t="n"/>
      <c r="BE428" s="0" t="n"/>
      <c r="BF428" s="0" t="n"/>
      <c r="BG428" s="0" t="n"/>
      <c r="BH428" s="0" t="n"/>
      <c r="BI428" s="0" t="n"/>
      <c r="BJ428" s="0" t="n"/>
      <c r="BK428" s="0" t="n"/>
      <c r="BL428" s="0" t="n"/>
      <c r="BM428" s="0" t="n"/>
      <c r="BN428" s="0" t="n"/>
      <c r="BO428" s="0" t="n"/>
      <c r="BP428" s="0" t="n"/>
    </row>
    <row outlineLevel="0" r="429">
      <c r="A429" s="331" t="n">
        <f aca="false" ca="false" dt2D="false" dtr="false" t="normal">+A428+1</f>
        <v>413</v>
      </c>
      <c r="B429" s="6" t="s">
        <v>76</v>
      </c>
      <c r="C429" s="138" t="s">
        <v>177</v>
      </c>
      <c r="D429" s="6" t="s">
        <v>303</v>
      </c>
      <c r="E429" s="203" t="n">
        <f aca="false" ca="true" dt2D="false" dtr="false" t="normal">SUBTOTAL(9, F429:T429)</f>
        <v>9347701.01</v>
      </c>
      <c r="F429" s="18" t="n"/>
      <c r="G429" s="18" t="n"/>
      <c r="H429" s="18" t="n"/>
      <c r="I429" s="18" t="n"/>
      <c r="J429" s="18" t="n"/>
      <c r="K429" s="18" t="n"/>
      <c r="L429" s="18" t="n"/>
      <c r="M429" s="18" t="n"/>
      <c r="N429" s="18" t="n"/>
      <c r="O429" s="18" t="n">
        <v>0</v>
      </c>
      <c r="P429" s="18" t="n"/>
      <c r="Q429" s="18" t="n">
        <v>8872451.2</v>
      </c>
      <c r="R429" s="18" t="n">
        <v>459249.81</v>
      </c>
      <c r="S429" s="18" t="n">
        <v>16000</v>
      </c>
      <c r="T429" s="191" t="n"/>
      <c r="U429" s="0" t="n"/>
      <c r="V429" s="333" t="n"/>
      <c r="W429" s="0" t="n"/>
      <c r="X429" s="0" t="n"/>
      <c r="Y429" s="0" t="n"/>
      <c r="Z429" s="0" t="n"/>
      <c r="AA429" s="0" t="n"/>
      <c r="AB429" s="0" t="n"/>
      <c r="AC429" s="0" t="n"/>
      <c r="AD429" s="0" t="n"/>
      <c r="AE429" s="0" t="n"/>
      <c r="AF429" s="0" t="n"/>
      <c r="AG429" s="0" t="n"/>
      <c r="AH429" s="0" t="n"/>
      <c r="AI429" s="0" t="n"/>
      <c r="AJ429" s="0" t="n"/>
      <c r="AK429" s="0" t="n"/>
      <c r="AL429" s="0" t="n"/>
      <c r="AM429" s="0" t="n"/>
      <c r="AN429" s="0" t="n"/>
      <c r="AO429" s="0" t="n"/>
      <c r="AP429" s="0" t="n"/>
      <c r="AQ429" s="0" t="n"/>
      <c r="AR429" s="0" t="n"/>
      <c r="AS429" s="0" t="n"/>
      <c r="AT429" s="0" t="n"/>
      <c r="AU429" s="0" t="n"/>
      <c r="AV429" s="0" t="n"/>
      <c r="AW429" s="0" t="n"/>
      <c r="AX429" s="0" t="n"/>
      <c r="AY429" s="0" t="n"/>
      <c r="AZ429" s="0" t="n"/>
      <c r="BA429" s="0" t="n"/>
      <c r="BB429" s="0" t="n"/>
      <c r="BC429" s="0" t="n"/>
      <c r="BD429" s="0" t="n"/>
      <c r="BE429" s="0" t="n"/>
      <c r="BF429" s="0" t="n"/>
      <c r="BG429" s="0" t="n"/>
      <c r="BH429" s="0" t="n"/>
      <c r="BI429" s="0" t="n"/>
      <c r="BJ429" s="0" t="n"/>
      <c r="BK429" s="0" t="n"/>
      <c r="BL429" s="0" t="n"/>
      <c r="BM429" s="0" t="n"/>
      <c r="BN429" s="0" t="n"/>
      <c r="BO429" s="0" t="n"/>
      <c r="BP429" s="0" t="n"/>
    </row>
    <row outlineLevel="0" r="430">
      <c r="A430" s="331" t="n">
        <f aca="false" ca="false" dt2D="false" dtr="false" t="normal">+A428+1</f>
        <v>413</v>
      </c>
      <c r="B430" s="6" t="s">
        <v>76</v>
      </c>
      <c r="C430" s="138" t="s">
        <v>177</v>
      </c>
      <c r="D430" s="6" t="s">
        <v>436</v>
      </c>
      <c r="E430" s="203" t="n">
        <f aca="false" ca="true" dt2D="false" dtr="false" t="normal">SUBTOTAL(9, F430:T430)</f>
        <v>11509868.83</v>
      </c>
      <c r="F430" s="18" t="n">
        <v>8087620.75</v>
      </c>
      <c r="G430" s="18" t="n">
        <v>3000884.73</v>
      </c>
      <c r="H430" s="18" t="n">
        <v>0</v>
      </c>
      <c r="I430" s="18" t="n">
        <v>0</v>
      </c>
      <c r="J430" s="18" t="n"/>
      <c r="K430" s="18" t="n"/>
      <c r="L430" s="18" t="n"/>
      <c r="M430" s="18" t="n">
        <v>0</v>
      </c>
      <c r="N430" s="18" t="n"/>
      <c r="O430" s="18" t="n">
        <v>0</v>
      </c>
      <c r="P430" s="18" t="n"/>
      <c r="Q430" s="18" t="n"/>
      <c r="R430" s="18" t="n">
        <v>411763.35</v>
      </c>
      <c r="S430" s="18" t="n">
        <v>9600</v>
      </c>
      <c r="T430" s="191" t="n"/>
      <c r="U430" s="0" t="n"/>
      <c r="V430" s="333" t="n"/>
      <c r="W430" s="0" t="n"/>
      <c r="X430" s="0" t="n"/>
      <c r="Y430" s="0" t="n"/>
      <c r="Z430" s="0" t="n"/>
      <c r="AA430" s="0" t="n"/>
      <c r="AB430" s="0" t="n"/>
      <c r="AC430" s="0" t="n"/>
      <c r="AD430" s="0" t="n"/>
      <c r="AE430" s="0" t="n"/>
      <c r="AF430" s="0" t="n"/>
      <c r="AG430" s="0" t="n"/>
      <c r="AH430" s="0" t="n"/>
      <c r="AI430" s="0" t="n"/>
      <c r="AJ430" s="0" t="n"/>
      <c r="AK430" s="0" t="n"/>
      <c r="AL430" s="0" t="n"/>
      <c r="AM430" s="0" t="n"/>
      <c r="AN430" s="0" t="n"/>
      <c r="AO430" s="0" t="n"/>
      <c r="AP430" s="0" t="n"/>
      <c r="AQ430" s="0" t="n"/>
      <c r="AR430" s="0" t="n"/>
      <c r="AS430" s="0" t="n"/>
      <c r="AT430" s="0" t="n"/>
      <c r="AU430" s="0" t="n"/>
      <c r="AV430" s="0" t="n"/>
      <c r="AW430" s="0" t="n"/>
      <c r="AX430" s="0" t="n"/>
      <c r="AY430" s="0" t="n"/>
      <c r="AZ430" s="0" t="n"/>
      <c r="BA430" s="0" t="n"/>
      <c r="BB430" s="0" t="n"/>
      <c r="BC430" s="0" t="n"/>
      <c r="BD430" s="0" t="n"/>
      <c r="BE430" s="0" t="n"/>
      <c r="BF430" s="0" t="n"/>
      <c r="BG430" s="0" t="n"/>
      <c r="BH430" s="0" t="n"/>
      <c r="BI430" s="0" t="n"/>
      <c r="BJ430" s="0" t="n"/>
      <c r="BK430" s="0" t="n"/>
      <c r="BL430" s="0" t="n"/>
      <c r="BM430" s="0" t="n"/>
      <c r="BN430" s="0" t="n"/>
      <c r="BO430" s="0" t="n"/>
      <c r="BP430" s="0" t="n"/>
    </row>
    <row customFormat="true" ht="15.75" outlineLevel="0" r="431" s="351">
      <c r="A431" s="331" t="n">
        <f aca="false" ca="false" dt2D="false" dtr="false" t="normal">+A430+1</f>
        <v>414</v>
      </c>
      <c r="B431" s="6" t="s">
        <v>76</v>
      </c>
      <c r="C431" s="138" t="s">
        <v>177</v>
      </c>
      <c r="D431" s="6" t="s">
        <v>444</v>
      </c>
      <c r="E431" s="27" t="n">
        <f aca="false" ca="true" dt2D="false" dtr="false" t="normal">SUBTOTAL(9, F431:T431)</f>
        <v>3403308.6</v>
      </c>
      <c r="F431" s="18" t="n"/>
      <c r="G431" s="18" t="n"/>
      <c r="H431" s="18" t="n"/>
      <c r="I431" s="18" t="n">
        <v>2042385.11</v>
      </c>
      <c r="J431" s="18" t="n">
        <v>1046167.7</v>
      </c>
      <c r="K431" s="18" t="n"/>
      <c r="L431" s="18" t="n"/>
      <c r="M431" s="18" t="n"/>
      <c r="N431" s="18" t="n"/>
      <c r="O431" s="18" t="n"/>
      <c r="P431" s="18" t="n"/>
      <c r="Q431" s="18" t="n"/>
      <c r="R431" s="18" t="n">
        <v>302755.79</v>
      </c>
      <c r="S431" s="18" t="n">
        <v>12000</v>
      </c>
      <c r="T431" s="191" t="n"/>
      <c r="U431" s="0" t="n"/>
      <c r="V431" s="333" t="n"/>
      <c r="W431" s="0" t="n"/>
      <c r="X431" s="0" t="n"/>
      <c r="Y431" s="0" t="n"/>
      <c r="Z431" s="0" t="n"/>
      <c r="AA431" s="0" t="n"/>
      <c r="AB431" s="0" t="n"/>
      <c r="AC431" s="0" t="n"/>
      <c r="AD431" s="0" t="n"/>
      <c r="AE431" s="0" t="n"/>
      <c r="AF431" s="0" t="n"/>
      <c r="AG431" s="0" t="n"/>
      <c r="AH431" s="0" t="n"/>
      <c r="AI431" s="0" t="n"/>
      <c r="AJ431" s="0" t="n"/>
      <c r="AK431" s="0" t="n"/>
      <c r="AL431" s="0" t="n"/>
      <c r="AM431" s="0" t="n"/>
      <c r="AN431" s="0" t="n"/>
      <c r="AO431" s="0" t="n"/>
      <c r="AP431" s="0" t="n"/>
      <c r="AQ431" s="0" t="n"/>
      <c r="AR431" s="0" t="n"/>
      <c r="AS431" s="0" t="n"/>
      <c r="AT431" s="0" t="n"/>
      <c r="AU431" s="0" t="n"/>
      <c r="AV431" s="0" t="n"/>
      <c r="AW431" s="0" t="n"/>
      <c r="AX431" s="0" t="n"/>
      <c r="AY431" s="0" t="n"/>
      <c r="AZ431" s="0" t="n"/>
      <c r="BA431" s="0" t="n"/>
      <c r="BB431" s="0" t="n"/>
      <c r="BC431" s="0" t="n"/>
      <c r="BD431" s="0" t="n"/>
      <c r="BE431" s="0" t="n"/>
      <c r="BF431" s="0" t="n"/>
      <c r="BG431" s="0" t="n"/>
      <c r="BH431" s="0" t="n"/>
      <c r="BI431" s="0" t="n"/>
      <c r="BJ431" s="0" t="n"/>
      <c r="BK431" s="0" t="n"/>
      <c r="BL431" s="0" t="n"/>
      <c r="BM431" s="0" t="n"/>
      <c r="BN431" s="0" t="n"/>
      <c r="BO431" s="0" t="n"/>
      <c r="BP431" s="0" t="n"/>
    </row>
    <row outlineLevel="0" r="432">
      <c r="A432" s="331" t="n">
        <f aca="false" ca="false" dt2D="false" dtr="false" t="normal">+A431+1</f>
        <v>415</v>
      </c>
      <c r="B432" s="6" t="n">
        <v>205</v>
      </c>
      <c r="C432" s="138" t="s">
        <v>177</v>
      </c>
      <c r="D432" s="6" t="s">
        <v>329</v>
      </c>
      <c r="E432" s="27" t="n">
        <f aca="false" ca="true" dt2D="false" dtr="false" t="normal">SUBTOTAL(9, F432:T432)</f>
        <v>790873.3</v>
      </c>
      <c r="F432" s="18" t="n"/>
      <c r="G432" s="18" t="n"/>
      <c r="H432" s="18" t="n"/>
      <c r="I432" s="18" t="n">
        <v>790873.3</v>
      </c>
      <c r="J432" s="18" t="n"/>
      <c r="K432" s="18" t="n"/>
      <c r="L432" s="18" t="n"/>
      <c r="M432" s="18" t="n"/>
      <c r="N432" s="18" t="n"/>
      <c r="O432" s="18" t="n"/>
      <c r="P432" s="18" t="n"/>
      <c r="Q432" s="18" t="n"/>
      <c r="R432" s="18" t="n"/>
      <c r="S432" s="18" t="n"/>
      <c r="T432" s="191" t="n"/>
      <c r="U432" s="0" t="n"/>
      <c r="V432" s="333" t="n"/>
      <c r="W432" s="0" t="n"/>
      <c r="X432" s="0" t="n"/>
      <c r="Y432" s="0" t="n"/>
      <c r="Z432" s="0" t="n"/>
      <c r="AA432" s="0" t="n"/>
      <c r="AB432" s="0" t="n"/>
      <c r="AC432" s="0" t="n"/>
      <c r="AD432" s="0" t="n"/>
      <c r="AE432" s="0" t="n"/>
      <c r="AF432" s="0" t="n"/>
      <c r="AG432" s="0" t="n"/>
      <c r="AH432" s="0" t="n"/>
      <c r="AI432" s="0" t="n"/>
      <c r="AJ432" s="0" t="n"/>
      <c r="AK432" s="0" t="n"/>
      <c r="AL432" s="0" t="n"/>
      <c r="AM432" s="0" t="n"/>
      <c r="AN432" s="0" t="n"/>
      <c r="AO432" s="0" t="n"/>
      <c r="AP432" s="0" t="n"/>
      <c r="AQ432" s="0" t="n"/>
      <c r="AR432" s="0" t="n"/>
      <c r="AS432" s="0" t="n"/>
      <c r="AT432" s="0" t="n"/>
      <c r="AU432" s="0" t="n"/>
      <c r="AV432" s="0" t="n"/>
      <c r="AW432" s="0" t="n"/>
      <c r="AX432" s="0" t="n"/>
      <c r="AY432" s="0" t="n"/>
      <c r="AZ432" s="0" t="n"/>
      <c r="BA432" s="0" t="n"/>
      <c r="BB432" s="0" t="n"/>
      <c r="BC432" s="0" t="n"/>
      <c r="BD432" s="0" t="n"/>
      <c r="BE432" s="0" t="n"/>
      <c r="BF432" s="0" t="n"/>
      <c r="BG432" s="0" t="n"/>
      <c r="BH432" s="0" t="n"/>
      <c r="BI432" s="0" t="n"/>
      <c r="BJ432" s="0" t="n"/>
      <c r="BK432" s="0" t="n"/>
      <c r="BL432" s="0" t="n"/>
      <c r="BM432" s="0" t="n"/>
      <c r="BN432" s="0" t="n"/>
      <c r="BO432" s="0" t="n"/>
      <c r="BP432" s="0" t="n"/>
    </row>
    <row outlineLevel="0" r="433">
      <c r="A433" s="331" t="n">
        <f aca="false" ca="false" dt2D="false" dtr="false" t="normal">+A432+1</f>
        <v>416</v>
      </c>
      <c r="B433" s="6" t="s">
        <v>76</v>
      </c>
      <c r="C433" s="138" t="s">
        <v>177</v>
      </c>
      <c r="D433" s="6" t="s">
        <v>595</v>
      </c>
      <c r="E433" s="203" t="n">
        <f aca="false" ca="true" dt2D="false" dtr="false" t="normal">SUBTOTAL(9, F433:T433)</f>
        <v>7589452.780000001</v>
      </c>
      <c r="F433" s="18" t="n">
        <v>3126691.49</v>
      </c>
      <c r="G433" s="18" t="n">
        <v>1010526.62</v>
      </c>
      <c r="H433" s="18" t="n"/>
      <c r="I433" s="18" t="n">
        <v>965070.61</v>
      </c>
      <c r="J433" s="18" t="n"/>
      <c r="K433" s="18" t="n"/>
      <c r="L433" s="18" t="n"/>
      <c r="M433" s="18" t="n">
        <v>0</v>
      </c>
      <c r="N433" s="18" t="n"/>
      <c r="O433" s="18" t="n">
        <v>0</v>
      </c>
      <c r="P433" s="18" t="n"/>
      <c r="Q433" s="18" t="n">
        <v>2487164.06</v>
      </c>
      <c r="R433" s="18" t="n"/>
      <c r="S433" s="18" t="n"/>
      <c r="T433" s="191" t="n"/>
      <c r="U433" s="0" t="n"/>
      <c r="V433" s="333" t="n"/>
      <c r="W433" s="0" t="n"/>
      <c r="X433" s="0" t="n"/>
      <c r="Y433" s="0" t="n"/>
      <c r="Z433" s="0" t="n"/>
      <c r="AA433" s="0" t="n"/>
      <c r="AB433" s="0" t="n"/>
      <c r="AC433" s="0" t="n"/>
      <c r="AD433" s="0" t="n"/>
      <c r="AE433" s="0" t="n"/>
      <c r="AF433" s="0" t="n"/>
      <c r="AG433" s="0" t="n"/>
      <c r="AH433" s="0" t="n"/>
      <c r="AI433" s="0" t="n"/>
      <c r="AJ433" s="0" t="n"/>
      <c r="AK433" s="0" t="n"/>
      <c r="AL433" s="0" t="n"/>
      <c r="AM433" s="0" t="n"/>
      <c r="AN433" s="0" t="n"/>
      <c r="AO433" s="0" t="n"/>
      <c r="AP433" s="0" t="n"/>
      <c r="AQ433" s="0" t="n"/>
      <c r="AR433" s="0" t="n"/>
      <c r="AS433" s="0" t="n"/>
      <c r="AT433" s="0" t="n"/>
      <c r="AU433" s="0" t="n"/>
      <c r="AV433" s="0" t="n"/>
      <c r="AW433" s="0" t="n"/>
      <c r="AX433" s="0" t="n"/>
      <c r="AY433" s="0" t="n"/>
      <c r="AZ433" s="0" t="n"/>
      <c r="BA433" s="0" t="n"/>
      <c r="BB433" s="0" t="n"/>
      <c r="BC433" s="0" t="n"/>
      <c r="BD433" s="0" t="n"/>
      <c r="BE433" s="0" t="n"/>
      <c r="BF433" s="0" t="n"/>
      <c r="BG433" s="0" t="n"/>
      <c r="BH433" s="0" t="n"/>
      <c r="BI433" s="0" t="n"/>
      <c r="BJ433" s="0" t="n"/>
      <c r="BK433" s="0" t="n"/>
      <c r="BL433" s="0" t="n"/>
      <c r="BM433" s="0" t="n"/>
      <c r="BN433" s="0" t="n"/>
      <c r="BO433" s="0" t="n"/>
      <c r="BP433" s="0" t="n"/>
    </row>
    <row outlineLevel="0" r="434">
      <c r="A434" s="331" t="n">
        <f aca="false" ca="false" dt2D="false" dtr="false" t="normal">+A433+1</f>
        <v>417</v>
      </c>
      <c r="B434" s="6" t="n">
        <v>206</v>
      </c>
      <c r="C434" s="138" t="s">
        <v>331</v>
      </c>
      <c r="D434" s="6" t="s">
        <v>335</v>
      </c>
      <c r="E434" s="27" t="n">
        <f aca="false" ca="true" dt2D="false" dtr="false" t="normal">SUBTOTAL(9, F434:T434)</f>
        <v>1451159.65</v>
      </c>
      <c r="F434" s="18" t="n"/>
      <c r="G434" s="18" t="n"/>
      <c r="H434" s="18" t="n">
        <v>1451159.65</v>
      </c>
      <c r="I434" s="18" t="n">
        <v>0</v>
      </c>
      <c r="J434" s="18" t="n"/>
      <c r="K434" s="18" t="n"/>
      <c r="L434" s="18" t="n"/>
      <c r="M434" s="18" t="n"/>
      <c r="N434" s="18" t="n"/>
      <c r="O434" s="18" t="n"/>
      <c r="P434" s="18" t="n"/>
      <c r="Q434" s="18" t="n"/>
      <c r="R434" s="18" t="n"/>
      <c r="S434" s="18" t="n"/>
      <c r="T434" s="191" t="n"/>
      <c r="U434" s="0" t="n"/>
      <c r="V434" s="333" t="n"/>
      <c r="W434" s="0" t="n"/>
      <c r="X434" s="0" t="n"/>
      <c r="Y434" s="0" t="n"/>
      <c r="Z434" s="0" t="n"/>
      <c r="AA434" s="0" t="n"/>
      <c r="AB434" s="0" t="n"/>
      <c r="AC434" s="0" t="n"/>
      <c r="AD434" s="0" t="n"/>
      <c r="AE434" s="0" t="n"/>
      <c r="AF434" s="0" t="n"/>
      <c r="AG434" s="0" t="n"/>
      <c r="AH434" s="0" t="n"/>
      <c r="AI434" s="0" t="n"/>
      <c r="AJ434" s="0" t="n"/>
      <c r="AK434" s="0" t="n"/>
      <c r="AL434" s="0" t="n"/>
      <c r="AM434" s="0" t="n"/>
      <c r="AN434" s="0" t="n"/>
      <c r="AO434" s="0" t="n"/>
      <c r="AP434" s="0" t="n"/>
      <c r="AQ434" s="0" t="n"/>
      <c r="AR434" s="0" t="n"/>
      <c r="AS434" s="0" t="n"/>
      <c r="AT434" s="0" t="n"/>
      <c r="AU434" s="0" t="n"/>
      <c r="AV434" s="0" t="n"/>
      <c r="AW434" s="0" t="n"/>
      <c r="AX434" s="0" t="n"/>
      <c r="AY434" s="0" t="n"/>
      <c r="AZ434" s="0" t="n"/>
      <c r="BA434" s="0" t="n"/>
      <c r="BB434" s="0" t="n"/>
      <c r="BC434" s="0" t="n"/>
      <c r="BD434" s="0" t="n"/>
      <c r="BE434" s="0" t="n"/>
      <c r="BF434" s="0" t="n"/>
      <c r="BG434" s="0" t="n"/>
      <c r="BH434" s="0" t="n"/>
      <c r="BI434" s="0" t="n"/>
      <c r="BJ434" s="0" t="n"/>
      <c r="BK434" s="0" t="n"/>
      <c r="BL434" s="0" t="n"/>
      <c r="BM434" s="0" t="n"/>
      <c r="BN434" s="0" t="n"/>
      <c r="BO434" s="0" t="n"/>
      <c r="BP434" s="0" t="n"/>
    </row>
    <row outlineLevel="0" r="435">
      <c r="A435" s="331" t="n">
        <f aca="false" ca="false" dt2D="false" dtr="false" t="normal">+A434+1</f>
        <v>418</v>
      </c>
      <c r="B435" s="6" t="n">
        <f aca="false" ca="false" dt2D="false" dtr="false" t="normal">+B434+1</f>
        <v>207</v>
      </c>
      <c r="C435" s="138" t="s">
        <v>331</v>
      </c>
      <c r="D435" s="6" t="s">
        <v>338</v>
      </c>
      <c r="E435" s="27" t="n">
        <f aca="false" ca="true" dt2D="false" dtr="false" t="normal">SUBTOTAL(9, F435:T435)</f>
        <v>536702.36</v>
      </c>
      <c r="F435" s="18" t="n">
        <v>0</v>
      </c>
      <c r="G435" s="18" t="n"/>
      <c r="H435" s="18" t="n">
        <v>536702.36</v>
      </c>
      <c r="I435" s="18" t="n"/>
      <c r="J435" s="18" t="n">
        <v>0</v>
      </c>
      <c r="K435" s="18" t="n"/>
      <c r="L435" s="18" t="n"/>
      <c r="M435" s="18" t="n">
        <v>0</v>
      </c>
      <c r="N435" s="18" t="n"/>
      <c r="O435" s="18" t="n">
        <v>0</v>
      </c>
      <c r="P435" s="18" t="n">
        <v>0</v>
      </c>
      <c r="Q435" s="18" t="n">
        <v>0</v>
      </c>
      <c r="R435" s="18" t="n"/>
      <c r="S435" s="18" t="n"/>
      <c r="T435" s="191" t="n"/>
      <c r="U435" s="0" t="n"/>
      <c r="V435" s="333" t="n"/>
      <c r="W435" s="0" t="n"/>
      <c r="X435" s="0" t="n"/>
      <c r="Y435" s="0" t="n"/>
      <c r="Z435" s="0" t="n"/>
      <c r="AA435" s="0" t="n"/>
      <c r="AB435" s="0" t="n"/>
      <c r="AC435" s="0" t="n"/>
      <c r="AD435" s="0" t="n"/>
      <c r="AE435" s="0" t="n"/>
      <c r="AF435" s="0" t="n"/>
      <c r="AG435" s="0" t="n"/>
      <c r="AH435" s="0" t="n"/>
      <c r="AI435" s="0" t="n"/>
      <c r="AJ435" s="0" t="n"/>
      <c r="AK435" s="0" t="n"/>
      <c r="AL435" s="0" t="n"/>
      <c r="AM435" s="0" t="n"/>
      <c r="AN435" s="0" t="n"/>
      <c r="AO435" s="0" t="n"/>
      <c r="AP435" s="0" t="n"/>
      <c r="AQ435" s="0" t="n"/>
      <c r="AR435" s="0" t="n"/>
      <c r="AS435" s="0" t="n"/>
      <c r="AT435" s="0" t="n"/>
      <c r="AU435" s="0" t="n"/>
      <c r="AV435" s="0" t="n"/>
      <c r="AW435" s="0" t="n"/>
      <c r="AX435" s="0" t="n"/>
      <c r="AY435" s="0" t="n"/>
      <c r="AZ435" s="0" t="n"/>
      <c r="BA435" s="0" t="n"/>
      <c r="BB435" s="0" t="n"/>
      <c r="BC435" s="0" t="n"/>
      <c r="BD435" s="0" t="n"/>
      <c r="BE435" s="0" t="n"/>
      <c r="BF435" s="0" t="n"/>
      <c r="BG435" s="0" t="n"/>
      <c r="BH435" s="0" t="n"/>
      <c r="BI435" s="0" t="n"/>
      <c r="BJ435" s="0" t="n"/>
      <c r="BK435" s="0" t="n"/>
      <c r="BL435" s="0" t="n"/>
      <c r="BM435" s="0" t="n"/>
      <c r="BN435" s="0" t="n"/>
      <c r="BO435" s="0" t="n"/>
      <c r="BP435" s="0" t="n"/>
    </row>
    <row outlineLevel="0" r="436">
      <c r="A436" s="331" t="n">
        <f aca="false" ca="false" dt2D="false" dtr="false" t="normal">+A435+1</f>
        <v>419</v>
      </c>
      <c r="B436" s="6" t="n">
        <v>208</v>
      </c>
      <c r="C436" s="138" t="s">
        <v>0</v>
      </c>
      <c r="D436" s="6" t="s">
        <v>731</v>
      </c>
      <c r="E436" s="27" t="n">
        <f aca="false" ca="false" dt2D="false" dtr="false" t="normal">SUM(F436:T436)</f>
        <v>5183657.06</v>
      </c>
      <c r="F436" s="6" t="n"/>
      <c r="G436" s="18" t="n"/>
      <c r="H436" s="18" t="n"/>
      <c r="I436" s="18" t="n"/>
      <c r="J436" s="18" t="n"/>
      <c r="K436" s="18" t="n"/>
      <c r="L436" s="18" t="n"/>
      <c r="M436" s="18" t="n"/>
      <c r="N436" s="18" t="n"/>
      <c r="O436" s="18" t="n"/>
      <c r="P436" s="18" t="n">
        <v>5178857.06</v>
      </c>
      <c r="Q436" s="18" t="n"/>
      <c r="R436" s="18" t="n"/>
      <c r="S436" s="18" t="n">
        <v>4800</v>
      </c>
      <c r="T436" s="191" t="n"/>
      <c r="U436" s="0" t="n"/>
      <c r="V436" s="333" t="n"/>
      <c r="W436" s="0" t="n"/>
      <c r="X436" s="0" t="n"/>
      <c r="Y436" s="0" t="n"/>
      <c r="Z436" s="0" t="n"/>
      <c r="AA436" s="0" t="n"/>
      <c r="AB436" s="0" t="n"/>
      <c r="AC436" s="0" t="n"/>
      <c r="AD436" s="0" t="n"/>
      <c r="AE436" s="0" t="n"/>
      <c r="AF436" s="0" t="n"/>
      <c r="AG436" s="0" t="n"/>
      <c r="AH436" s="0" t="n"/>
      <c r="AI436" s="0" t="n"/>
      <c r="AJ436" s="0" t="n"/>
      <c r="AK436" s="0" t="n"/>
      <c r="AL436" s="0" t="n"/>
      <c r="AM436" s="0" t="n"/>
      <c r="AN436" s="0" t="n"/>
      <c r="AO436" s="0" t="n"/>
      <c r="AP436" s="0" t="n"/>
      <c r="AQ436" s="0" t="n"/>
      <c r="AR436" s="0" t="n"/>
      <c r="AS436" s="0" t="n"/>
      <c r="AT436" s="0" t="n"/>
      <c r="AU436" s="0" t="n"/>
      <c r="AV436" s="0" t="n"/>
      <c r="AW436" s="0" t="n"/>
      <c r="AX436" s="0" t="n"/>
      <c r="AY436" s="0" t="n"/>
      <c r="AZ436" s="0" t="n"/>
      <c r="BA436" s="0" t="n"/>
      <c r="BB436" s="0" t="n"/>
      <c r="BC436" s="0" t="n"/>
      <c r="BD436" s="0" t="n"/>
      <c r="BE436" s="0" t="n"/>
      <c r="BF436" s="0" t="n"/>
      <c r="BG436" s="0" t="n"/>
      <c r="BH436" s="0" t="n"/>
      <c r="BI436" s="0" t="n"/>
      <c r="BJ436" s="0" t="n"/>
      <c r="BK436" s="0" t="n"/>
      <c r="BL436" s="0" t="n"/>
      <c r="BM436" s="0" t="n"/>
      <c r="BN436" s="0" t="n"/>
      <c r="BO436" s="0" t="n"/>
      <c r="BP436" s="0" t="n"/>
    </row>
    <row outlineLevel="0" r="437">
      <c r="A437" s="331" t="n">
        <f aca="false" ca="false" dt2D="false" dtr="false" t="normal">+A436+1</f>
        <v>420</v>
      </c>
      <c r="B437" s="6" t="n">
        <f aca="false" ca="false" dt2D="false" dtr="false" t="normal">+B436+1</f>
        <v>209</v>
      </c>
      <c r="C437" s="138" t="s">
        <v>0</v>
      </c>
      <c r="D437" s="6" t="s">
        <v>734</v>
      </c>
      <c r="E437" s="27" t="n">
        <f aca="false" ca="false" dt2D="false" dtr="false" t="normal">SUM(F437:T437)</f>
        <v>4752736.23</v>
      </c>
      <c r="F437" s="6" t="n"/>
      <c r="G437" s="18" t="n"/>
      <c r="H437" s="18" t="n"/>
      <c r="I437" s="18" t="n"/>
      <c r="J437" s="18" t="n"/>
      <c r="K437" s="18" t="n"/>
      <c r="L437" s="18" t="n"/>
      <c r="M437" s="18" t="n"/>
      <c r="N437" s="18" t="n"/>
      <c r="O437" s="18" t="n"/>
      <c r="P437" s="18" t="n">
        <v>4728736.23</v>
      </c>
      <c r="Q437" s="18" t="n"/>
      <c r="R437" s="18" t="n"/>
      <c r="S437" s="18" t="n">
        <v>24000</v>
      </c>
      <c r="T437" s="191" t="n"/>
      <c r="U437" s="0" t="n"/>
      <c r="V437" s="333" t="n"/>
      <c r="W437" s="0" t="n"/>
      <c r="X437" s="0" t="n"/>
      <c r="Y437" s="0" t="n"/>
      <c r="Z437" s="0" t="n"/>
      <c r="AA437" s="0" t="n"/>
      <c r="AB437" s="0" t="n"/>
      <c r="AC437" s="0" t="n"/>
      <c r="AD437" s="0" t="n"/>
      <c r="AE437" s="0" t="n"/>
      <c r="AF437" s="0" t="n"/>
      <c r="AG437" s="0" t="n"/>
      <c r="AH437" s="0" t="n"/>
      <c r="AI437" s="0" t="n"/>
      <c r="AJ437" s="0" t="n"/>
      <c r="AK437" s="0" t="n"/>
      <c r="AL437" s="0" t="n"/>
      <c r="AM437" s="0" t="n"/>
      <c r="AN437" s="0" t="n"/>
      <c r="AO437" s="0" t="n"/>
      <c r="AP437" s="0" t="n"/>
      <c r="AQ437" s="0" t="n"/>
      <c r="AR437" s="0" t="n"/>
      <c r="AS437" s="0" t="n"/>
      <c r="AT437" s="0" t="n"/>
      <c r="AU437" s="0" t="n"/>
      <c r="AV437" s="0" t="n"/>
      <c r="AW437" s="0" t="n"/>
      <c r="AX437" s="0" t="n"/>
      <c r="AY437" s="0" t="n"/>
      <c r="AZ437" s="0" t="n"/>
      <c r="BA437" s="0" t="n"/>
      <c r="BB437" s="0" t="n"/>
      <c r="BC437" s="0" t="n"/>
      <c r="BD437" s="0" t="n"/>
      <c r="BE437" s="0" t="n"/>
      <c r="BF437" s="0" t="n"/>
      <c r="BG437" s="0" t="n"/>
      <c r="BH437" s="0" t="n"/>
      <c r="BI437" s="0" t="n"/>
      <c r="BJ437" s="0" t="n"/>
      <c r="BK437" s="0" t="n"/>
      <c r="BL437" s="0" t="n"/>
      <c r="BM437" s="0" t="n"/>
      <c r="BN437" s="0" t="n"/>
      <c r="BO437" s="0" t="n"/>
      <c r="BP437" s="0" t="n"/>
    </row>
    <row outlineLevel="0" r="438">
      <c r="A438" s="331" t="n">
        <f aca="false" ca="false" dt2D="false" dtr="false" t="normal">+A437+1</f>
        <v>421</v>
      </c>
      <c r="B438" s="6" t="n">
        <f aca="false" ca="false" dt2D="false" dtr="false" t="normal">+B437+1</f>
        <v>210</v>
      </c>
      <c r="C438" s="138" t="s">
        <v>0</v>
      </c>
      <c r="D438" s="6" t="s">
        <v>736</v>
      </c>
      <c r="E438" s="27" t="n">
        <f aca="false" ca="false" dt2D="false" dtr="false" t="normal">SUM(F438:T438)</f>
        <v>4847207.98</v>
      </c>
      <c r="F438" s="6" t="n"/>
      <c r="G438" s="18" t="n"/>
      <c r="H438" s="18" t="n"/>
      <c r="I438" s="18" t="n"/>
      <c r="J438" s="18" t="n"/>
      <c r="K438" s="18" t="n"/>
      <c r="L438" s="18" t="n"/>
      <c r="M438" s="18" t="n"/>
      <c r="N438" s="18" t="n"/>
      <c r="O438" s="18" t="n"/>
      <c r="P438" s="18" t="n">
        <v>4842407.98</v>
      </c>
      <c r="Q438" s="18" t="n"/>
      <c r="R438" s="18" t="n"/>
      <c r="S438" s="18" t="n">
        <v>4800</v>
      </c>
      <c r="T438" s="191" t="n"/>
      <c r="U438" s="0" t="n"/>
      <c r="V438" s="333" t="n"/>
      <c r="W438" s="0" t="n"/>
      <c r="X438" s="0" t="n"/>
      <c r="Y438" s="0" t="n"/>
      <c r="Z438" s="0" t="n"/>
      <c r="AA438" s="0" t="n"/>
      <c r="AB438" s="0" t="n"/>
      <c r="AC438" s="0" t="n"/>
      <c r="AD438" s="0" t="n"/>
      <c r="AE438" s="0" t="n"/>
      <c r="AF438" s="0" t="n"/>
      <c r="AG438" s="0" t="n"/>
      <c r="AH438" s="0" t="n"/>
      <c r="AI438" s="0" t="n"/>
      <c r="AJ438" s="0" t="n"/>
      <c r="AK438" s="0" t="n"/>
      <c r="AL438" s="0" t="n"/>
      <c r="AM438" s="0" t="n"/>
      <c r="AN438" s="0" t="n"/>
      <c r="AO438" s="0" t="n"/>
      <c r="AP438" s="0" t="n"/>
      <c r="AQ438" s="0" t="n"/>
      <c r="AR438" s="0" t="n"/>
      <c r="AS438" s="0" t="n"/>
      <c r="AT438" s="0" t="n"/>
      <c r="AU438" s="0" t="n"/>
      <c r="AV438" s="0" t="n"/>
      <c r="AW438" s="0" t="n"/>
      <c r="AX438" s="0" t="n"/>
      <c r="AY438" s="0" t="n"/>
      <c r="AZ438" s="0" t="n"/>
      <c r="BA438" s="0" t="n"/>
      <c r="BB438" s="0" t="n"/>
      <c r="BC438" s="0" t="n"/>
      <c r="BD438" s="0" t="n"/>
      <c r="BE438" s="0" t="n"/>
      <c r="BF438" s="0" t="n"/>
      <c r="BG438" s="0" t="n"/>
      <c r="BH438" s="0" t="n"/>
      <c r="BI438" s="0" t="n"/>
      <c r="BJ438" s="0" t="n"/>
      <c r="BK438" s="0" t="n"/>
      <c r="BL438" s="0" t="n"/>
      <c r="BM438" s="0" t="n"/>
      <c r="BN438" s="0" t="n"/>
      <c r="BO438" s="0" t="n"/>
      <c r="BP438" s="0" t="n"/>
    </row>
    <row outlineLevel="0" r="439">
      <c r="A439" s="331" t="n">
        <f aca="false" ca="false" dt2D="false" dtr="false" t="normal">+A438+1</f>
        <v>422</v>
      </c>
      <c r="B439" s="6" t="n">
        <f aca="false" ca="false" dt2D="false" dtr="false" t="normal">+B438+1</f>
        <v>211</v>
      </c>
      <c r="C439" s="138" t="s">
        <v>0</v>
      </c>
      <c r="D439" s="6" t="s">
        <v>2</v>
      </c>
      <c r="E439" s="27" t="n">
        <f aca="false" ca="false" dt2D="false" dtr="false" t="normal">SUM(F439:T439)</f>
        <v>4753460.04</v>
      </c>
      <c r="F439" s="6" t="n"/>
      <c r="G439" s="18" t="n"/>
      <c r="H439" s="18" t="n"/>
      <c r="I439" s="18" t="n"/>
      <c r="J439" s="18" t="n"/>
      <c r="K439" s="18" t="n"/>
      <c r="L439" s="18" t="n"/>
      <c r="M439" s="18" t="n"/>
      <c r="N439" s="18" t="n"/>
      <c r="O439" s="18" t="n"/>
      <c r="P439" s="18" t="n">
        <v>4747460.04</v>
      </c>
      <c r="Q439" s="18" t="n"/>
      <c r="R439" s="18" t="n"/>
      <c r="S439" s="18" t="n">
        <v>6000</v>
      </c>
      <c r="T439" s="191" t="n"/>
      <c r="U439" s="0" t="n"/>
      <c r="V439" s="333" t="n"/>
      <c r="W439" s="0" t="n"/>
      <c r="X439" s="0" t="n"/>
      <c r="Y439" s="0" t="n"/>
      <c r="Z439" s="0" t="n"/>
      <c r="AA439" s="0" t="n"/>
      <c r="AB439" s="0" t="n"/>
      <c r="AC439" s="0" t="n"/>
      <c r="AD439" s="0" t="n"/>
      <c r="AE439" s="0" t="n"/>
      <c r="AF439" s="0" t="n"/>
      <c r="AG439" s="0" t="n"/>
      <c r="AH439" s="0" t="n"/>
      <c r="AI439" s="0" t="n"/>
      <c r="AJ439" s="0" t="n"/>
      <c r="AK439" s="0" t="n"/>
      <c r="AL439" s="0" t="n"/>
      <c r="AM439" s="0" t="n"/>
      <c r="AN439" s="0" t="n"/>
      <c r="AO439" s="0" t="n"/>
      <c r="AP439" s="0" t="n"/>
      <c r="AQ439" s="0" t="n"/>
      <c r="AR439" s="0" t="n"/>
      <c r="AS439" s="0" t="n"/>
      <c r="AT439" s="0" t="n"/>
      <c r="AU439" s="0" t="n"/>
      <c r="AV439" s="0" t="n"/>
      <c r="AW439" s="0" t="n"/>
      <c r="AX439" s="0" t="n"/>
      <c r="AY439" s="0" t="n"/>
      <c r="AZ439" s="0" t="n"/>
      <c r="BA439" s="0" t="n"/>
      <c r="BB439" s="0" t="n"/>
      <c r="BC439" s="0" t="n"/>
      <c r="BD439" s="0" t="n"/>
      <c r="BE439" s="0" t="n"/>
      <c r="BF439" s="0" t="n"/>
      <c r="BG439" s="0" t="n"/>
      <c r="BH439" s="0" t="n"/>
      <c r="BI439" s="0" t="n"/>
      <c r="BJ439" s="0" t="n"/>
      <c r="BK439" s="0" t="n"/>
      <c r="BL439" s="0" t="n"/>
      <c r="BM439" s="0" t="n"/>
      <c r="BN439" s="0" t="n"/>
      <c r="BO439" s="0" t="n"/>
      <c r="BP439" s="0" t="n"/>
    </row>
    <row outlineLevel="0" r="440">
      <c r="A440" s="331" t="n">
        <f aca="false" ca="false" dt2D="false" dtr="false" t="normal">+A439+1</f>
        <v>423</v>
      </c>
      <c r="B440" s="6" t="n">
        <f aca="false" ca="false" dt2D="false" dtr="false" t="normal">+B439+1</f>
        <v>212</v>
      </c>
      <c r="C440" s="138" t="s">
        <v>0</v>
      </c>
      <c r="D440" s="6" t="s">
        <v>9</v>
      </c>
      <c r="E440" s="27" t="n">
        <f aca="false" ca="false" dt2D="false" dtr="false" t="normal">SUM(F440:T440)</f>
        <v>4872127.52</v>
      </c>
      <c r="F440" s="6" t="n"/>
      <c r="G440" s="18" t="n"/>
      <c r="H440" s="18" t="n"/>
      <c r="I440" s="18" t="n"/>
      <c r="J440" s="18" t="n"/>
      <c r="K440" s="18" t="n"/>
      <c r="L440" s="18" t="n"/>
      <c r="M440" s="18" t="n"/>
      <c r="N440" s="18" t="n"/>
      <c r="O440" s="18" t="n"/>
      <c r="P440" s="18" t="n">
        <v>4867327.52</v>
      </c>
      <c r="Q440" s="18" t="n"/>
      <c r="R440" s="18" t="n"/>
      <c r="S440" s="18" t="n">
        <v>4800</v>
      </c>
      <c r="T440" s="191" t="n"/>
      <c r="U440" s="0" t="n"/>
      <c r="V440" s="333" t="n"/>
      <c r="W440" s="0" t="n"/>
      <c r="X440" s="0" t="n"/>
      <c r="Y440" s="0" t="n"/>
      <c r="Z440" s="0" t="n"/>
      <c r="AA440" s="0" t="n"/>
      <c r="AB440" s="0" t="n"/>
      <c r="AC440" s="0" t="n"/>
      <c r="AD440" s="0" t="n"/>
      <c r="AE440" s="0" t="n"/>
      <c r="AF440" s="0" t="n"/>
      <c r="AG440" s="0" t="n"/>
      <c r="AH440" s="0" t="n"/>
      <c r="AI440" s="0" t="n"/>
      <c r="AJ440" s="0" t="n"/>
      <c r="AK440" s="0" t="n"/>
      <c r="AL440" s="0" t="n"/>
      <c r="AM440" s="0" t="n"/>
      <c r="AN440" s="0" t="n"/>
      <c r="AO440" s="0" t="n"/>
      <c r="AP440" s="0" t="n"/>
      <c r="AQ440" s="0" t="n"/>
      <c r="AR440" s="0" t="n"/>
      <c r="AS440" s="0" t="n"/>
      <c r="AT440" s="0" t="n"/>
      <c r="AU440" s="0" t="n"/>
      <c r="AV440" s="0" t="n"/>
      <c r="AW440" s="0" t="n"/>
      <c r="AX440" s="0" t="n"/>
      <c r="AY440" s="0" t="n"/>
      <c r="AZ440" s="0" t="n"/>
      <c r="BA440" s="0" t="n"/>
      <c r="BB440" s="0" t="n"/>
      <c r="BC440" s="0" t="n"/>
      <c r="BD440" s="0" t="n"/>
      <c r="BE440" s="0" t="n"/>
      <c r="BF440" s="0" t="n"/>
      <c r="BG440" s="0" t="n"/>
      <c r="BH440" s="0" t="n"/>
      <c r="BI440" s="0" t="n"/>
      <c r="BJ440" s="0" t="n"/>
      <c r="BK440" s="0" t="n"/>
      <c r="BL440" s="0" t="n"/>
      <c r="BM440" s="0" t="n"/>
      <c r="BN440" s="0" t="n"/>
      <c r="BO440" s="0" t="n"/>
      <c r="BP440" s="0" t="n"/>
    </row>
    <row outlineLevel="0" r="441">
      <c r="A441" s="331" t="n">
        <f aca="false" ca="false" dt2D="false" dtr="false" t="normal">+A440+1</f>
        <v>424</v>
      </c>
      <c r="B441" s="6" t="n">
        <f aca="false" ca="false" dt2D="false" dtr="false" t="normal">+B440+1</f>
        <v>213</v>
      </c>
      <c r="C441" s="138" t="s">
        <v>0</v>
      </c>
      <c r="D441" s="6" t="s">
        <v>27</v>
      </c>
      <c r="E441" s="27" t="n">
        <f aca="false" ca="false" dt2D="false" dtr="false" t="normal">SUM(F441:T441)</f>
        <v>7963657.87</v>
      </c>
      <c r="F441" s="6" t="n"/>
      <c r="G441" s="18" t="n"/>
      <c r="H441" s="18" t="n"/>
      <c r="I441" s="18" t="n"/>
      <c r="J441" s="18" t="n"/>
      <c r="K441" s="18" t="n"/>
      <c r="L441" s="18" t="n"/>
      <c r="M441" s="18" t="n"/>
      <c r="N441" s="18" t="n"/>
      <c r="O441" s="18" t="n"/>
      <c r="P441" s="18" t="n">
        <v>7955657.87</v>
      </c>
      <c r="Q441" s="18" t="n"/>
      <c r="R441" s="18" t="n"/>
      <c r="S441" s="18" t="n">
        <v>8000</v>
      </c>
      <c r="T441" s="191" t="n"/>
      <c r="U441" s="0" t="n"/>
      <c r="V441" s="333" t="n"/>
      <c r="W441" s="0" t="n"/>
      <c r="X441" s="0" t="n"/>
      <c r="Y441" s="0" t="n"/>
      <c r="Z441" s="0" t="n"/>
      <c r="AA441" s="0" t="n"/>
      <c r="AB441" s="0" t="n"/>
      <c r="AC441" s="0" t="n"/>
      <c r="AD441" s="0" t="n"/>
      <c r="AE441" s="0" t="n"/>
      <c r="AF441" s="0" t="n"/>
      <c r="AG441" s="0" t="n"/>
      <c r="AH441" s="0" t="n"/>
      <c r="AI441" s="0" t="n"/>
      <c r="AJ441" s="0" t="n"/>
      <c r="AK441" s="0" t="n"/>
      <c r="AL441" s="0" t="n"/>
      <c r="AM441" s="0" t="n"/>
      <c r="AN441" s="0" t="n"/>
      <c r="AO441" s="0" t="n"/>
      <c r="AP441" s="0" t="n"/>
      <c r="AQ441" s="0" t="n"/>
      <c r="AR441" s="0" t="n"/>
      <c r="AS441" s="0" t="n"/>
      <c r="AT441" s="0" t="n"/>
      <c r="AU441" s="0" t="n"/>
      <c r="AV441" s="0" t="n"/>
      <c r="AW441" s="0" t="n"/>
      <c r="AX441" s="0" t="n"/>
      <c r="AY441" s="0" t="n"/>
      <c r="AZ441" s="0" t="n"/>
      <c r="BA441" s="0" t="n"/>
      <c r="BB441" s="0" t="n"/>
      <c r="BC441" s="0" t="n"/>
      <c r="BD441" s="0" t="n"/>
      <c r="BE441" s="0" t="n"/>
      <c r="BF441" s="0" t="n"/>
      <c r="BG441" s="0" t="n"/>
      <c r="BH441" s="0" t="n"/>
      <c r="BI441" s="0" t="n"/>
      <c r="BJ441" s="0" t="n"/>
      <c r="BK441" s="0" t="n"/>
      <c r="BL441" s="0" t="n"/>
      <c r="BM441" s="0" t="n"/>
      <c r="BN441" s="0" t="n"/>
      <c r="BO441" s="0" t="n"/>
      <c r="BP441" s="0" t="n"/>
    </row>
    <row outlineLevel="0" r="442">
      <c r="A442" s="331" t="n">
        <f aca="false" ca="false" dt2D="false" dtr="false" t="normal">+A441+1</f>
        <v>425</v>
      </c>
      <c r="B442" s="6" t="n">
        <f aca="false" ca="false" dt2D="false" dtr="false" t="normal">+B441+1</f>
        <v>214</v>
      </c>
      <c r="C442" s="138" t="s">
        <v>42</v>
      </c>
      <c r="D442" s="6" t="s">
        <v>44</v>
      </c>
      <c r="E442" s="27" t="n">
        <f aca="false" ca="true" dt2D="false" dtr="false" t="normal">SUBTOTAL(9, F442:T442)</f>
        <v>2107622.31</v>
      </c>
      <c r="F442" s="18" t="n">
        <v>992115.39</v>
      </c>
      <c r="G442" s="18" t="n">
        <v>816974.44</v>
      </c>
      <c r="H442" s="18" t="n"/>
      <c r="I442" s="18" t="n">
        <v>242295.61</v>
      </c>
      <c r="J442" s="18" t="n">
        <v>0</v>
      </c>
      <c r="K442" s="18" t="n"/>
      <c r="L442" s="18" t="n"/>
      <c r="M442" s="18" t="n">
        <v>0</v>
      </c>
      <c r="N442" s="18" t="n">
        <v>0</v>
      </c>
      <c r="O442" s="18" t="n">
        <v>0</v>
      </c>
      <c r="P442" s="18" t="n">
        <v>0</v>
      </c>
      <c r="Q442" s="18" t="n">
        <v>0</v>
      </c>
      <c r="R442" s="18" t="n">
        <v>38236.87</v>
      </c>
      <c r="S442" s="18" t="n">
        <v>18000</v>
      </c>
      <c r="T442" s="191" t="n"/>
      <c r="U442" s="0" t="n"/>
      <c r="V442" s="333" t="n"/>
      <c r="W442" s="0" t="n"/>
      <c r="X442" s="0" t="n"/>
      <c r="Y442" s="0" t="n"/>
      <c r="Z442" s="0" t="n"/>
      <c r="AA442" s="0" t="n"/>
      <c r="AB442" s="0" t="n"/>
      <c r="AC442" s="0" t="n"/>
      <c r="AD442" s="0" t="n"/>
      <c r="AE442" s="0" t="n"/>
      <c r="AF442" s="0" t="n"/>
      <c r="AG442" s="0" t="n"/>
      <c r="AH442" s="0" t="n"/>
      <c r="AI442" s="0" t="n"/>
      <c r="AJ442" s="0" t="n"/>
      <c r="AK442" s="0" t="n"/>
      <c r="AL442" s="0" t="n"/>
      <c r="AM442" s="0" t="n"/>
      <c r="AN442" s="0" t="n"/>
      <c r="AO442" s="0" t="n"/>
      <c r="AP442" s="0" t="n"/>
      <c r="AQ442" s="0" t="n"/>
      <c r="AR442" s="0" t="n"/>
      <c r="AS442" s="0" t="n"/>
      <c r="AT442" s="0" t="n"/>
      <c r="AU442" s="0" t="n"/>
      <c r="AV442" s="0" t="n"/>
      <c r="AW442" s="0" t="n"/>
      <c r="AX442" s="0" t="n"/>
      <c r="AY442" s="0" t="n"/>
      <c r="AZ442" s="0" t="n"/>
      <c r="BA442" s="0" t="n"/>
      <c r="BB442" s="0" t="n"/>
      <c r="BC442" s="0" t="n"/>
      <c r="BD442" s="0" t="n"/>
      <c r="BE442" s="0" t="n"/>
      <c r="BF442" s="0" t="n"/>
      <c r="BG442" s="0" t="n"/>
      <c r="BH442" s="0" t="n"/>
      <c r="BI442" s="0" t="n"/>
      <c r="BJ442" s="0" t="n"/>
      <c r="BK442" s="0" t="n"/>
      <c r="BL442" s="0" t="n"/>
      <c r="BM442" s="0" t="n"/>
      <c r="BN442" s="0" t="n"/>
      <c r="BO442" s="0" t="n"/>
      <c r="BP442" s="0" t="n"/>
    </row>
    <row outlineLevel="0" r="443">
      <c r="A443" s="331" t="n">
        <f aca="false" ca="false" dt2D="false" dtr="false" t="normal">+A442+1</f>
        <v>426</v>
      </c>
      <c r="B443" s="6" t="n">
        <f aca="false" ca="false" dt2D="false" dtr="false" t="normal">+B442+1</f>
        <v>215</v>
      </c>
      <c r="C443" s="138" t="s">
        <v>42</v>
      </c>
      <c r="D443" s="6" t="s">
        <v>65</v>
      </c>
      <c r="E443" s="27" t="n">
        <f aca="false" ca="true" dt2D="false" dtr="false" t="normal">SUBTOTAL(9, F443:T443)</f>
        <v>3055335.82</v>
      </c>
      <c r="F443" s="18" t="n">
        <v>1703436.36</v>
      </c>
      <c r="G443" s="18" t="n">
        <v>859294.68</v>
      </c>
      <c r="H443" s="18" t="n"/>
      <c r="I443" s="18" t="n">
        <v>422101.36</v>
      </c>
      <c r="J443" s="18" t="n">
        <v>0</v>
      </c>
      <c r="K443" s="18" t="n"/>
      <c r="L443" s="18" t="n"/>
      <c r="M443" s="18" t="n">
        <v>0</v>
      </c>
      <c r="N443" s="18" t="n">
        <v>0</v>
      </c>
      <c r="O443" s="18" t="n">
        <v>0</v>
      </c>
      <c r="P443" s="18" t="n">
        <v>0</v>
      </c>
      <c r="Q443" s="18" t="n">
        <v>0</v>
      </c>
      <c r="R443" s="18" t="n">
        <v>52503.42</v>
      </c>
      <c r="S443" s="18" t="n">
        <v>18000</v>
      </c>
      <c r="T443" s="191" t="n"/>
      <c r="U443" s="0" t="n"/>
      <c r="V443" s="333" t="n"/>
      <c r="W443" s="0" t="n"/>
      <c r="X443" s="0" t="n"/>
      <c r="Y443" s="0" t="n"/>
      <c r="Z443" s="0" t="n"/>
      <c r="AA443" s="0" t="n"/>
      <c r="AB443" s="0" t="n"/>
      <c r="AC443" s="0" t="n"/>
      <c r="AD443" s="0" t="n"/>
      <c r="AE443" s="0" t="n"/>
      <c r="AF443" s="0" t="n"/>
      <c r="AG443" s="0" t="n"/>
      <c r="AH443" s="0" t="n"/>
      <c r="AI443" s="0" t="n"/>
      <c r="AJ443" s="0" t="n"/>
      <c r="AK443" s="0" t="n"/>
      <c r="AL443" s="0" t="n"/>
      <c r="AM443" s="0" t="n"/>
      <c r="AN443" s="0" t="n"/>
      <c r="AO443" s="0" t="n"/>
      <c r="AP443" s="0" t="n"/>
      <c r="AQ443" s="0" t="n"/>
      <c r="AR443" s="0" t="n"/>
      <c r="AS443" s="0" t="n"/>
      <c r="AT443" s="0" t="n"/>
      <c r="AU443" s="0" t="n"/>
      <c r="AV443" s="0" t="n"/>
      <c r="AW443" s="0" t="n"/>
      <c r="AX443" s="0" t="n"/>
      <c r="AY443" s="0" t="n"/>
      <c r="AZ443" s="0" t="n"/>
      <c r="BA443" s="0" t="n"/>
      <c r="BB443" s="0" t="n"/>
      <c r="BC443" s="0" t="n"/>
      <c r="BD443" s="0" t="n"/>
      <c r="BE443" s="0" t="n"/>
      <c r="BF443" s="0" t="n"/>
      <c r="BG443" s="0" t="n"/>
      <c r="BH443" s="0" t="n"/>
      <c r="BI443" s="0" t="n"/>
      <c r="BJ443" s="0" t="n"/>
      <c r="BK443" s="0" t="n"/>
      <c r="BL443" s="0" t="n"/>
      <c r="BM443" s="0" t="n"/>
      <c r="BN443" s="0" t="n"/>
      <c r="BO443" s="0" t="n"/>
      <c r="BP443" s="0" t="n"/>
    </row>
    <row outlineLevel="0" r="444">
      <c r="A444" s="331" t="n">
        <f aca="false" ca="false" dt2D="false" dtr="false" t="normal">+A443+1</f>
        <v>427</v>
      </c>
      <c r="B444" s="6" t="n">
        <f aca="false" ca="false" dt2D="false" dtr="false" t="normal">+B443+1</f>
        <v>216</v>
      </c>
      <c r="C444" s="138" t="s">
        <v>68</v>
      </c>
      <c r="D444" s="6" t="s">
        <v>69</v>
      </c>
      <c r="E444" s="27" t="n">
        <f aca="false" ca="true" dt2D="false" dtr="false" t="normal">SUBTOTAL(9, F444:T444)</f>
        <v>226071.44</v>
      </c>
      <c r="F444" s="18" t="n">
        <v>0</v>
      </c>
      <c r="G444" s="18" t="n">
        <v>0</v>
      </c>
      <c r="H444" s="18" t="n">
        <v>226071.44</v>
      </c>
      <c r="I444" s="18" t="n">
        <v>0</v>
      </c>
      <c r="J444" s="18" t="n">
        <v>0</v>
      </c>
      <c r="K444" s="18" t="n"/>
      <c r="L444" s="18" t="n"/>
      <c r="M444" s="18" t="n">
        <v>0</v>
      </c>
      <c r="N444" s="18" t="n"/>
      <c r="O444" s="18" t="n">
        <v>0</v>
      </c>
      <c r="P444" s="18" t="n">
        <v>0</v>
      </c>
      <c r="Q444" s="18" t="n">
        <v>0</v>
      </c>
      <c r="R444" s="18" t="n"/>
      <c r="S444" s="18" t="n"/>
      <c r="T444" s="191" t="n"/>
      <c r="U444" s="0" t="n"/>
      <c r="V444" s="333" t="n"/>
      <c r="W444" s="0" t="n"/>
      <c r="X444" s="0" t="n"/>
      <c r="Y444" s="0" t="n"/>
      <c r="Z444" s="0" t="n"/>
      <c r="AA444" s="0" t="n"/>
      <c r="AB444" s="0" t="n"/>
      <c r="AC444" s="0" t="n"/>
      <c r="AD444" s="0" t="n"/>
      <c r="AE444" s="0" t="n"/>
      <c r="AF444" s="0" t="n"/>
      <c r="AG444" s="0" t="n"/>
      <c r="AH444" s="0" t="n"/>
      <c r="AI444" s="0" t="n"/>
      <c r="AJ444" s="0" t="n"/>
      <c r="AK444" s="0" t="n"/>
      <c r="AL444" s="0" t="n"/>
      <c r="AM444" s="0" t="n"/>
      <c r="AN444" s="0" t="n"/>
      <c r="AO444" s="0" t="n"/>
      <c r="AP444" s="0" t="n"/>
      <c r="AQ444" s="0" t="n"/>
      <c r="AR444" s="0" t="n"/>
      <c r="AS444" s="0" t="n"/>
      <c r="AT444" s="0" t="n"/>
      <c r="AU444" s="0" t="n"/>
      <c r="AV444" s="0" t="n"/>
      <c r="AW444" s="0" t="n"/>
      <c r="AX444" s="0" t="n"/>
      <c r="AY444" s="0" t="n"/>
      <c r="AZ444" s="0" t="n"/>
      <c r="BA444" s="0" t="n"/>
      <c r="BB444" s="0" t="n"/>
      <c r="BC444" s="0" t="n"/>
      <c r="BD444" s="0" t="n"/>
      <c r="BE444" s="0" t="n"/>
      <c r="BF444" s="0" t="n"/>
      <c r="BG444" s="0" t="n"/>
      <c r="BH444" s="0" t="n"/>
      <c r="BI444" s="0" t="n"/>
      <c r="BJ444" s="0" t="n"/>
      <c r="BK444" s="0" t="n"/>
      <c r="BL444" s="0" t="n"/>
      <c r="BM444" s="0" t="n"/>
      <c r="BN444" s="0" t="n"/>
      <c r="BO444" s="0" t="n"/>
      <c r="BP444" s="0" t="n"/>
    </row>
    <row outlineLevel="0" r="445">
      <c r="A445" s="331" t="n">
        <f aca="false" ca="false" dt2D="false" dtr="false" t="normal">+A444+1</f>
        <v>428</v>
      </c>
      <c r="B445" s="6" t="n">
        <f aca="false" ca="false" dt2D="false" dtr="false" t="normal">+B444+1</f>
        <v>217</v>
      </c>
      <c r="C445" s="138" t="s">
        <v>68</v>
      </c>
      <c r="D445" s="6" t="s">
        <v>70</v>
      </c>
      <c r="E445" s="27" t="n">
        <f aca="false" ca="true" dt2D="false" dtr="false" t="normal">SUBTOTAL(9, F445:T445)</f>
        <v>240520.96</v>
      </c>
      <c r="F445" s="18" t="n">
        <v>0</v>
      </c>
      <c r="G445" s="18" t="n">
        <v>0</v>
      </c>
      <c r="H445" s="18" t="n">
        <v>240520.96</v>
      </c>
      <c r="I445" s="18" t="n">
        <v>0</v>
      </c>
      <c r="J445" s="18" t="n">
        <v>0</v>
      </c>
      <c r="K445" s="18" t="n"/>
      <c r="L445" s="18" t="n"/>
      <c r="M445" s="18" t="n">
        <v>0</v>
      </c>
      <c r="N445" s="18" t="n"/>
      <c r="O445" s="18" t="n">
        <v>0</v>
      </c>
      <c r="P445" s="18" t="n">
        <v>0</v>
      </c>
      <c r="Q445" s="18" t="n">
        <v>0</v>
      </c>
      <c r="R445" s="18" t="n"/>
      <c r="S445" s="18" t="n"/>
      <c r="T445" s="191" t="n"/>
      <c r="U445" s="0" t="n"/>
      <c r="V445" s="333" t="n"/>
      <c r="W445" s="0" t="n"/>
      <c r="X445" s="0" t="n"/>
      <c r="Y445" s="0" t="n"/>
      <c r="Z445" s="0" t="n"/>
      <c r="AA445" s="0" t="n"/>
      <c r="AB445" s="0" t="n"/>
      <c r="AC445" s="0" t="n"/>
      <c r="AD445" s="0" t="n"/>
      <c r="AE445" s="0" t="n"/>
      <c r="AF445" s="0" t="n"/>
      <c r="AG445" s="0" t="n"/>
      <c r="AH445" s="0" t="n"/>
      <c r="AI445" s="0" t="n"/>
      <c r="AJ445" s="0" t="n"/>
      <c r="AK445" s="0" t="n"/>
      <c r="AL445" s="0" t="n"/>
      <c r="AM445" s="0" t="n"/>
      <c r="AN445" s="0" t="n"/>
      <c r="AO445" s="0" t="n"/>
      <c r="AP445" s="0" t="n"/>
      <c r="AQ445" s="0" t="n"/>
      <c r="AR445" s="0" t="n"/>
      <c r="AS445" s="0" t="n"/>
      <c r="AT445" s="0" t="n"/>
      <c r="AU445" s="0" t="n"/>
      <c r="AV445" s="0" t="n"/>
      <c r="AW445" s="0" t="n"/>
      <c r="AX445" s="0" t="n"/>
      <c r="AY445" s="0" t="n"/>
      <c r="AZ445" s="0" t="n"/>
      <c r="BA445" s="0" t="n"/>
      <c r="BB445" s="0" t="n"/>
      <c r="BC445" s="0" t="n"/>
      <c r="BD445" s="0" t="n"/>
      <c r="BE445" s="0" t="n"/>
      <c r="BF445" s="0" t="n"/>
      <c r="BG445" s="0" t="n"/>
      <c r="BH445" s="0" t="n"/>
      <c r="BI445" s="0" t="n"/>
      <c r="BJ445" s="0" t="n"/>
      <c r="BK445" s="0" t="n"/>
      <c r="BL445" s="0" t="n"/>
      <c r="BM445" s="0" t="n"/>
      <c r="BN445" s="0" t="n"/>
      <c r="BO445" s="0" t="n"/>
      <c r="BP445" s="0" t="n"/>
    </row>
    <row outlineLevel="0" r="446">
      <c r="A446" s="331" t="n">
        <f aca="false" ca="false" dt2D="false" dtr="false" t="normal">+A445+1</f>
        <v>429</v>
      </c>
      <c r="B446" s="6" t="n">
        <f aca="false" ca="false" dt2D="false" dtr="false" t="normal">+B445+1</f>
        <v>218</v>
      </c>
      <c r="C446" s="138" t="s">
        <v>68</v>
      </c>
      <c r="D446" s="6" t="s">
        <v>72</v>
      </c>
      <c r="E446" s="27" t="n">
        <f aca="false" ca="true" dt2D="false" dtr="false" t="normal">SUBTOTAL(9, F446:T446)</f>
        <v>253456.48</v>
      </c>
      <c r="F446" s="18" t="n">
        <v>0</v>
      </c>
      <c r="G446" s="18" t="n">
        <v>0</v>
      </c>
      <c r="H446" s="18" t="n">
        <v>253456.48</v>
      </c>
      <c r="I446" s="18" t="n">
        <v>0</v>
      </c>
      <c r="J446" s="18" t="n">
        <v>0</v>
      </c>
      <c r="K446" s="18" t="n"/>
      <c r="L446" s="18" t="n"/>
      <c r="M446" s="18" t="n">
        <v>0</v>
      </c>
      <c r="N446" s="18" t="n">
        <v>0</v>
      </c>
      <c r="O446" s="18" t="n">
        <v>0</v>
      </c>
      <c r="P446" s="18" t="n">
        <v>0</v>
      </c>
      <c r="Q446" s="18" t="n">
        <v>0</v>
      </c>
      <c r="R446" s="18" t="n"/>
      <c r="S446" s="18" t="n"/>
      <c r="T446" s="191" t="n"/>
      <c r="U446" s="0" t="n"/>
      <c r="V446" s="333" t="n"/>
      <c r="W446" s="0" t="n"/>
      <c r="X446" s="0" t="n"/>
      <c r="Y446" s="0" t="n"/>
      <c r="Z446" s="0" t="n"/>
      <c r="AA446" s="0" t="n"/>
      <c r="AB446" s="0" t="n"/>
      <c r="AC446" s="0" t="n"/>
      <c r="AD446" s="0" t="n"/>
      <c r="AE446" s="0" t="n"/>
      <c r="AF446" s="0" t="n"/>
      <c r="AG446" s="0" t="n"/>
      <c r="AH446" s="0" t="n"/>
      <c r="AI446" s="0" t="n"/>
      <c r="AJ446" s="0" t="n"/>
      <c r="AK446" s="0" t="n"/>
      <c r="AL446" s="0" t="n"/>
      <c r="AM446" s="0" t="n"/>
      <c r="AN446" s="0" t="n"/>
      <c r="AO446" s="0" t="n"/>
      <c r="AP446" s="0" t="n"/>
      <c r="AQ446" s="0" t="n"/>
      <c r="AR446" s="0" t="n"/>
      <c r="AS446" s="0" t="n"/>
      <c r="AT446" s="0" t="n"/>
      <c r="AU446" s="0" t="n"/>
      <c r="AV446" s="0" t="n"/>
      <c r="AW446" s="0" t="n"/>
      <c r="AX446" s="0" t="n"/>
      <c r="AY446" s="0" t="n"/>
      <c r="AZ446" s="0" t="n"/>
      <c r="BA446" s="0" t="n"/>
      <c r="BB446" s="0" t="n"/>
      <c r="BC446" s="0" t="n"/>
      <c r="BD446" s="0" t="n"/>
      <c r="BE446" s="0" t="n"/>
      <c r="BF446" s="0" t="n"/>
      <c r="BG446" s="0" t="n"/>
      <c r="BH446" s="0" t="n"/>
      <c r="BI446" s="0" t="n"/>
      <c r="BJ446" s="0" t="n"/>
      <c r="BK446" s="0" t="n"/>
      <c r="BL446" s="0" t="n"/>
      <c r="BM446" s="0" t="n"/>
      <c r="BN446" s="0" t="n"/>
      <c r="BO446" s="0" t="n"/>
      <c r="BP446" s="0" t="n"/>
    </row>
    <row outlineLevel="0" r="447">
      <c r="A447" s="331" t="n">
        <f aca="false" ca="false" dt2D="false" dtr="false" t="normal">+A446+1</f>
        <v>430</v>
      </c>
      <c r="B447" s="6" t="n">
        <f aca="false" ca="false" dt2D="false" dtr="false" t="normal">+B446+1</f>
        <v>219</v>
      </c>
      <c r="C447" s="138" t="s">
        <v>68</v>
      </c>
      <c r="D447" s="6" t="s">
        <v>73</v>
      </c>
      <c r="E447" s="27" t="n">
        <f aca="false" ca="true" dt2D="false" dtr="false" t="normal">SUBTOTAL(9, F447:T447)</f>
        <v>620415.33</v>
      </c>
      <c r="F447" s="18" t="n"/>
      <c r="G447" s="18" t="n">
        <v>601824.37</v>
      </c>
      <c r="H447" s="18" t="n"/>
      <c r="I447" s="18" t="n"/>
      <c r="J447" s="18" t="n">
        <v>0</v>
      </c>
      <c r="K447" s="18" t="n"/>
      <c r="L447" s="18" t="n"/>
      <c r="M447" s="18" t="n">
        <v>0</v>
      </c>
      <c r="N447" s="18" t="n"/>
      <c r="O447" s="18" t="n">
        <v>0</v>
      </c>
      <c r="P447" s="18" t="n">
        <v>0</v>
      </c>
      <c r="Q447" s="18" t="n">
        <v>0</v>
      </c>
      <c r="R447" s="18" t="n">
        <v>13790.96</v>
      </c>
      <c r="S447" s="18" t="n">
        <v>4800</v>
      </c>
      <c r="T447" s="191" t="n"/>
      <c r="U447" s="0" t="n"/>
      <c r="V447" s="333" t="n"/>
      <c r="W447" s="0" t="n"/>
      <c r="X447" s="0" t="n"/>
      <c r="Y447" s="0" t="n"/>
      <c r="Z447" s="0" t="n"/>
      <c r="AA447" s="0" t="n"/>
      <c r="AB447" s="0" t="n"/>
      <c r="AC447" s="0" t="n"/>
      <c r="AD447" s="0" t="n"/>
      <c r="AE447" s="0" t="n"/>
      <c r="AF447" s="0" t="n"/>
      <c r="AG447" s="0" t="n"/>
      <c r="AH447" s="0" t="n"/>
      <c r="AI447" s="0" t="n"/>
      <c r="AJ447" s="0" t="n"/>
      <c r="AK447" s="0" t="n"/>
      <c r="AL447" s="0" t="n"/>
      <c r="AM447" s="0" t="n"/>
      <c r="AN447" s="0" t="n"/>
      <c r="AO447" s="0" t="n"/>
      <c r="AP447" s="0" t="n"/>
      <c r="AQ447" s="0" t="n"/>
      <c r="AR447" s="0" t="n"/>
      <c r="AS447" s="0" t="n"/>
      <c r="AT447" s="0" t="n"/>
      <c r="AU447" s="0" t="n"/>
      <c r="AV447" s="0" t="n"/>
      <c r="AW447" s="0" t="n"/>
      <c r="AX447" s="0" t="n"/>
      <c r="AY447" s="0" t="n"/>
      <c r="AZ447" s="0" t="n"/>
      <c r="BA447" s="0" t="n"/>
      <c r="BB447" s="0" t="n"/>
      <c r="BC447" s="0" t="n"/>
      <c r="BD447" s="0" t="n"/>
      <c r="BE447" s="0" t="n"/>
      <c r="BF447" s="0" t="n"/>
      <c r="BG447" s="0" t="n"/>
      <c r="BH447" s="0" t="n"/>
      <c r="BI447" s="0" t="n"/>
      <c r="BJ447" s="0" t="n"/>
      <c r="BK447" s="0" t="n"/>
      <c r="BL447" s="0" t="n"/>
      <c r="BM447" s="0" t="n"/>
      <c r="BN447" s="0" t="n"/>
      <c r="BO447" s="0" t="n"/>
      <c r="BP447" s="0" t="n"/>
    </row>
    <row outlineLevel="0" r="448">
      <c r="A448" s="331" t="n">
        <f aca="false" ca="false" dt2D="false" dtr="false" t="normal">+A447+1</f>
        <v>431</v>
      </c>
      <c r="B448" s="6" t="s">
        <v>76</v>
      </c>
      <c r="C448" s="138" t="s">
        <v>68</v>
      </c>
      <c r="D448" s="6" t="s">
        <v>77</v>
      </c>
      <c r="E448" s="27" t="n">
        <f aca="false" ca="true" dt2D="false" dtr="false" t="normal">SUBTOTAL(9, F448:T448)</f>
        <v>223889.01</v>
      </c>
      <c r="F448" s="18" t="n"/>
      <c r="G448" s="18" t="n"/>
      <c r="H448" s="18" t="n">
        <v>0</v>
      </c>
      <c r="I448" s="18" t="n">
        <v>223889.01</v>
      </c>
      <c r="J448" s="18" t="n"/>
      <c r="K448" s="18" t="n"/>
      <c r="L448" s="18" t="n"/>
      <c r="M448" s="18" t="n">
        <v>0</v>
      </c>
      <c r="N448" s="18" t="n">
        <v>0</v>
      </c>
      <c r="O448" s="18" t="n"/>
      <c r="P448" s="18" t="n">
        <v>0</v>
      </c>
      <c r="Q448" s="18" t="n"/>
      <c r="R448" s="18" t="n"/>
      <c r="S448" s="18" t="n"/>
      <c r="T448" s="191" t="n"/>
      <c r="U448" s="0" t="n"/>
      <c r="V448" s="333" t="n"/>
      <c r="W448" s="0" t="n"/>
      <c r="X448" s="0" t="n"/>
      <c r="Y448" s="0" t="n"/>
      <c r="Z448" s="0" t="n"/>
      <c r="AA448" s="0" t="n"/>
      <c r="AB448" s="0" t="n"/>
      <c r="AC448" s="0" t="n"/>
      <c r="AD448" s="0" t="n"/>
      <c r="AE448" s="0" t="n"/>
      <c r="AF448" s="0" t="n"/>
      <c r="AG448" s="0" t="n"/>
      <c r="AH448" s="0" t="n"/>
      <c r="AI448" s="0" t="n"/>
      <c r="AJ448" s="0" t="n"/>
      <c r="AK448" s="0" t="n"/>
      <c r="AL448" s="0" t="n"/>
      <c r="AM448" s="0" t="n"/>
      <c r="AN448" s="0" t="n"/>
      <c r="AO448" s="0" t="n"/>
      <c r="AP448" s="0" t="n"/>
      <c r="AQ448" s="0" t="n"/>
      <c r="AR448" s="0" t="n"/>
      <c r="AS448" s="0" t="n"/>
      <c r="AT448" s="0" t="n"/>
      <c r="AU448" s="0" t="n"/>
      <c r="AV448" s="0" t="n"/>
      <c r="AW448" s="0" t="n"/>
      <c r="AX448" s="0" t="n"/>
      <c r="AY448" s="0" t="n"/>
      <c r="AZ448" s="0" t="n"/>
      <c r="BA448" s="0" t="n"/>
      <c r="BB448" s="0" t="n"/>
      <c r="BC448" s="0" t="n"/>
      <c r="BD448" s="0" t="n"/>
      <c r="BE448" s="0" t="n"/>
      <c r="BF448" s="0" t="n"/>
      <c r="BG448" s="0" t="n"/>
      <c r="BH448" s="0" t="n"/>
      <c r="BI448" s="0" t="n"/>
      <c r="BJ448" s="0" t="n"/>
      <c r="BK448" s="0" t="n"/>
      <c r="BL448" s="0" t="n"/>
      <c r="BM448" s="0" t="n"/>
      <c r="BN448" s="0" t="n"/>
      <c r="BO448" s="0" t="n"/>
      <c r="BP448" s="0" t="n"/>
    </row>
    <row customHeight="true" ht="13.5" outlineLevel="0" r="449">
      <c r="A449" s="331" t="n">
        <f aca="false" ca="false" dt2D="false" dtr="false" t="normal">+A448+1</f>
        <v>432</v>
      </c>
      <c r="B449" s="6" t="s">
        <v>76</v>
      </c>
      <c r="C449" s="138" t="s">
        <v>68</v>
      </c>
      <c r="D449" s="6" t="s">
        <v>78</v>
      </c>
      <c r="E449" s="27" t="n">
        <f aca="false" ca="true" dt2D="false" dtr="false" t="normal">SUBTOTAL(9, F449:T449)</f>
        <v>223889.01</v>
      </c>
      <c r="F449" s="18" t="n"/>
      <c r="G449" s="18" t="n"/>
      <c r="H449" s="18" t="n">
        <v>0</v>
      </c>
      <c r="I449" s="18" t="n">
        <v>223889.01</v>
      </c>
      <c r="J449" s="18" t="n"/>
      <c r="K449" s="18" t="n"/>
      <c r="L449" s="18" t="n"/>
      <c r="M449" s="18" t="n">
        <v>0</v>
      </c>
      <c r="N449" s="18" t="n">
        <v>0</v>
      </c>
      <c r="O449" s="18" t="n"/>
      <c r="P449" s="18" t="n">
        <v>0</v>
      </c>
      <c r="Q449" s="18" t="n"/>
      <c r="R449" s="18" t="n"/>
      <c r="S449" s="18" t="n"/>
      <c r="T449" s="191" t="n"/>
      <c r="U449" s="0" t="n"/>
      <c r="V449" s="333" t="n"/>
      <c r="W449" s="0" t="n"/>
      <c r="X449" s="0" t="n"/>
      <c r="Y449" s="0" t="n"/>
      <c r="Z449" s="0" t="n"/>
      <c r="AA449" s="0" t="n"/>
      <c r="AB449" s="0" t="n"/>
      <c r="AC449" s="0" t="n"/>
      <c r="AD449" s="0" t="n"/>
      <c r="AE449" s="0" t="n"/>
      <c r="AF449" s="0" t="n"/>
      <c r="AG449" s="0" t="n"/>
      <c r="AH449" s="0" t="n"/>
      <c r="AI449" s="0" t="n"/>
      <c r="AJ449" s="0" t="n"/>
      <c r="AK449" s="0" t="n"/>
      <c r="AL449" s="0" t="n"/>
      <c r="AM449" s="0" t="n"/>
      <c r="AN449" s="0" t="n"/>
      <c r="AO449" s="0" t="n"/>
      <c r="AP449" s="0" t="n"/>
      <c r="AQ449" s="0" t="n"/>
      <c r="AR449" s="0" t="n"/>
      <c r="AS449" s="0" t="n"/>
      <c r="AT449" s="0" t="n"/>
      <c r="AU449" s="0" t="n"/>
      <c r="AV449" s="0" t="n"/>
      <c r="AW449" s="0" t="n"/>
      <c r="AX449" s="0" t="n"/>
      <c r="AY449" s="0" t="n"/>
      <c r="AZ449" s="0" t="n"/>
      <c r="BA449" s="0" t="n"/>
      <c r="BB449" s="0" t="n"/>
      <c r="BC449" s="0" t="n"/>
      <c r="BD449" s="0" t="n"/>
      <c r="BE449" s="0" t="n"/>
      <c r="BF449" s="0" t="n"/>
      <c r="BG449" s="0" t="n"/>
      <c r="BH449" s="0" t="n"/>
      <c r="BI449" s="0" t="n"/>
      <c r="BJ449" s="0" t="n"/>
      <c r="BK449" s="0" t="n"/>
      <c r="BL449" s="0" t="n"/>
      <c r="BM449" s="0" t="n"/>
      <c r="BN449" s="0" t="n"/>
      <c r="BO449" s="0" t="n"/>
      <c r="BP449" s="0" t="n"/>
    </row>
    <row outlineLevel="0" r="450">
      <c r="A450" s="331" t="n">
        <f aca="false" ca="false" dt2D="false" dtr="false" t="normal">+A449+1</f>
        <v>433</v>
      </c>
      <c r="B450" s="6" t="n">
        <v>220</v>
      </c>
      <c r="C450" s="138" t="s">
        <v>68</v>
      </c>
      <c r="D450" s="6" t="s">
        <v>79</v>
      </c>
      <c r="E450" s="27" t="n">
        <f aca="false" ca="true" dt2D="false" dtr="false" t="normal">SUBTOTAL(9, F450:T450)</f>
        <v>2917814.5300000003</v>
      </c>
      <c r="F450" s="18" t="n"/>
      <c r="G450" s="18" t="n"/>
      <c r="H450" s="18" t="n">
        <v>0</v>
      </c>
      <c r="I450" s="18" t="n">
        <v>278729.45</v>
      </c>
      <c r="J450" s="18" t="n"/>
      <c r="K450" s="18" t="n"/>
      <c r="L450" s="18" t="n"/>
      <c r="M450" s="18" t="n">
        <v>0</v>
      </c>
      <c r="N450" s="18" t="n">
        <v>0</v>
      </c>
      <c r="O450" s="18" t="n">
        <v>2639085.08</v>
      </c>
      <c r="P450" s="18" t="n">
        <v>0</v>
      </c>
      <c r="Q450" s="18" t="n"/>
      <c r="R450" s="18" t="n"/>
      <c r="S450" s="18" t="n"/>
      <c r="T450" s="191" t="n"/>
      <c r="U450" s="0" t="n"/>
      <c r="V450" s="333" t="n"/>
      <c r="W450" s="0" t="n"/>
      <c r="X450" s="0" t="n"/>
      <c r="Y450" s="0" t="n"/>
      <c r="Z450" s="0" t="n"/>
      <c r="AA450" s="0" t="n"/>
      <c r="AB450" s="0" t="n"/>
      <c r="AC450" s="0" t="n"/>
      <c r="AD450" s="0" t="n"/>
      <c r="AE450" s="0" t="n"/>
      <c r="AF450" s="0" t="n"/>
      <c r="AG450" s="0" t="n"/>
      <c r="AH450" s="0" t="n"/>
      <c r="AI450" s="0" t="n"/>
      <c r="AJ450" s="0" t="n"/>
      <c r="AK450" s="0" t="n"/>
      <c r="AL450" s="0" t="n"/>
      <c r="AM450" s="0" t="n"/>
      <c r="AN450" s="0" t="n"/>
      <c r="AO450" s="0" t="n"/>
      <c r="AP450" s="0" t="n"/>
      <c r="AQ450" s="0" t="n"/>
      <c r="AR450" s="0" t="n"/>
      <c r="AS450" s="0" t="n"/>
      <c r="AT450" s="0" t="n"/>
      <c r="AU450" s="0" t="n"/>
      <c r="AV450" s="0" t="n"/>
      <c r="AW450" s="0" t="n"/>
      <c r="AX450" s="0" t="n"/>
      <c r="AY450" s="0" t="n"/>
      <c r="AZ450" s="0" t="n"/>
      <c r="BA450" s="0" t="n"/>
      <c r="BB450" s="0" t="n"/>
      <c r="BC450" s="0" t="n"/>
      <c r="BD450" s="0" t="n"/>
      <c r="BE450" s="0" t="n"/>
      <c r="BF450" s="0" t="n"/>
      <c r="BG450" s="0" t="n"/>
      <c r="BH450" s="0" t="n"/>
      <c r="BI450" s="0" t="n"/>
      <c r="BJ450" s="0" t="n"/>
      <c r="BK450" s="0" t="n"/>
      <c r="BL450" s="0" t="n"/>
      <c r="BM450" s="0" t="n"/>
      <c r="BN450" s="0" t="n"/>
      <c r="BO450" s="0" t="n"/>
      <c r="BP450" s="0" t="n"/>
    </row>
    <row outlineLevel="0" r="451">
      <c r="A451" s="331" t="n">
        <f aca="false" ca="false" dt2D="false" dtr="false" t="normal">+A450+1</f>
        <v>434</v>
      </c>
      <c r="B451" s="6" t="n">
        <v>221</v>
      </c>
      <c r="C451" s="138" t="s">
        <v>82</v>
      </c>
      <c r="D451" s="6" t="s">
        <v>83</v>
      </c>
      <c r="E451" s="27" t="n">
        <f aca="false" ca="true" dt2D="false" dtr="false" t="normal">SUBTOTAL(9, F451:T451)</f>
        <v>492037.06</v>
      </c>
      <c r="F451" s="18" t="n"/>
      <c r="G451" s="18" t="n"/>
      <c r="H451" s="18" t="n"/>
      <c r="I451" s="18" t="n">
        <v>492037.06</v>
      </c>
      <c r="J451" s="18" t="n">
        <v>0</v>
      </c>
      <c r="K451" s="18" t="n"/>
      <c r="L451" s="18" t="n"/>
      <c r="M451" s="18" t="n">
        <v>0</v>
      </c>
      <c r="N451" s="18" t="n">
        <v>0</v>
      </c>
      <c r="O451" s="18" t="n">
        <v>0</v>
      </c>
      <c r="P451" s="18" t="n">
        <v>0</v>
      </c>
      <c r="Q451" s="18" t="n">
        <v>0</v>
      </c>
      <c r="R451" s="18" t="n"/>
      <c r="S451" s="18" t="n"/>
      <c r="T451" s="191" t="n"/>
      <c r="U451" s="0" t="n"/>
      <c r="V451" s="333" t="n"/>
      <c r="W451" s="0" t="n"/>
      <c r="X451" s="0" t="n"/>
      <c r="Y451" s="0" t="n"/>
      <c r="Z451" s="0" t="n"/>
      <c r="AA451" s="0" t="n"/>
      <c r="AB451" s="0" t="n"/>
      <c r="AC451" s="0" t="n"/>
      <c r="AD451" s="0" t="n"/>
      <c r="AE451" s="0" t="n"/>
      <c r="AF451" s="0" t="n"/>
      <c r="AG451" s="0" t="n"/>
      <c r="AH451" s="0" t="n"/>
      <c r="AI451" s="0" t="n"/>
      <c r="AJ451" s="0" t="n"/>
      <c r="AK451" s="0" t="n"/>
      <c r="AL451" s="0" t="n"/>
      <c r="AM451" s="0" t="n"/>
      <c r="AN451" s="0" t="n"/>
      <c r="AO451" s="0" t="n"/>
      <c r="AP451" s="0" t="n"/>
      <c r="AQ451" s="0" t="n"/>
      <c r="AR451" s="0" t="n"/>
      <c r="AS451" s="0" t="n"/>
      <c r="AT451" s="0" t="n"/>
      <c r="AU451" s="0" t="n"/>
      <c r="AV451" s="0" t="n"/>
      <c r="AW451" s="0" t="n"/>
      <c r="AX451" s="0" t="n"/>
      <c r="AY451" s="0" t="n"/>
      <c r="AZ451" s="0" t="n"/>
      <c r="BA451" s="0" t="n"/>
      <c r="BB451" s="0" t="n"/>
      <c r="BC451" s="0" t="n"/>
      <c r="BD451" s="0" t="n"/>
      <c r="BE451" s="0" t="n"/>
      <c r="BF451" s="0" t="n"/>
      <c r="BG451" s="0" t="n"/>
      <c r="BH451" s="0" t="n"/>
      <c r="BI451" s="0" t="n"/>
      <c r="BJ451" s="0" t="n"/>
      <c r="BK451" s="0" t="n"/>
      <c r="BL451" s="0" t="n"/>
      <c r="BM451" s="0" t="n"/>
      <c r="BN451" s="0" t="n"/>
      <c r="BO451" s="0" t="n"/>
      <c r="BP451" s="0" t="n"/>
    </row>
    <row outlineLevel="0" r="452">
      <c r="A452" s="331" t="n">
        <f aca="false" ca="false" dt2D="false" dtr="false" t="normal">+A451+1</f>
        <v>435</v>
      </c>
      <c r="B452" s="6" t="n">
        <v>222</v>
      </c>
      <c r="C452" s="138" t="s">
        <v>82</v>
      </c>
      <c r="D452" s="6" t="s">
        <v>85</v>
      </c>
      <c r="E452" s="27" t="n">
        <f aca="false" ca="true" dt2D="false" dtr="false" t="normal">SUBTOTAL(9, F452:T452)</f>
        <v>422534</v>
      </c>
      <c r="F452" s="18" t="n"/>
      <c r="G452" s="18" t="n"/>
      <c r="H452" s="18" t="n"/>
      <c r="I452" s="18" t="n">
        <v>422534</v>
      </c>
      <c r="J452" s="18" t="n">
        <v>0</v>
      </c>
      <c r="K452" s="18" t="n"/>
      <c r="L452" s="18" t="n"/>
      <c r="M452" s="18" t="n">
        <v>0</v>
      </c>
      <c r="N452" s="18" t="n">
        <v>0</v>
      </c>
      <c r="O452" s="18" t="n">
        <v>0</v>
      </c>
      <c r="P452" s="18" t="n">
        <v>0</v>
      </c>
      <c r="Q452" s="18" t="n">
        <v>0</v>
      </c>
      <c r="R452" s="18" t="n"/>
      <c r="S452" s="18" t="n"/>
      <c r="T452" s="191" t="n"/>
    </row>
    <row outlineLevel="0" r="453">
      <c r="A453" s="331" t="n">
        <f aca="false" ca="false" dt2D="false" dtr="false" t="normal">+A452+1</f>
        <v>436</v>
      </c>
      <c r="B453" s="6" t="n">
        <v>223</v>
      </c>
      <c r="C453" s="138" t="s">
        <v>82</v>
      </c>
      <c r="D453" s="6" t="s">
        <v>87</v>
      </c>
      <c r="E453" s="27" t="n">
        <f aca="false" ca="true" dt2D="false" dtr="false" t="normal">SUBTOTAL(9, F453:T453)</f>
        <v>548136.26</v>
      </c>
      <c r="F453" s="18" t="n">
        <v>0</v>
      </c>
      <c r="G453" s="18" t="n">
        <v>0</v>
      </c>
      <c r="H453" s="18" t="n"/>
      <c r="I453" s="18" t="n">
        <v>548136.26</v>
      </c>
      <c r="J453" s="18" t="n">
        <v>0</v>
      </c>
      <c r="K453" s="18" t="n"/>
      <c r="L453" s="18" t="n"/>
      <c r="M453" s="18" t="n">
        <v>0</v>
      </c>
      <c r="N453" s="18" t="n">
        <v>0</v>
      </c>
      <c r="O453" s="18" t="n">
        <v>0</v>
      </c>
      <c r="P453" s="18" t="n">
        <v>0</v>
      </c>
      <c r="Q453" s="18" t="n">
        <v>0</v>
      </c>
      <c r="R453" s="18" t="n"/>
      <c r="S453" s="18" t="n"/>
      <c r="T453" s="191" t="n"/>
    </row>
    <row outlineLevel="0" r="454">
      <c r="A454" s="331" t="n">
        <f aca="false" ca="false" dt2D="false" dtr="false" t="normal">+A453+1</f>
        <v>437</v>
      </c>
      <c r="B454" s="6" t="s">
        <v>76</v>
      </c>
      <c r="C454" s="138" t="s">
        <v>90</v>
      </c>
      <c r="D454" s="6" t="s">
        <v>354</v>
      </c>
      <c r="E454" s="27" t="n">
        <f aca="false" ca="true" dt2D="false" dtr="false" t="normal">SUBTOTAL(9, F454:T454)</f>
        <v>25027038.06</v>
      </c>
      <c r="F454" s="18" t="n"/>
      <c r="G454" s="18" t="n"/>
      <c r="H454" s="18" t="n"/>
      <c r="I454" s="18" t="n"/>
      <c r="J454" s="18" t="n">
        <v>0</v>
      </c>
      <c r="K454" s="18" t="n"/>
      <c r="L454" s="18" t="n"/>
      <c r="M454" s="18" t="n">
        <v>0</v>
      </c>
      <c r="N454" s="18" t="n"/>
      <c r="O454" s="18" t="n">
        <v>0</v>
      </c>
      <c r="P454" s="18" t="n">
        <v>25027038.06</v>
      </c>
      <c r="Q454" s="18" t="n"/>
      <c r="R454" s="18" t="n"/>
      <c r="S454" s="18" t="n"/>
      <c r="T454" s="191" t="n"/>
    </row>
    <row outlineLevel="0" r="455">
      <c r="A455" s="331" t="n">
        <f aca="false" ca="false" dt2D="false" dtr="false" t="normal">+A454+1</f>
        <v>438</v>
      </c>
      <c r="B455" s="6" t="s">
        <v>76</v>
      </c>
      <c r="C455" s="138" t="s">
        <v>93</v>
      </c>
      <c r="D455" s="6" t="s">
        <v>94</v>
      </c>
      <c r="E455" s="203" t="n">
        <f aca="false" ca="true" dt2D="false" dtr="false" t="normal">SUBTOTAL(9, F455:T455)</f>
        <v>93897055.49000001</v>
      </c>
      <c r="F455" s="18" t="n"/>
      <c r="G455" s="18" t="n"/>
      <c r="H455" s="18" t="n"/>
      <c r="I455" s="18" t="n"/>
      <c r="J455" s="18" t="n">
        <v>0</v>
      </c>
      <c r="K455" s="18" t="n"/>
      <c r="L455" s="18" t="n"/>
      <c r="M455" s="18" t="n"/>
      <c r="N455" s="18" t="n">
        <v>0</v>
      </c>
      <c r="O455" s="18" t="n">
        <v>0</v>
      </c>
      <c r="P455" s="18" t="n">
        <v>93307087.4</v>
      </c>
      <c r="Q455" s="18" t="n">
        <v>0</v>
      </c>
      <c r="R455" s="18" t="n">
        <v>579968.09</v>
      </c>
      <c r="S455" s="18" t="n">
        <v>10000</v>
      </c>
      <c r="T455" s="191" t="n"/>
    </row>
    <row outlineLevel="0" r="456">
      <c r="A456" s="331" t="n">
        <f aca="false" ca="false" dt2D="false" dtr="false" t="normal">+A455+1</f>
        <v>439</v>
      </c>
      <c r="B456" s="6" t="n">
        <v>224</v>
      </c>
      <c r="C456" s="138" t="s">
        <v>93</v>
      </c>
      <c r="D456" s="6" t="s">
        <v>96</v>
      </c>
      <c r="E456" s="27" t="n">
        <f aca="false" ca="true" dt2D="false" dtr="false" t="normal">SUBTOTAL(9, F456:T456)</f>
        <v>5271196.86</v>
      </c>
      <c r="F456" s="18" t="n"/>
      <c r="G456" s="18" t="n"/>
      <c r="H456" s="18" t="n"/>
      <c r="I456" s="18" t="n">
        <v>5271196.86</v>
      </c>
      <c r="J456" s="18" t="n">
        <v>0</v>
      </c>
      <c r="K456" s="18" t="n"/>
      <c r="L456" s="18" t="n"/>
      <c r="M456" s="18" t="n">
        <v>0</v>
      </c>
      <c r="N456" s="18" t="n"/>
      <c r="O456" s="18" t="n">
        <v>0</v>
      </c>
      <c r="P456" s="18" t="n"/>
      <c r="Q456" s="18" t="n"/>
      <c r="R456" s="18" t="n"/>
      <c r="S456" s="18" t="n"/>
      <c r="T456" s="191" t="n"/>
    </row>
    <row outlineLevel="0" r="457">
      <c r="A457" s="331" t="n">
        <f aca="false" ca="false" dt2D="false" dtr="false" t="normal">+A456+1</f>
        <v>440</v>
      </c>
      <c r="B457" s="6" t="n">
        <v>225</v>
      </c>
      <c r="C457" s="138" t="s">
        <v>93</v>
      </c>
      <c r="D457" s="138" t="s">
        <v>99</v>
      </c>
      <c r="E457" s="203" t="n">
        <f aca="false" ca="true" dt2D="false" dtr="false" t="normal">SUBTOTAL(9, F457:T457)</f>
        <v>18000110.39</v>
      </c>
      <c r="F457" s="17" t="n"/>
      <c r="G457" s="17" t="n"/>
      <c r="H457" s="17" t="n"/>
      <c r="I457" s="17" t="n"/>
      <c r="J457" s="17" t="n"/>
      <c r="K457" s="17" t="n"/>
      <c r="L457" s="17" t="n"/>
      <c r="M457" s="17" t="n">
        <v>16975058.39</v>
      </c>
      <c r="N457" s="17" t="n"/>
      <c r="O457" s="17" t="n"/>
      <c r="P457" s="17" t="n"/>
      <c r="Q457" s="18" t="n"/>
      <c r="R457" s="18" t="n">
        <v>768789</v>
      </c>
      <c r="S457" s="18" t="n">
        <v>256263</v>
      </c>
      <c r="T457" s="191" t="n"/>
    </row>
    <row outlineLevel="0" r="458">
      <c r="A458" s="331" t="n">
        <f aca="false" ca="false" dt2D="false" dtr="false" t="normal">+A457+1</f>
        <v>441</v>
      </c>
      <c r="B458" s="6" t="n">
        <v>226</v>
      </c>
      <c r="C458" s="138" t="s">
        <v>93</v>
      </c>
      <c r="D458" s="6" t="s">
        <v>101</v>
      </c>
      <c r="E458" s="27" t="n">
        <f aca="false" ca="true" dt2D="false" dtr="false" t="normal">SUBTOTAL(9, F458:T458)</f>
        <v>13923869.55</v>
      </c>
      <c r="F458" s="18" t="n">
        <v>6125064</v>
      </c>
      <c r="G458" s="18" t="n">
        <v>2367725.57</v>
      </c>
      <c r="H458" s="18" t="n"/>
      <c r="I458" s="18" t="n"/>
      <c r="J458" s="18" t="n">
        <v>0</v>
      </c>
      <c r="K458" s="18" t="n"/>
      <c r="L458" s="18" t="n"/>
      <c r="M458" s="18" t="n">
        <v>0</v>
      </c>
      <c r="N458" s="18" t="n">
        <v>5431079.98</v>
      </c>
      <c r="O458" s="18" t="n">
        <v>0</v>
      </c>
      <c r="P458" s="18" t="n">
        <v>0</v>
      </c>
      <c r="Q458" s="18" t="n">
        <v>0</v>
      </c>
      <c r="R458" s="18" t="n"/>
      <c r="S458" s="18" t="n"/>
      <c r="T458" s="191" t="n"/>
    </row>
    <row outlineLevel="0" r="459">
      <c r="A459" s="331" t="n">
        <f aca="false" ca="false" dt2D="false" dtr="false" t="normal">+A458+1</f>
        <v>442</v>
      </c>
      <c r="B459" s="6" t="s">
        <v>76</v>
      </c>
      <c r="C459" s="138" t="s">
        <v>93</v>
      </c>
      <c r="D459" s="6" t="s">
        <v>103</v>
      </c>
      <c r="E459" s="27" t="n">
        <f aca="false" ca="true" dt2D="false" dtr="false" t="normal">SUBTOTAL(9, F459:T459)</f>
        <v>2593578.3</v>
      </c>
      <c r="F459" s="18" t="n"/>
      <c r="G459" s="18" t="n"/>
      <c r="H459" s="18" t="n"/>
      <c r="I459" s="18" t="n"/>
      <c r="J459" s="18" t="n">
        <v>0</v>
      </c>
      <c r="K459" s="18" t="n"/>
      <c r="L459" s="18" t="n"/>
      <c r="M459" s="18" t="n">
        <v>0</v>
      </c>
      <c r="N459" s="18" t="n">
        <v>2593578.3</v>
      </c>
      <c r="O459" s="18" t="n">
        <v>0</v>
      </c>
      <c r="P459" s="18" t="n">
        <v>0</v>
      </c>
      <c r="Q459" s="18" t="n"/>
      <c r="R459" s="18" t="n"/>
      <c r="S459" s="18" t="n"/>
      <c r="T459" s="191" t="n"/>
    </row>
    <row outlineLevel="0" r="460">
      <c r="A460" s="331" t="n">
        <f aca="false" ca="false" dt2D="false" dtr="false" t="normal">+A459+1</f>
        <v>443</v>
      </c>
      <c r="B460" s="6" t="s">
        <v>76</v>
      </c>
      <c r="C460" s="138" t="s">
        <v>93</v>
      </c>
      <c r="D460" s="6" t="s">
        <v>106</v>
      </c>
      <c r="E460" s="27" t="n">
        <f aca="false" ca="true" dt2D="false" dtr="false" t="normal">SUBTOTAL(9, F460:T460)</f>
        <v>10877868</v>
      </c>
      <c r="F460" s="18" t="n">
        <v>5809151.59</v>
      </c>
      <c r="G460" s="18" t="n">
        <v>5068716.41</v>
      </c>
      <c r="H460" s="18" t="n"/>
      <c r="I460" s="18" t="n"/>
      <c r="J460" s="18" t="n"/>
      <c r="K460" s="18" t="n"/>
      <c r="L460" s="18" t="n"/>
      <c r="M460" s="18" t="n">
        <v>0</v>
      </c>
      <c r="N460" s="18" t="n"/>
      <c r="O460" s="18" t="n">
        <v>0</v>
      </c>
      <c r="P460" s="18" t="n"/>
      <c r="R460" s="18" t="n"/>
      <c r="S460" s="18" t="n"/>
      <c r="T460" s="191" t="n"/>
    </row>
    <row outlineLevel="0" r="461">
      <c r="A461" s="331" t="n">
        <f aca="false" ca="false" dt2D="false" dtr="false" t="normal">+A460+1</f>
        <v>444</v>
      </c>
      <c r="B461" s="6" t="n">
        <v>227</v>
      </c>
      <c r="C461" s="138" t="s">
        <v>93</v>
      </c>
      <c r="D461" s="6" t="s">
        <v>107</v>
      </c>
      <c r="E461" s="27" t="n">
        <f aca="false" ca="true" dt2D="false" dtr="false" t="normal">SUBTOTAL(9, F461:T461)</f>
        <v>13595928.31</v>
      </c>
      <c r="F461" s="18" t="n"/>
      <c r="G461" s="18" t="n"/>
      <c r="H461" s="18" t="n"/>
      <c r="I461" s="18" t="n"/>
      <c r="J461" s="18" t="n"/>
      <c r="K461" s="18" t="n"/>
      <c r="L461" s="18" t="n"/>
      <c r="M461" s="18" t="n"/>
      <c r="N461" s="18" t="n">
        <v>0</v>
      </c>
      <c r="O461" s="18" t="n">
        <v>0</v>
      </c>
      <c r="P461" s="18" t="n">
        <v>13459169.38</v>
      </c>
      <c r="Q461" s="18" t="n"/>
      <c r="R461" s="18" t="n"/>
      <c r="S461" s="18" t="n"/>
      <c r="T461" s="191" t="n">
        <v>136758.93</v>
      </c>
    </row>
    <row outlineLevel="0" r="462">
      <c r="A462" s="331" t="n">
        <f aca="false" ca="false" dt2D="false" dtr="false" t="normal">+A461+1</f>
        <v>445</v>
      </c>
      <c r="B462" s="6" t="n">
        <v>228</v>
      </c>
      <c r="C462" s="138" t="s">
        <v>93</v>
      </c>
      <c r="D462" s="6" t="s">
        <v>109</v>
      </c>
      <c r="E462" s="27" t="n">
        <f aca="false" ca="true" dt2D="false" dtr="false" t="normal">SUBTOTAL(9, F462:T462)</f>
        <v>11006074.42</v>
      </c>
      <c r="F462" s="18" t="n">
        <v>11006074.42</v>
      </c>
      <c r="G462" s="18" t="n"/>
      <c r="H462" s="18" t="n"/>
      <c r="I462" s="18" t="n"/>
      <c r="J462" s="18" t="n">
        <v>0</v>
      </c>
      <c r="K462" s="18" t="n"/>
      <c r="L462" s="18" t="n"/>
      <c r="M462" s="18" t="n">
        <v>0</v>
      </c>
      <c r="N462" s="18" t="n">
        <v>0</v>
      </c>
      <c r="O462" s="18" t="n">
        <v>0</v>
      </c>
      <c r="P462" s="18" t="n">
        <v>0</v>
      </c>
      <c r="Q462" s="18" t="n">
        <v>0</v>
      </c>
      <c r="R462" s="18" t="n"/>
      <c r="S462" s="18" t="n"/>
      <c r="T462" s="191" t="n"/>
    </row>
    <row outlineLevel="0" r="463">
      <c r="A463" s="331" t="n">
        <f aca="false" ca="false" dt2D="false" dtr="false" t="normal">+A462+1</f>
        <v>446</v>
      </c>
      <c r="B463" s="6" t="s">
        <v>76</v>
      </c>
      <c r="C463" s="138" t="s">
        <v>93</v>
      </c>
      <c r="D463" s="6" t="s">
        <v>112</v>
      </c>
      <c r="E463" s="27" t="n">
        <f aca="false" ca="true" dt2D="false" dtr="false" t="normal">SUBTOTAL(9, F463:T463)</f>
        <v>9324892.68</v>
      </c>
      <c r="F463" s="18" t="n"/>
      <c r="G463" s="18" t="n"/>
      <c r="H463" s="18" t="n"/>
      <c r="I463" s="18" t="n"/>
      <c r="J463" s="18" t="n"/>
      <c r="K463" s="18" t="n"/>
      <c r="L463" s="18" t="n"/>
      <c r="M463" s="18" t="n">
        <v>0</v>
      </c>
      <c r="N463" s="18" t="n">
        <v>0</v>
      </c>
      <c r="O463" s="18" t="n">
        <v>0</v>
      </c>
      <c r="P463" s="18" t="n">
        <v>9226685.78</v>
      </c>
      <c r="Q463" s="18" t="n"/>
      <c r="R463" s="18" t="n"/>
      <c r="S463" s="18" t="n"/>
      <c r="T463" s="191" t="n">
        <v>98206.9</v>
      </c>
    </row>
    <row outlineLevel="0" r="464">
      <c r="A464" s="331" t="n">
        <f aca="false" ca="false" dt2D="false" dtr="false" t="normal">+A463+1</f>
        <v>447</v>
      </c>
      <c r="B464" s="6" t="s">
        <v>76</v>
      </c>
      <c r="C464" s="138" t="s">
        <v>114</v>
      </c>
      <c r="D464" s="6" t="s">
        <v>115</v>
      </c>
      <c r="E464" s="27" t="n">
        <f aca="false" ca="true" dt2D="false" dtr="false" t="normal">SUBTOTAL(9, F464:T464)</f>
        <v>17830898.72</v>
      </c>
      <c r="F464" s="18" t="n">
        <v>13314058.64</v>
      </c>
      <c r="G464" s="18" t="n">
        <v>4516840.08</v>
      </c>
      <c r="H464" s="18" t="n">
        <v>0</v>
      </c>
      <c r="I464" s="18" t="n">
        <v>0</v>
      </c>
      <c r="J464" s="18" t="n">
        <v>0</v>
      </c>
      <c r="K464" s="18" t="n"/>
      <c r="L464" s="18" t="n"/>
      <c r="M464" s="18" t="n">
        <v>0</v>
      </c>
      <c r="N464" s="18" t="n"/>
      <c r="O464" s="18" t="n">
        <v>0</v>
      </c>
      <c r="P464" s="18" t="n">
        <v>0</v>
      </c>
      <c r="Q464" s="18" t="n">
        <v>0</v>
      </c>
      <c r="R464" s="18" t="n"/>
      <c r="S464" s="18" t="n"/>
      <c r="T464" s="191" t="n"/>
    </row>
    <row outlineLevel="0" r="465">
      <c r="A465" s="331" t="n">
        <f aca="false" ca="false" dt2D="false" dtr="false" t="normal">+A464+1</f>
        <v>448</v>
      </c>
      <c r="B465" s="6" t="n">
        <v>229</v>
      </c>
      <c r="C465" s="138" t="s">
        <v>114</v>
      </c>
      <c r="D465" s="6" t="s">
        <v>117</v>
      </c>
      <c r="E465" s="27" t="n">
        <f aca="false" ca="true" dt2D="false" dtr="false" t="normal">SUBTOTAL(9, F465:T465)</f>
        <v>14344128.08</v>
      </c>
      <c r="F465" s="18" t="n">
        <v>10307046.52</v>
      </c>
      <c r="G465" s="18" t="n">
        <v>4037081.56</v>
      </c>
      <c r="H465" s="18" t="n">
        <v>0</v>
      </c>
      <c r="I465" s="18" t="n">
        <v>0</v>
      </c>
      <c r="J465" s="18" t="n">
        <v>0</v>
      </c>
      <c r="K465" s="18" t="n"/>
      <c r="L465" s="18" t="n"/>
      <c r="M465" s="18" t="n">
        <v>0</v>
      </c>
      <c r="N465" s="18" t="n"/>
      <c r="O465" s="18" t="n">
        <v>0</v>
      </c>
      <c r="P465" s="18" t="n">
        <v>0</v>
      </c>
      <c r="Q465" s="18" t="n">
        <v>0</v>
      </c>
      <c r="R465" s="18" t="n"/>
      <c r="S465" s="18" t="n"/>
      <c r="T465" s="191" t="n"/>
    </row>
    <row outlineLevel="0" r="466">
      <c r="A466" s="331" t="n">
        <f aca="false" ca="false" dt2D="false" dtr="false" t="normal">+A465+1</f>
        <v>449</v>
      </c>
      <c r="B466" s="6" t="n">
        <f aca="false" ca="false" dt2D="false" dtr="false" t="normal">+B465+1</f>
        <v>230</v>
      </c>
      <c r="C466" s="138" t="s">
        <v>119</v>
      </c>
      <c r="D466" s="138" t="s">
        <v>120</v>
      </c>
      <c r="E466" s="27" t="n">
        <f aca="false" ca="true" dt2D="false" dtr="false" t="normal">SUBTOTAL(9, F466:T466)</f>
        <v>366422.22</v>
      </c>
      <c r="F466" s="17" t="n"/>
      <c r="G466" s="18" t="n"/>
      <c r="H466" s="18" t="n"/>
      <c r="I466" s="18" t="n">
        <v>366422.22</v>
      </c>
      <c r="J466" s="18" t="n">
        <v>0</v>
      </c>
      <c r="K466" s="18" t="n"/>
      <c r="L466" s="18" t="n"/>
      <c r="M466" s="18" t="n">
        <v>0</v>
      </c>
      <c r="N466" s="18" t="n"/>
      <c r="O466" s="18" t="n"/>
      <c r="P466" s="18" t="n"/>
      <c r="Q466" s="18" t="n"/>
      <c r="R466" s="18" t="n"/>
      <c r="S466" s="18" t="n"/>
      <c r="T466" s="191" t="n"/>
    </row>
    <row outlineLevel="0" r="467">
      <c r="A467" s="331" t="n">
        <f aca="false" ca="false" dt2D="false" dtr="false" t="normal">+A466+1</f>
        <v>450</v>
      </c>
      <c r="B467" s="6" t="n">
        <f aca="false" ca="false" dt2D="false" dtr="false" t="normal">+B466+1</f>
        <v>231</v>
      </c>
      <c r="C467" s="138" t="s">
        <v>119</v>
      </c>
      <c r="D467" s="138" t="s">
        <v>121</v>
      </c>
      <c r="E467" s="27" t="n">
        <f aca="false" ca="true" dt2D="false" dtr="false" t="normal">SUBTOTAL(9, F467:T467)</f>
        <v>3803871.23</v>
      </c>
      <c r="F467" s="17" t="n">
        <v>0</v>
      </c>
      <c r="G467" s="18" t="n">
        <v>0</v>
      </c>
      <c r="H467" s="18" t="n"/>
      <c r="I467" s="18" t="n"/>
      <c r="J467" s="18" t="n">
        <v>0</v>
      </c>
      <c r="K467" s="18" t="n"/>
      <c r="L467" s="18" t="n"/>
      <c r="M467" s="18" t="n">
        <v>0</v>
      </c>
      <c r="N467" s="18" t="n">
        <v>3803871.23</v>
      </c>
      <c r="O467" s="18" t="n">
        <v>0</v>
      </c>
      <c r="P467" s="18" t="n">
        <v>0</v>
      </c>
      <c r="Q467" s="18" t="n"/>
      <c r="R467" s="18" t="n"/>
      <c r="S467" s="18" t="n"/>
      <c r="T467" s="191" t="n"/>
    </row>
    <row outlineLevel="0" r="468">
      <c r="A468" s="331" t="n">
        <f aca="false" ca="false" dt2D="false" dtr="false" t="normal">+A467+1</f>
        <v>451</v>
      </c>
      <c r="B468" s="6" t="n">
        <f aca="false" ca="false" dt2D="false" dtr="false" t="normal">+B467+1</f>
        <v>232</v>
      </c>
      <c r="C468" s="138" t="s">
        <v>119</v>
      </c>
      <c r="D468" s="138" t="s">
        <v>123</v>
      </c>
      <c r="E468" s="27" t="n">
        <f aca="false" ca="true" dt2D="false" dtr="false" t="normal">SUBTOTAL(9, F468:T468)</f>
        <v>4188288.59</v>
      </c>
      <c r="F468" s="17" t="n">
        <v>0</v>
      </c>
      <c r="G468" s="18" t="n">
        <v>0</v>
      </c>
      <c r="H468" s="18" t="n"/>
      <c r="I468" s="18" t="n">
        <v>1099685.39</v>
      </c>
      <c r="J468" s="18" t="n">
        <v>0</v>
      </c>
      <c r="K468" s="18" t="n"/>
      <c r="L468" s="18" t="n"/>
      <c r="M468" s="18" t="n">
        <v>0</v>
      </c>
      <c r="N468" s="18" t="n">
        <v>3088603.2</v>
      </c>
      <c r="O468" s="18" t="n">
        <v>0</v>
      </c>
      <c r="P468" s="18" t="n"/>
      <c r="Q468" s="18" t="n"/>
      <c r="R468" s="18" t="n"/>
      <c r="S468" s="18" t="n"/>
      <c r="T468" s="191" t="n"/>
    </row>
    <row outlineLevel="0" r="469">
      <c r="A469" s="331" t="n">
        <f aca="false" ca="false" dt2D="false" dtr="false" t="normal">+A468+1</f>
        <v>452</v>
      </c>
      <c r="B469" s="6" t="n">
        <f aca="false" ca="false" dt2D="false" dtr="false" t="normal">+B468+1</f>
        <v>233</v>
      </c>
      <c r="C469" s="138" t="s">
        <v>119</v>
      </c>
      <c r="D469" s="138" t="s">
        <v>125</v>
      </c>
      <c r="E469" s="27" t="n">
        <f aca="false" ca="true" dt2D="false" dtr="false" t="normal">SUBTOTAL(9, F469:T469)</f>
        <v>4320197.02</v>
      </c>
      <c r="F469" s="17" t="n"/>
      <c r="G469" s="18" t="n"/>
      <c r="H469" s="18" t="n"/>
      <c r="I469" s="18" t="n"/>
      <c r="J469" s="18" t="n"/>
      <c r="K469" s="18" t="n"/>
      <c r="L469" s="18" t="n"/>
      <c r="M469" s="18" t="n"/>
      <c r="N469" s="18" t="n"/>
      <c r="O469" s="18" t="n"/>
      <c r="P469" s="18" t="n"/>
      <c r="Q469" s="18" t="n">
        <v>4320197.02</v>
      </c>
      <c r="R469" s="18" t="n"/>
      <c r="S469" s="18" t="n"/>
      <c r="T469" s="191" t="n"/>
    </row>
    <row outlineLevel="0" r="470">
      <c r="A470" s="331" t="n">
        <f aca="false" ca="false" dt2D="false" dtr="false" t="normal">+A469+1</f>
        <v>453</v>
      </c>
      <c r="B470" s="6" t="n">
        <f aca="false" ca="false" dt2D="false" dtr="false" t="normal">+B469+1</f>
        <v>234</v>
      </c>
      <c r="C470" s="138" t="s">
        <v>119</v>
      </c>
      <c r="D470" s="138" t="s">
        <v>127</v>
      </c>
      <c r="E470" s="27" t="n">
        <f aca="false" ca="true" dt2D="false" dtr="false" t="normal">SUBTOTAL(9, F470:T470)</f>
        <v>3298923.58</v>
      </c>
      <c r="F470" s="17" t="n"/>
      <c r="G470" s="18" t="n"/>
      <c r="H470" s="18" t="n"/>
      <c r="I470" s="18" t="n">
        <v>0</v>
      </c>
      <c r="J470" s="18" t="n">
        <v>0</v>
      </c>
      <c r="K470" s="18" t="n"/>
      <c r="L470" s="18" t="n"/>
      <c r="M470" s="18" t="n">
        <v>0</v>
      </c>
      <c r="N470" s="18" t="n">
        <v>0</v>
      </c>
      <c r="O470" s="18" t="n">
        <v>0</v>
      </c>
      <c r="P470" s="18" t="n">
        <v>0</v>
      </c>
      <c r="Q470" s="18" t="n">
        <v>3298923.58</v>
      </c>
      <c r="R470" s="18" t="n"/>
      <c r="S470" s="18" t="n"/>
      <c r="T470" s="191" t="n"/>
    </row>
    <row outlineLevel="0" r="471">
      <c r="A471" s="331" t="n">
        <f aca="false" ca="false" dt2D="false" dtr="false" t="normal">+A470+1</f>
        <v>454</v>
      </c>
      <c r="B471" s="6" t="n">
        <f aca="false" ca="false" dt2D="false" dtr="false" t="normal">+B470+1</f>
        <v>235</v>
      </c>
      <c r="C471" s="138" t="s">
        <v>119</v>
      </c>
      <c r="D471" s="138" t="s">
        <v>129</v>
      </c>
      <c r="E471" s="27" t="n">
        <f aca="false" ca="true" dt2D="false" dtr="false" t="normal">SUBTOTAL(9, F471:T471)</f>
        <v>3158936.6999999997</v>
      </c>
      <c r="F471" s="17" t="n"/>
      <c r="G471" s="18" t="n"/>
      <c r="H471" s="18" t="n"/>
      <c r="I471" s="18" t="n">
        <v>316550.13</v>
      </c>
      <c r="J471" s="18" t="n">
        <v>0</v>
      </c>
      <c r="K471" s="18" t="n"/>
      <c r="L471" s="18" t="n"/>
      <c r="M471" s="18" t="n">
        <v>0</v>
      </c>
      <c r="N471" s="18" t="n">
        <v>0</v>
      </c>
      <c r="O471" s="18" t="n">
        <v>0</v>
      </c>
      <c r="P471" s="18" t="n">
        <v>0</v>
      </c>
      <c r="Q471" s="18" t="n">
        <v>2842386.57</v>
      </c>
      <c r="R471" s="18" t="n"/>
      <c r="S471" s="18" t="n"/>
      <c r="T471" s="191" t="n"/>
    </row>
    <row outlineLevel="0" r="472">
      <c r="A472" s="331" t="n">
        <f aca="false" ca="false" dt2D="false" dtr="false" t="normal">+A471+1</f>
        <v>455</v>
      </c>
      <c r="B472" s="6" t="n">
        <f aca="false" ca="false" dt2D="false" dtr="false" t="normal">+B471+1</f>
        <v>236</v>
      </c>
      <c r="C472" s="138" t="s">
        <v>119</v>
      </c>
      <c r="D472" s="138" t="s">
        <v>131</v>
      </c>
      <c r="E472" s="27" t="n">
        <f aca="false" ca="true" dt2D="false" dtr="false" t="normal">SUBTOTAL(9, F472:T472)</f>
        <v>5454094.26</v>
      </c>
      <c r="F472" s="17" t="n">
        <v>0</v>
      </c>
      <c r="G472" s="18" t="n">
        <v>0</v>
      </c>
      <c r="H472" s="18" t="n">
        <v>0</v>
      </c>
      <c r="I472" s="18" t="n">
        <v>0</v>
      </c>
      <c r="J472" s="18" t="n">
        <v>0</v>
      </c>
      <c r="K472" s="18" t="n"/>
      <c r="L472" s="18" t="n"/>
      <c r="M472" s="18" t="n">
        <v>0</v>
      </c>
      <c r="N472" s="18" t="n">
        <v>0</v>
      </c>
      <c r="O472" s="18" t="n">
        <v>0</v>
      </c>
      <c r="P472" s="18" t="n">
        <v>5454094.26</v>
      </c>
      <c r="Q472" s="18" t="n"/>
      <c r="R472" s="18" t="n"/>
      <c r="S472" s="18" t="n"/>
      <c r="T472" s="191" t="n"/>
    </row>
    <row outlineLevel="0" r="473">
      <c r="A473" s="331" t="n">
        <f aca="false" ca="false" dt2D="false" dtr="false" t="normal">+A472+1</f>
        <v>456</v>
      </c>
      <c r="B473" s="6" t="n">
        <f aca="false" ca="false" dt2D="false" dtr="false" t="normal">+B472+1</f>
        <v>237</v>
      </c>
      <c r="C473" s="138" t="s">
        <v>133</v>
      </c>
      <c r="D473" s="6" t="s">
        <v>134</v>
      </c>
      <c r="E473" s="27" t="n">
        <f aca="false" ca="true" dt2D="false" dtr="false" t="normal">SUBTOTAL(9, F473:T473)</f>
        <v>5770612.33</v>
      </c>
      <c r="F473" s="18" t="n"/>
      <c r="G473" s="18" t="n"/>
      <c r="H473" s="18" t="n">
        <v>0</v>
      </c>
      <c r="I473" s="18" t="n">
        <v>0</v>
      </c>
      <c r="J473" s="18" t="n">
        <v>0</v>
      </c>
      <c r="K473" s="18" t="n"/>
      <c r="L473" s="18" t="n"/>
      <c r="M473" s="18" t="n">
        <v>0</v>
      </c>
      <c r="N473" s="18" t="n">
        <v>5770612.33</v>
      </c>
      <c r="O473" s="18" t="n">
        <v>0</v>
      </c>
      <c r="P473" s="18" t="n">
        <v>0</v>
      </c>
      <c r="Q473" s="18" t="n">
        <v>0</v>
      </c>
      <c r="R473" s="18" t="n"/>
      <c r="S473" s="18" t="n"/>
      <c r="T473" s="191" t="n"/>
    </row>
    <row outlineLevel="0" r="474">
      <c r="A474" s="331" t="n">
        <f aca="false" ca="false" dt2D="false" dtr="false" t="normal">+A473+1</f>
        <v>457</v>
      </c>
      <c r="B474" s="6" t="n">
        <f aca="false" ca="false" dt2D="false" dtr="false" t="normal">+B473+1</f>
        <v>238</v>
      </c>
      <c r="C474" s="138" t="s">
        <v>133</v>
      </c>
      <c r="D474" s="6" t="s">
        <v>136</v>
      </c>
      <c r="E474" s="27" t="n">
        <f aca="false" ca="true" dt2D="false" dtr="false" t="normal">SUBTOTAL(9, F474:T474)</f>
        <v>7256814.72</v>
      </c>
      <c r="F474" s="18" t="n">
        <v>0</v>
      </c>
      <c r="G474" s="18" t="n">
        <v>0</v>
      </c>
      <c r="H474" s="18" t="n">
        <v>0</v>
      </c>
      <c r="I474" s="18" t="n">
        <v>0</v>
      </c>
      <c r="J474" s="18" t="n">
        <v>0</v>
      </c>
      <c r="K474" s="18" t="n"/>
      <c r="L474" s="18" t="n"/>
      <c r="M474" s="18" t="n">
        <v>0</v>
      </c>
      <c r="N474" s="18" t="n">
        <v>7256814.72</v>
      </c>
      <c r="O474" s="18" t="n">
        <v>0</v>
      </c>
      <c r="P474" s="18" t="n"/>
      <c r="Q474" s="18" t="n">
        <v>0</v>
      </c>
      <c r="R474" s="18" t="n"/>
      <c r="S474" s="18" t="n"/>
      <c r="T474" s="191" t="n"/>
    </row>
    <row outlineLevel="0" r="475">
      <c r="A475" s="331" t="n">
        <f aca="false" ca="false" dt2D="false" dtr="false" t="normal">+A474+1</f>
        <v>458</v>
      </c>
      <c r="B475" s="6" t="n">
        <f aca="false" ca="false" dt2D="false" dtr="false" t="normal">+B474+1</f>
        <v>239</v>
      </c>
      <c r="C475" s="138" t="s">
        <v>138</v>
      </c>
      <c r="D475" s="138" t="s">
        <v>139</v>
      </c>
      <c r="E475" s="27" t="n">
        <f aca="false" ca="true" dt2D="false" dtr="false" t="normal">SUBTOTAL(9, F475:T475)</f>
        <v>6397046.15</v>
      </c>
      <c r="F475" s="17" t="n">
        <v>0</v>
      </c>
      <c r="G475" s="18" t="n">
        <v>0</v>
      </c>
      <c r="H475" s="18" t="n">
        <v>0</v>
      </c>
      <c r="I475" s="18" t="n">
        <v>0</v>
      </c>
      <c r="J475" s="18" t="n">
        <v>0</v>
      </c>
      <c r="K475" s="18" t="n"/>
      <c r="L475" s="18" t="n"/>
      <c r="M475" s="18" t="n">
        <v>0</v>
      </c>
      <c r="N475" s="18" t="n">
        <v>0</v>
      </c>
      <c r="O475" s="18" t="n">
        <v>0</v>
      </c>
      <c r="P475" s="18" t="n">
        <v>0</v>
      </c>
      <c r="Q475" s="18" t="n">
        <v>6397046.15</v>
      </c>
      <c r="R475" s="18" t="n"/>
      <c r="S475" s="18" t="n"/>
      <c r="T475" s="191" t="n"/>
    </row>
    <row outlineLevel="0" r="476">
      <c r="A476" s="331" t="n">
        <f aca="false" ca="false" dt2D="false" dtr="false" t="normal">+A475+1</f>
        <v>459</v>
      </c>
      <c r="B476" s="6" t="n">
        <f aca="false" ca="false" dt2D="false" dtr="false" t="normal">+B475+1</f>
        <v>240</v>
      </c>
      <c r="C476" s="138" t="s">
        <v>141</v>
      </c>
      <c r="D476" s="6" t="s">
        <v>142</v>
      </c>
      <c r="E476" s="27" t="n">
        <f aca="false" ca="true" dt2D="false" dtr="false" t="normal">SUBTOTAL(9, F476:T476)</f>
        <v>9357328.82</v>
      </c>
      <c r="F476" s="18" t="n">
        <v>0</v>
      </c>
      <c r="G476" s="18" t="n">
        <v>0</v>
      </c>
      <c r="H476" s="18" t="n">
        <v>0</v>
      </c>
      <c r="I476" s="18" t="n">
        <v>0</v>
      </c>
      <c r="J476" s="18" t="n">
        <v>0</v>
      </c>
      <c r="K476" s="18" t="n"/>
      <c r="L476" s="18" t="n"/>
      <c r="M476" s="18" t="n">
        <v>0</v>
      </c>
      <c r="N476" s="18" t="n">
        <v>0</v>
      </c>
      <c r="O476" s="18" t="n">
        <v>0</v>
      </c>
      <c r="P476" s="18" t="n">
        <v>7030996.8</v>
      </c>
      <c r="Q476" s="18" t="n">
        <v>2326332.02</v>
      </c>
      <c r="R476" s="18" t="n"/>
      <c r="S476" s="18" t="n"/>
      <c r="T476" s="191" t="n"/>
    </row>
    <row customFormat="true" customHeight="true" ht="21" outlineLevel="0" r="477" s="166">
      <c r="A477" s="336" t="n"/>
      <c r="B477" s="337" t="n"/>
      <c r="C477" s="337" t="n"/>
      <c r="D477" s="338" t="n">
        <v>2024</v>
      </c>
      <c r="E477" s="170" t="n">
        <f aca="false" ca="false" dt2D="false" dtr="false" t="normal">E700+E478+E703+E823+E843</f>
        <v>2851662785.2433095</v>
      </c>
      <c r="F477" s="170" t="n">
        <f aca="false" ca="false" dt2D="false" dtr="false" t="normal">F700+F478+F703+F823+F843</f>
        <v>320078726.45000005</v>
      </c>
      <c r="G477" s="170" t="n">
        <f aca="false" ca="false" dt2D="false" dtr="false" t="normal">G700+G478+G703+G823+G843</f>
        <v>99809123.87000002</v>
      </c>
      <c r="H477" s="170" t="n">
        <f aca="false" ca="false" dt2D="false" dtr="false" t="normal">H700+H478+H703+H823+H843</f>
        <v>161394707.37</v>
      </c>
      <c r="I477" s="170" t="n">
        <f aca="false" ca="false" dt2D="false" dtr="false" t="normal">I700+I478+I703+I823+I843</f>
        <v>87586604.60000001</v>
      </c>
      <c r="J477" s="170" t="n">
        <f aca="false" ca="false" dt2D="false" dtr="false" t="normal">J700+J478+J703+J823+J843</f>
        <v>27454928.64</v>
      </c>
      <c r="K477" s="170" t="n">
        <f aca="false" ca="false" dt2D="false" dtr="false" t="normal">K700+K478+K703+K823+K843</f>
        <v>0</v>
      </c>
      <c r="L477" s="170" t="n">
        <f aca="false" ca="false" dt2D="false" dtr="false" t="normal">L700+L478+L703+L823+L843</f>
        <v>0</v>
      </c>
      <c r="M477" s="170" t="n">
        <f aca="false" ca="false" dt2D="false" dtr="false" t="normal">M700+M478+M703+M823+M843</f>
        <v>154708049.24999997</v>
      </c>
      <c r="N477" s="170" t="n">
        <f aca="false" ca="false" dt2D="false" dtr="false" t="normal">N700+N478+N703+N823+N843</f>
        <v>254899845.59</v>
      </c>
      <c r="O477" s="170" t="n">
        <f aca="false" ca="false" dt2D="false" dtr="false" t="normal">O700+O478+O703+O823+O843</f>
        <v>51527289.78</v>
      </c>
      <c r="P477" s="170" t="n">
        <f aca="false" ca="false" dt2D="false" dtr="false" t="normal">P700+P478+P703+P823+P843</f>
        <v>836145249.61</v>
      </c>
      <c r="Q477" s="170" t="n">
        <f aca="false" ca="false" dt2D="false" dtr="false" t="normal">Q700+Q478+Q703+Q823+Q843</f>
        <v>76339918.75000001</v>
      </c>
      <c r="R477" s="170" t="n">
        <f aca="false" ca="false" dt2D="false" dtr="false" t="normal">R700+R478+R703+R823+R843</f>
        <v>5304157.27</v>
      </c>
      <c r="S477" s="170" t="n">
        <f aca="false" ca="false" dt2D="false" dtr="false" t="normal">S700+S478+S703+S823+S843</f>
        <v>1563133.49</v>
      </c>
      <c r="T477" s="170" t="n">
        <f aca="false" ca="false" dt2D="false" dtr="false" t="normal">T700+T478+T703+T823+T843</f>
        <v>1725560.1100000003</v>
      </c>
      <c r="U477" s="1" t="n"/>
      <c r="V477" s="174" t="n">
        <f aca="false" ca="false" dt2D="false" dtr="false" t="normal">SUM(V479:V697)</f>
        <v>337</v>
      </c>
      <c r="W477" s="1" t="n"/>
      <c r="X477" s="1" t="n"/>
      <c r="Y477" s="1" t="n"/>
      <c r="Z477" s="1" t="n"/>
      <c r="AA477" s="1" t="n"/>
      <c r="AB477" s="1" t="n"/>
      <c r="AC477" s="1" t="n"/>
      <c r="AD477" s="1" t="n"/>
      <c r="AE477" s="1" t="n"/>
      <c r="AF477" s="1" t="n"/>
      <c r="AG477" s="1" t="n"/>
      <c r="AH477" s="1" t="n"/>
      <c r="AI477" s="1" t="n"/>
      <c r="AJ477" s="1" t="n"/>
      <c r="AK477" s="1" t="n"/>
      <c r="AL477" s="1" t="n"/>
      <c r="AM477" s="1" t="n"/>
      <c r="AN477" s="1" t="n"/>
      <c r="AO477" s="1" t="n"/>
      <c r="AP477" s="1" t="n"/>
      <c r="AQ477" s="1" t="n"/>
      <c r="AR477" s="1" t="n"/>
      <c r="AS477" s="1" t="n"/>
      <c r="AT477" s="1" t="n"/>
      <c r="AU477" s="1" t="n"/>
      <c r="AV477" s="1" t="n"/>
      <c r="AW477" s="1" t="n"/>
      <c r="AX477" s="1" t="n"/>
      <c r="AY477" s="1" t="n"/>
      <c r="AZ477" s="1" t="n"/>
      <c r="BA477" s="1" t="n"/>
      <c r="BB477" s="1" t="n"/>
      <c r="BC477" s="1" t="n"/>
      <c r="BD477" s="1" t="n"/>
      <c r="BE477" s="1" t="n"/>
      <c r="BF477" s="1" t="n"/>
      <c r="BG477" s="1" t="n"/>
      <c r="BH477" s="1" t="n"/>
      <c r="BI477" s="1" t="n"/>
      <c r="BJ477" s="1" t="n"/>
      <c r="BK477" s="1" t="n"/>
      <c r="BL477" s="1" t="n"/>
      <c r="BM477" s="1" t="n"/>
      <c r="BN477" s="1" t="n"/>
      <c r="BO477" s="1" t="n"/>
      <c r="BP477" s="1" t="n"/>
    </row>
    <row customFormat="true" customHeight="true" ht="21" outlineLevel="0" r="478" s="166">
      <c r="A478" s="339" t="n"/>
      <c r="B478" s="340" t="n"/>
      <c r="C478" s="340" t="n"/>
      <c r="D478" s="176" t="s">
        <v>749</v>
      </c>
      <c r="E478" s="179" t="n">
        <f aca="false" ca="false" dt2D="false" dtr="false" t="normal">SUM(E479:E699)</f>
        <v>1839828629.62</v>
      </c>
      <c r="F478" s="179" t="n">
        <f aca="false" ca="false" dt2D="false" dtr="false" t="normal">SUM(F479:F697)</f>
        <v>287951634.03000003</v>
      </c>
      <c r="G478" s="179" t="n">
        <f aca="false" ca="false" dt2D="false" dtr="false" t="normal">SUM(G479:G697)</f>
        <v>84485944.78000002</v>
      </c>
      <c r="H478" s="179" t="n">
        <f aca="false" ca="false" dt2D="false" dtr="false" t="normal">SUM(H479:H697)</f>
        <v>152642515.99</v>
      </c>
      <c r="I478" s="179" t="n">
        <f aca="false" ca="false" dt2D="false" dtr="false" t="normal">SUM(I479:I697)</f>
        <v>85378295.59</v>
      </c>
      <c r="J478" s="179" t="n">
        <f aca="false" ca="false" dt2D="false" dtr="false" t="normal">SUM(J479:J697)</f>
        <v>27454928.64</v>
      </c>
      <c r="K478" s="179" t="n">
        <f aca="false" ca="false" dt2D="false" dtr="false" t="normal">SUM(K479:K697)</f>
        <v>0</v>
      </c>
      <c r="L478" s="179" t="n">
        <f aca="false" ca="false" dt2D="false" dtr="false" t="normal">SUM(L479:L697)</f>
        <v>0</v>
      </c>
      <c r="M478" s="179" t="n">
        <f aca="false" ca="false" dt2D="false" dtr="false" t="normal">SUM(M479:M697)</f>
        <v>93382142.57999998</v>
      </c>
      <c r="N478" s="179" t="n">
        <f aca="false" ca="false" dt2D="false" dtr="false" t="normal">SUM(N479:N697)</f>
        <v>250643494.09</v>
      </c>
      <c r="O478" s="179" t="n">
        <f aca="false" ca="false" dt2D="false" dtr="false" t="normal">SUM(O479:O697)</f>
        <v>49526316.78</v>
      </c>
      <c r="P478" s="179" t="n">
        <f aca="false" ca="false" dt2D="false" dtr="false" t="normal">SUM(P479:P697)</f>
        <v>723764749.08</v>
      </c>
      <c r="Q478" s="179" t="n">
        <f aca="false" ca="false" dt2D="false" dtr="false" t="normal">SUM(Q479:Q697)</f>
        <v>76339918.75000001</v>
      </c>
      <c r="R478" s="179" t="n">
        <f aca="false" ca="false" dt2D="false" dtr="false" t="normal">SUM(R479:R697)</f>
        <v>4354572.79</v>
      </c>
      <c r="S478" s="179" t="n">
        <f aca="false" ca="false" dt2D="false" dtr="false" t="normal">SUM(S479:S697)</f>
        <v>1446986.04</v>
      </c>
      <c r="T478" s="179" t="n">
        <f aca="false" ca="false" dt2D="false" dtr="false" t="normal">SUM(T479:T697)</f>
        <v>1725560.1100000003</v>
      </c>
      <c r="U478" s="1" t="n"/>
      <c r="V478" s="183" t="n"/>
      <c r="W478" s="1" t="n"/>
      <c r="X478" s="1" t="n"/>
      <c r="Y478" s="1" t="n"/>
      <c r="Z478" s="1" t="n"/>
      <c r="AA478" s="1" t="n"/>
      <c r="AB478" s="1" t="n"/>
      <c r="AC478" s="1" t="n"/>
      <c r="AD478" s="1" t="n"/>
      <c r="AE478" s="1" t="n"/>
      <c r="AF478" s="1" t="n"/>
      <c r="AG478" s="1" t="n"/>
      <c r="AH478" s="1" t="n"/>
      <c r="AI478" s="1" t="n"/>
      <c r="AJ478" s="1" t="n"/>
      <c r="AK478" s="1" t="n"/>
      <c r="AL478" s="1" t="n"/>
      <c r="AM478" s="1" t="n"/>
      <c r="AN478" s="1" t="n"/>
      <c r="AO478" s="1" t="n"/>
      <c r="AP478" s="1" t="n"/>
      <c r="AQ478" s="1" t="n"/>
      <c r="AR478" s="1" t="n"/>
      <c r="AS478" s="1" t="n"/>
      <c r="AT478" s="1" t="n"/>
      <c r="AU478" s="1" t="n"/>
      <c r="AV478" s="1" t="n"/>
      <c r="AW478" s="1" t="n"/>
      <c r="AX478" s="1" t="n"/>
      <c r="AY478" s="1" t="n"/>
      <c r="AZ478" s="1" t="n"/>
      <c r="BA478" s="1" t="n"/>
      <c r="BB478" s="1" t="n"/>
      <c r="BC478" s="1" t="n"/>
      <c r="BD478" s="1" t="n"/>
      <c r="BE478" s="1" t="n"/>
      <c r="BF478" s="1" t="n"/>
      <c r="BG478" s="1" t="n"/>
      <c r="BH478" s="1" t="n"/>
      <c r="BI478" s="1" t="n"/>
      <c r="BJ478" s="1" t="n"/>
      <c r="BK478" s="1" t="n"/>
      <c r="BL478" s="1" t="n"/>
      <c r="BM478" s="1" t="n"/>
      <c r="BN478" s="1" t="n"/>
      <c r="BO478" s="1" t="n"/>
      <c r="BP478" s="1" t="n"/>
    </row>
    <row customFormat="true" ht="15.75" outlineLevel="0" r="479" s="184">
      <c r="A479" s="154" t="n">
        <v>460</v>
      </c>
      <c r="B479" s="138" t="n">
        <f aca="false" ca="false" dt2D="false" dtr="false" t="normal">+B477+1</f>
        <v>1</v>
      </c>
      <c r="C479" s="138" t="s">
        <v>147</v>
      </c>
      <c r="D479" s="138" t="s">
        <v>148</v>
      </c>
      <c r="E479" s="16" t="n">
        <f aca="false" ca="false" dt2D="false" dtr="false" t="normal">SUM(F479:T479)</f>
        <v>9000055.33</v>
      </c>
      <c r="F479" s="17" t="n">
        <v>0</v>
      </c>
      <c r="G479" s="17" t="n">
        <v>0</v>
      </c>
      <c r="H479" s="17" t="n">
        <v>0</v>
      </c>
      <c r="I479" s="17" t="n">
        <v>0</v>
      </c>
      <c r="J479" s="17" t="n"/>
      <c r="K479" s="17" t="n">
        <v>0</v>
      </c>
      <c r="L479" s="17" t="n"/>
      <c r="M479" s="17" t="n">
        <v>8487529.33</v>
      </c>
      <c r="N479" s="17" t="n">
        <v>0</v>
      </c>
      <c r="O479" s="17" t="n">
        <v>0</v>
      </c>
      <c r="P479" s="17" t="n">
        <v>0</v>
      </c>
      <c r="Q479" s="17" t="n">
        <v>0</v>
      </c>
      <c r="R479" s="17" t="n">
        <v>384394.5</v>
      </c>
      <c r="S479" s="17" t="n">
        <v>128131.5</v>
      </c>
      <c r="T479" s="188" t="n"/>
      <c r="V479" s="241" t="n">
        <f aca="false" ca="false" dt2D="false" dtr="false" t="normal">COUNTIF(F479:Q479, "&gt;0")</f>
        <v>1</v>
      </c>
    </row>
    <row outlineLevel="0" r="480">
      <c r="A480" s="154" t="n">
        <f aca="false" ca="false" dt2D="false" dtr="false" t="normal">A479+1</f>
        <v>461</v>
      </c>
      <c r="B480" s="138" t="n">
        <f aca="false" ca="false" dt2D="false" dtr="false" t="normal">B479+1</f>
        <v>2</v>
      </c>
      <c r="C480" s="138" t="s">
        <v>147</v>
      </c>
      <c r="D480" s="138" t="s">
        <v>153</v>
      </c>
      <c r="E480" s="16" t="n">
        <f aca="false" ca="true" dt2D="false" dtr="false" t="normal">SUBTOTAL(9, F480:T480)</f>
        <v>19801216.77</v>
      </c>
      <c r="F480" s="17" t="n">
        <v>0</v>
      </c>
      <c r="G480" s="17" t="n">
        <v>0</v>
      </c>
      <c r="H480" s="17" t="n"/>
      <c r="I480" s="17" t="n">
        <v>0</v>
      </c>
      <c r="J480" s="17" t="n">
        <v>0</v>
      </c>
      <c r="K480" s="17" t="n"/>
      <c r="L480" s="17" t="n">
        <v>0</v>
      </c>
      <c r="M480" s="17" t="n">
        <v>0</v>
      </c>
      <c r="N480" s="17" t="n">
        <v>0</v>
      </c>
      <c r="O480" s="17" t="n">
        <v>19801216.77</v>
      </c>
      <c r="P480" s="17" t="n">
        <v>0</v>
      </c>
      <c r="Q480" s="17" t="n">
        <v>0</v>
      </c>
      <c r="R480" s="17" t="n"/>
      <c r="S480" s="17" t="n"/>
      <c r="T480" s="188" t="n"/>
      <c r="V480" s="241" t="n">
        <f aca="false" ca="false" dt2D="false" dtr="false" t="normal">COUNTIF(F480:Q480, "&gt;0")</f>
        <v>1</v>
      </c>
    </row>
    <row outlineLevel="0" r="481">
      <c r="A481" s="154" t="n">
        <f aca="false" ca="false" dt2D="false" dtr="false" t="normal">A480+1</f>
        <v>462</v>
      </c>
      <c r="B481" s="138" t="n">
        <f aca="false" ca="false" dt2D="false" dtr="false" t="normal">B480+1</f>
        <v>3</v>
      </c>
      <c r="C481" s="138" t="s">
        <v>147</v>
      </c>
      <c r="D481" s="138" t="s">
        <v>155</v>
      </c>
      <c r="E481" s="16" t="n">
        <f aca="false" ca="true" dt2D="false" dtr="false" t="normal">SUBTOTAL(9, F481:T481)</f>
        <v>442006.85</v>
      </c>
      <c r="F481" s="17" t="n"/>
      <c r="H481" s="17" t="n"/>
      <c r="I481" s="17" t="n">
        <v>442006.85</v>
      </c>
      <c r="J481" s="17" t="n">
        <v>0</v>
      </c>
      <c r="K481" s="17" t="n"/>
      <c r="L481" s="17" t="n"/>
      <c r="M481" s="17" t="n">
        <v>0</v>
      </c>
      <c r="N481" s="17" t="n"/>
      <c r="O481" s="17" t="n"/>
      <c r="P481" s="17" t="n"/>
      <c r="Q481" s="17" t="n"/>
      <c r="R481" s="17" t="n"/>
      <c r="S481" s="17" t="n"/>
      <c r="T481" s="188" t="n"/>
      <c r="V481" s="241" t="n">
        <f aca="false" ca="false" dt2D="false" dtr="false" t="normal">COUNTIF(F481:Q481, "&gt;0")</f>
        <v>1</v>
      </c>
    </row>
    <row outlineLevel="0" r="482">
      <c r="A482" s="154" t="n">
        <f aca="false" ca="false" dt2D="false" dtr="false" t="normal">A481+1</f>
        <v>463</v>
      </c>
      <c r="B482" s="138" t="n">
        <f aca="false" ca="false" dt2D="false" dtr="false" t="normal">B481+1</f>
        <v>4</v>
      </c>
      <c r="C482" s="138" t="s">
        <v>147</v>
      </c>
      <c r="D482" s="138" t="s">
        <v>157</v>
      </c>
      <c r="E482" s="16" t="n">
        <f aca="false" ca="true" dt2D="false" dtr="false" t="normal">SUBTOTAL(9, F482:T482)</f>
        <v>22000784.93</v>
      </c>
      <c r="F482" s="17" t="n">
        <v>5117306.05</v>
      </c>
      <c r="G482" s="17" t="n">
        <v>0</v>
      </c>
      <c r="H482" s="17" t="n">
        <v>2956319.09</v>
      </c>
      <c r="I482" s="17" t="n">
        <v>656570.95</v>
      </c>
      <c r="J482" s="17" t="n">
        <v>0</v>
      </c>
      <c r="K482" s="17" t="n"/>
      <c r="L482" s="17" t="n"/>
      <c r="M482" s="17" t="n">
        <v>0</v>
      </c>
      <c r="N482" s="17" t="n"/>
      <c r="O482" s="17" t="n"/>
      <c r="P482" s="17" t="n">
        <v>13270588.84</v>
      </c>
      <c r="Q482" s="17" t="n">
        <v>0</v>
      </c>
      <c r="R482" s="17" t="n"/>
      <c r="S482" s="17" t="n"/>
      <c r="T482" s="188" t="n"/>
      <c r="V482" s="241" t="n">
        <f aca="false" ca="false" dt2D="false" dtr="false" t="normal">COUNTIF(F482:Q482, "&gt;0")</f>
        <v>4</v>
      </c>
    </row>
    <row outlineLevel="0" r="483">
      <c r="A483" s="154" t="n">
        <f aca="false" ca="false" dt2D="false" dtr="false" t="normal">A482+1</f>
        <v>464</v>
      </c>
      <c r="B483" s="138" t="n">
        <f aca="false" ca="false" dt2D="false" dtr="false" t="normal">B482+1</f>
        <v>5</v>
      </c>
      <c r="C483" s="138" t="s">
        <v>147</v>
      </c>
      <c r="D483" s="138" t="s">
        <v>161</v>
      </c>
      <c r="E483" s="16" t="n">
        <f aca="false" ca="true" dt2D="false" dtr="false" t="normal">SUBTOTAL(9, F483:T483)</f>
        <v>21471100.47</v>
      </c>
      <c r="F483" s="17" t="n">
        <v>4516630.92</v>
      </c>
      <c r="G483" s="17" t="n">
        <v>0</v>
      </c>
      <c r="H483" s="17" t="n">
        <v>2939342.87</v>
      </c>
      <c r="I483" s="17" t="n">
        <v>583291.01</v>
      </c>
      <c r="J483" s="17" t="n">
        <v>0</v>
      </c>
      <c r="K483" s="17" t="n"/>
      <c r="L483" s="17" t="n"/>
      <c r="M483" s="17" t="n">
        <v>0</v>
      </c>
      <c r="N483" s="17" t="n"/>
      <c r="O483" s="17" t="n"/>
      <c r="P483" s="17" t="n">
        <v>13431835.67</v>
      </c>
      <c r="Q483" s="17" t="n">
        <v>0</v>
      </c>
      <c r="R483" s="17" t="n"/>
      <c r="S483" s="17" t="n"/>
      <c r="T483" s="188" t="n"/>
      <c r="V483" s="241" t="n">
        <f aca="false" ca="false" dt2D="false" dtr="false" t="normal">COUNTIF(F483:Q483, "&gt;0")</f>
        <v>4</v>
      </c>
    </row>
    <row outlineLevel="0" r="484">
      <c r="A484" s="154" t="n">
        <f aca="false" ca="false" dt2D="false" dtr="false" t="normal">A483+1</f>
        <v>465</v>
      </c>
      <c r="B484" s="138" t="n">
        <f aca="false" ca="false" dt2D="false" dtr="false" t="normal">B483+1</f>
        <v>6</v>
      </c>
      <c r="C484" s="138" t="s">
        <v>147</v>
      </c>
      <c r="D484" s="138" t="s">
        <v>166</v>
      </c>
      <c r="E484" s="16" t="n">
        <f aca="false" ca="true" dt2D="false" dtr="false" t="normal">SUBTOTAL(9, F484:T484)</f>
        <v>12985326.37</v>
      </c>
      <c r="F484" s="17" t="n"/>
      <c r="G484" s="17" t="n"/>
      <c r="H484" s="17" t="n"/>
      <c r="I484" s="17" t="n"/>
      <c r="J484" s="17" t="n"/>
      <c r="K484" s="17" t="n"/>
      <c r="L484" s="17" t="n"/>
      <c r="M484" s="17" t="n"/>
      <c r="N484" s="17" t="n"/>
      <c r="O484" s="17" t="n"/>
      <c r="P484" s="17" t="n">
        <v>12985326.37</v>
      </c>
      <c r="Q484" s="17" t="n">
        <v>0</v>
      </c>
      <c r="R484" s="17" t="n"/>
      <c r="S484" s="17" t="n"/>
      <c r="T484" s="188" t="n"/>
      <c r="V484" s="241" t="n">
        <f aca="false" ca="false" dt2D="false" dtr="false" t="normal">COUNTIF(F484:Q484, "&gt;0")</f>
        <v>1</v>
      </c>
    </row>
    <row outlineLevel="0" r="485">
      <c r="A485" s="154" t="n">
        <f aca="false" ca="false" dt2D="false" dtr="false" t="normal">A484+1</f>
        <v>466</v>
      </c>
      <c r="B485" s="138" t="n">
        <f aca="false" ca="false" dt2D="false" dtr="false" t="normal">B484+1</f>
        <v>7</v>
      </c>
      <c r="C485" s="138" t="s">
        <v>97</v>
      </c>
      <c r="D485" s="138" t="s">
        <v>169</v>
      </c>
      <c r="E485" s="16" t="n">
        <f aca="false" ca="true" dt2D="false" dtr="false" t="normal">SUBTOTAL(9, F485:T485)</f>
        <v>10766029.58</v>
      </c>
      <c r="F485" s="17" t="n">
        <v>0</v>
      </c>
      <c r="G485" s="17" t="n">
        <v>0</v>
      </c>
      <c r="H485" s="17" t="n"/>
      <c r="I485" s="17" t="n"/>
      <c r="J485" s="17" t="n">
        <v>0</v>
      </c>
      <c r="K485" s="17" t="n"/>
      <c r="L485" s="17" t="n"/>
      <c r="M485" s="17" t="n">
        <v>0</v>
      </c>
      <c r="N485" s="17" t="n">
        <v>0</v>
      </c>
      <c r="O485" s="17" t="n"/>
      <c r="P485" s="17" t="n">
        <v>10656532.26</v>
      </c>
      <c r="Q485" s="17" t="n"/>
      <c r="R485" s="17" t="n"/>
      <c r="S485" s="17" t="n"/>
      <c r="T485" s="188" t="n">
        <v>109497.32</v>
      </c>
      <c r="U485" s="341" t="n"/>
      <c r="V485" s="241" t="n">
        <f aca="false" ca="false" dt2D="false" dtr="false" t="normal">COUNTIF(F485:Q485, "&gt;0")</f>
        <v>1</v>
      </c>
      <c r="W485" s="341" t="n"/>
      <c r="X485" s="341" t="n"/>
      <c r="Y485" s="341" t="n"/>
      <c r="Z485" s="341" t="n"/>
      <c r="AA485" s="341" t="n"/>
      <c r="AB485" s="341" t="n"/>
      <c r="AC485" s="341" t="n"/>
      <c r="AD485" s="341" t="n"/>
      <c r="AE485" s="341" t="n"/>
      <c r="AF485" s="341" t="n"/>
      <c r="AG485" s="341" t="n"/>
      <c r="AH485" s="341" t="n"/>
      <c r="AI485" s="341" t="n"/>
      <c r="AJ485" s="341" t="n"/>
      <c r="AK485" s="341" t="n"/>
      <c r="AL485" s="341" t="n"/>
      <c r="AM485" s="341" t="n"/>
      <c r="AN485" s="341" t="n"/>
      <c r="AO485" s="341" t="n"/>
      <c r="AP485" s="341" t="n"/>
      <c r="AQ485" s="341" t="n"/>
      <c r="AR485" s="341" t="n"/>
      <c r="AS485" s="341" t="n"/>
      <c r="AT485" s="341" t="n"/>
      <c r="AU485" s="341" t="n"/>
      <c r="AV485" s="341" t="n"/>
      <c r="AW485" s="341" t="n"/>
      <c r="AX485" s="341" t="n"/>
      <c r="AY485" s="341" t="n"/>
      <c r="AZ485" s="341" t="n"/>
      <c r="BA485" s="341" t="n"/>
      <c r="BB485" s="341" t="n"/>
      <c r="BC485" s="341" t="n"/>
      <c r="BD485" s="341" t="n"/>
      <c r="BE485" s="341" t="n"/>
      <c r="BF485" s="341" t="n"/>
      <c r="BG485" s="341" t="n"/>
      <c r="BH485" s="341" t="n"/>
      <c r="BI485" s="341" t="n"/>
      <c r="BJ485" s="341" t="n"/>
      <c r="BK485" s="341" t="n"/>
      <c r="BL485" s="341" t="n"/>
      <c r="BM485" s="341" t="n"/>
      <c r="BN485" s="341" t="n"/>
      <c r="BO485" s="341" t="n"/>
      <c r="BP485" s="341" t="n"/>
    </row>
    <row outlineLevel="0" r="486">
      <c r="A486" s="154" t="n">
        <f aca="false" ca="false" dt2D="false" dtr="false" t="normal">A485+1</f>
        <v>467</v>
      </c>
      <c r="B486" s="138" t="n">
        <f aca="false" ca="false" dt2D="false" dtr="false" t="normal">B485+1</f>
        <v>8</v>
      </c>
      <c r="C486" s="138" t="s">
        <v>80</v>
      </c>
      <c r="D486" s="138" t="s">
        <v>171</v>
      </c>
      <c r="E486" s="16" t="n">
        <f aca="false" ca="true" dt2D="false" dtr="false" t="normal">SUBTOTAL(9, F486:T486)</f>
        <v>17226746.4</v>
      </c>
      <c r="F486" s="17" t="n"/>
      <c r="G486" s="17" t="n"/>
      <c r="H486" s="17" t="n"/>
      <c r="I486" s="17" t="n"/>
      <c r="J486" s="17" t="n"/>
      <c r="K486" s="17" t="n"/>
      <c r="L486" s="17" t="n"/>
      <c r="M486" s="17" t="n"/>
      <c r="N486" s="17" t="n"/>
      <c r="O486" s="17" t="n"/>
      <c r="P486" s="17" t="n">
        <v>17226746.4</v>
      </c>
      <c r="Q486" s="17" t="n"/>
      <c r="R486" s="17" t="n"/>
      <c r="S486" s="17" t="n"/>
      <c r="T486" s="188" t="n"/>
      <c r="V486" s="241" t="n">
        <f aca="false" ca="false" dt2D="false" dtr="false" t="normal">COUNTIF(F486:Q486, "&gt;0")</f>
        <v>1</v>
      </c>
    </row>
    <row outlineLevel="0" r="487">
      <c r="A487" s="154" t="n">
        <f aca="false" ca="false" dt2D="false" dtr="false" t="normal">A486+1</f>
        <v>468</v>
      </c>
      <c r="B487" s="138" t="n">
        <f aca="false" ca="false" dt2D="false" dtr="false" t="normal">B486+1</f>
        <v>9</v>
      </c>
      <c r="C487" s="138" t="s">
        <v>97</v>
      </c>
      <c r="D487" s="138" t="s">
        <v>174</v>
      </c>
      <c r="E487" s="16" t="n">
        <f aca="false" ca="true" dt2D="false" dtr="false" t="normal">SUBTOTAL(9, F487:T487)</f>
        <v>12005669.590000002</v>
      </c>
      <c r="F487" s="17" t="n">
        <v>5393202.38</v>
      </c>
      <c r="G487" s="17" t="n">
        <v>3557169.42</v>
      </c>
      <c r="H487" s="17" t="n"/>
      <c r="I487" s="17" t="n">
        <v>2958773.23</v>
      </c>
      <c r="J487" s="17" t="n">
        <v>0</v>
      </c>
      <c r="K487" s="17" t="n"/>
      <c r="L487" s="17" t="n"/>
      <c r="M487" s="17" t="n">
        <v>0</v>
      </c>
      <c r="N487" s="17" t="n">
        <v>0</v>
      </c>
      <c r="O487" s="17" t="n">
        <v>0</v>
      </c>
      <c r="P487" s="17" t="n">
        <v>0</v>
      </c>
      <c r="Q487" s="17" t="n">
        <v>0</v>
      </c>
      <c r="R487" s="17" t="n"/>
      <c r="S487" s="17" t="n"/>
      <c r="T487" s="188" t="n">
        <v>96524.56</v>
      </c>
      <c r="U487" s="341" t="n"/>
      <c r="V487" s="241" t="n">
        <f aca="false" ca="false" dt2D="false" dtr="false" t="normal">COUNTIF(F487:Q487, "&gt;0")</f>
        <v>3</v>
      </c>
      <c r="W487" s="341" t="n"/>
      <c r="X487" s="341" t="n"/>
      <c r="Y487" s="341" t="n"/>
      <c r="Z487" s="341" t="n"/>
      <c r="AA487" s="341" t="n"/>
      <c r="AB487" s="341" t="n"/>
      <c r="AC487" s="341" t="n"/>
      <c r="AD487" s="341" t="n"/>
      <c r="AE487" s="341" t="n"/>
      <c r="AF487" s="341" t="n"/>
      <c r="AG487" s="341" t="n"/>
      <c r="AH487" s="341" t="n"/>
      <c r="AI487" s="341" t="n"/>
      <c r="AJ487" s="341" t="n"/>
      <c r="AK487" s="341" t="n"/>
      <c r="AL487" s="341" t="n"/>
      <c r="AM487" s="341" t="n"/>
      <c r="AN487" s="341" t="n"/>
      <c r="AO487" s="341" t="n"/>
      <c r="AP487" s="341" t="n"/>
      <c r="AQ487" s="341" t="n"/>
      <c r="AR487" s="341" t="n"/>
      <c r="AS487" s="341" t="n"/>
      <c r="AT487" s="341" t="n"/>
      <c r="AU487" s="341" t="n"/>
      <c r="AV487" s="341" t="n"/>
      <c r="AW487" s="341" t="n"/>
      <c r="AX487" s="341" t="n"/>
      <c r="AY487" s="341" t="n"/>
      <c r="AZ487" s="341" t="n"/>
      <c r="BA487" s="341" t="n"/>
      <c r="BB487" s="341" t="n"/>
      <c r="BC487" s="341" t="n"/>
      <c r="BD487" s="341" t="n"/>
      <c r="BE487" s="341" t="n"/>
      <c r="BF487" s="341" t="n"/>
      <c r="BG487" s="341" t="n"/>
      <c r="BH487" s="341" t="n"/>
      <c r="BI487" s="341" t="n"/>
      <c r="BJ487" s="341" t="n"/>
      <c r="BK487" s="341" t="n"/>
      <c r="BL487" s="341" t="n"/>
      <c r="BM487" s="341" t="n"/>
      <c r="BN487" s="341" t="n"/>
      <c r="BO487" s="341" t="n"/>
      <c r="BP487" s="341" t="n"/>
    </row>
    <row outlineLevel="0" r="488">
      <c r="A488" s="154" t="n">
        <f aca="false" ca="false" dt2D="false" dtr="false" t="normal">A487+1</f>
        <v>469</v>
      </c>
      <c r="B488" s="138" t="n">
        <f aca="false" ca="false" dt2D="false" dtr="false" t="normal">B487+1</f>
        <v>10</v>
      </c>
      <c r="C488" s="138" t="s">
        <v>97</v>
      </c>
      <c r="D488" s="138" t="s">
        <v>176</v>
      </c>
      <c r="E488" s="16" t="n">
        <f aca="false" ca="true" dt2D="false" dtr="false" t="normal">SUBTOTAL(9, F488:T488)</f>
        <v>4785435.03</v>
      </c>
      <c r="F488" s="17" t="n">
        <v>4737532.46</v>
      </c>
      <c r="G488" s="17" t="n"/>
      <c r="H488" s="17" t="n"/>
      <c r="I488" s="17" t="n"/>
      <c r="J488" s="17" t="n">
        <v>0</v>
      </c>
      <c r="K488" s="17" t="n"/>
      <c r="L488" s="17" t="n"/>
      <c r="M488" s="17" t="n">
        <v>0</v>
      </c>
      <c r="N488" s="17" t="n">
        <v>0</v>
      </c>
      <c r="O488" s="17" t="n">
        <v>0</v>
      </c>
      <c r="P488" s="17" t="n">
        <v>0</v>
      </c>
      <c r="Q488" s="17" t="n">
        <v>0</v>
      </c>
      <c r="R488" s="17" t="n"/>
      <c r="S488" s="17" t="n"/>
      <c r="T488" s="188" t="n">
        <v>47902.57</v>
      </c>
      <c r="V488" s="241" t="n">
        <f aca="false" ca="false" dt2D="false" dtr="false" t="normal">COUNTIF(F488:Q488, "&gt;0")</f>
        <v>1</v>
      </c>
    </row>
    <row outlineLevel="0" r="489">
      <c r="A489" s="154" t="n">
        <f aca="false" ca="false" dt2D="false" dtr="false" t="normal">A488+1</f>
        <v>470</v>
      </c>
      <c r="B489" s="138" t="n">
        <f aca="false" ca="false" dt2D="false" dtr="false" t="normal">B488+1</f>
        <v>11</v>
      </c>
      <c r="C489" s="138" t="s">
        <v>750</v>
      </c>
      <c r="D489" s="138" t="s">
        <v>180</v>
      </c>
      <c r="E489" s="16" t="n">
        <f aca="false" ca="true" dt2D="false" dtr="false" t="normal">SUBTOTAL(9, F489:T489)</f>
        <v>32110899.54</v>
      </c>
      <c r="F489" s="17" t="n"/>
      <c r="G489" s="17" t="n"/>
      <c r="H489" s="17" t="n"/>
      <c r="I489" s="17" t="n"/>
      <c r="J489" s="17" t="n"/>
      <c r="K489" s="17" t="n"/>
      <c r="L489" s="17" t="n"/>
      <c r="M489" s="17" t="n"/>
      <c r="N489" s="17" t="n">
        <v>12147477.6</v>
      </c>
      <c r="O489" s="17" t="n"/>
      <c r="P489" s="17" t="n">
        <v>19963421.94</v>
      </c>
      <c r="Q489" s="17" t="n"/>
      <c r="R489" s="17" t="n"/>
      <c r="S489" s="17" t="n"/>
      <c r="T489" s="188" t="n"/>
      <c r="V489" s="241" t="n">
        <f aca="false" ca="false" dt2D="false" dtr="false" t="normal">COUNTIF(F489:Q489, "&gt;0")</f>
        <v>2</v>
      </c>
    </row>
    <row outlineLevel="0" r="490">
      <c r="A490" s="154" t="n">
        <f aca="false" ca="false" dt2D="false" dtr="false" t="normal">A489+1</f>
        <v>471</v>
      </c>
      <c r="B490" s="138" t="n">
        <f aca="false" ca="false" dt2D="false" dtr="false" t="normal">B489+1</f>
        <v>12</v>
      </c>
      <c r="C490" s="138" t="s">
        <v>750</v>
      </c>
      <c r="D490" s="138" t="s">
        <v>183</v>
      </c>
      <c r="E490" s="16" t="n">
        <f aca="false" ca="true" dt2D="false" dtr="false" t="normal">SUBTOTAL(9, F490:T490)</f>
        <v>38180923.56</v>
      </c>
      <c r="F490" s="17" t="n"/>
      <c r="G490" s="17" t="n"/>
      <c r="H490" s="17" t="n"/>
      <c r="I490" s="17" t="n"/>
      <c r="J490" s="17" t="n"/>
      <c r="K490" s="17" t="n"/>
      <c r="L490" s="17" t="n"/>
      <c r="M490" s="17" t="n"/>
      <c r="N490" s="17" t="n">
        <v>14729101.2</v>
      </c>
      <c r="O490" s="17" t="n"/>
      <c r="P490" s="17" t="n">
        <v>23451822.36</v>
      </c>
      <c r="Q490" s="17" t="n">
        <v>0</v>
      </c>
      <c r="R490" s="17" t="n"/>
      <c r="S490" s="17" t="n"/>
      <c r="T490" s="188" t="n"/>
      <c r="V490" s="241" t="n">
        <f aca="false" ca="false" dt2D="false" dtr="false" t="normal">COUNTIF(F490:Q490, "&gt;0")</f>
        <v>2</v>
      </c>
    </row>
    <row outlineLevel="0" r="491">
      <c r="A491" s="154" t="n">
        <f aca="false" ca="false" dt2D="false" dtr="false" t="normal">A490+1</f>
        <v>472</v>
      </c>
      <c r="B491" s="138" t="n">
        <f aca="false" ca="false" dt2D="false" dtr="false" t="normal">B490+1</f>
        <v>13</v>
      </c>
      <c r="C491" s="138" t="s">
        <v>750</v>
      </c>
      <c r="D491" s="138" t="s">
        <v>186</v>
      </c>
      <c r="E491" s="16" t="n">
        <f aca="false" ca="true" dt2D="false" dtr="false" t="normal">SUBTOTAL(9, F491:T491)</f>
        <v>31088512.76</v>
      </c>
      <c r="F491" s="17" t="n"/>
      <c r="G491" s="17" t="n"/>
      <c r="H491" s="17" t="n"/>
      <c r="I491" s="17" t="n"/>
      <c r="J491" s="17" t="n"/>
      <c r="K491" s="17" t="n"/>
      <c r="L491" s="17" t="n"/>
      <c r="M491" s="17" t="n"/>
      <c r="N491" s="17" t="n">
        <v>11006754</v>
      </c>
      <c r="O491" s="17" t="n"/>
      <c r="P491" s="17" t="n">
        <v>20081758.76</v>
      </c>
      <c r="Q491" s="17" t="n">
        <v>0</v>
      </c>
      <c r="R491" s="17" t="n"/>
      <c r="S491" s="17" t="n"/>
      <c r="T491" s="188" t="n"/>
      <c r="V491" s="241" t="n">
        <f aca="false" ca="false" dt2D="false" dtr="false" t="normal">COUNTIF(F491:Q491, "&gt;0")</f>
        <v>2</v>
      </c>
    </row>
    <row outlineLevel="0" r="492">
      <c r="A492" s="154" t="n">
        <f aca="false" ca="false" dt2D="false" dtr="false" t="normal">A491+1</f>
        <v>473</v>
      </c>
      <c r="B492" s="138" t="n">
        <f aca="false" ca="false" dt2D="false" dtr="false" t="normal">B491+1</f>
        <v>14</v>
      </c>
      <c r="C492" s="138" t="s">
        <v>750</v>
      </c>
      <c r="D492" s="138" t="s">
        <v>189</v>
      </c>
      <c r="E492" s="16" t="n">
        <f aca="false" ca="true" dt2D="false" dtr="false" t="normal">SUBTOTAL(9, F492:T492)</f>
        <v>31630309.32</v>
      </c>
      <c r="F492" s="17" t="n"/>
      <c r="G492" s="17" t="n"/>
      <c r="H492" s="17" t="n"/>
      <c r="I492" s="17" t="n"/>
      <c r="J492" s="17" t="n"/>
      <c r="K492" s="17" t="n"/>
      <c r="L492" s="17" t="n"/>
      <c r="M492" s="17" t="n"/>
      <c r="N492" s="17" t="n">
        <v>11152173.6</v>
      </c>
      <c r="O492" s="17" t="n"/>
      <c r="P492" s="17" t="n">
        <v>20478135.72</v>
      </c>
      <c r="Q492" s="17" t="n">
        <v>0</v>
      </c>
      <c r="R492" s="17" t="n"/>
      <c r="S492" s="17" t="n"/>
      <c r="T492" s="188" t="n"/>
      <c r="V492" s="241" t="n">
        <f aca="false" ca="false" dt2D="false" dtr="false" t="normal">COUNTIF(F492:Q492, "&gt;0")</f>
        <v>2</v>
      </c>
    </row>
    <row outlineLevel="0" r="493">
      <c r="A493" s="154" t="n">
        <f aca="false" ca="false" dt2D="false" dtr="false" t="normal">A492+1</f>
        <v>474</v>
      </c>
      <c r="B493" s="138" t="n">
        <f aca="false" ca="false" dt2D="false" dtr="false" t="normal">B492+1</f>
        <v>15</v>
      </c>
      <c r="C493" s="138" t="s">
        <v>750</v>
      </c>
      <c r="D493" s="138" t="s">
        <v>192</v>
      </c>
      <c r="E493" s="16" t="n">
        <f aca="false" ca="true" dt2D="false" dtr="false" t="normal">SUBTOTAL(9, F493:T493)</f>
        <v>33314419.46</v>
      </c>
      <c r="F493" s="17" t="n"/>
      <c r="G493" s="17" t="n"/>
      <c r="H493" s="17" t="n"/>
      <c r="I493" s="17" t="n"/>
      <c r="J493" s="17" t="n"/>
      <c r="K493" s="17" t="n"/>
      <c r="L493" s="17" t="n"/>
      <c r="M493" s="17" t="n"/>
      <c r="N493" s="17" t="n">
        <v>13233639.84</v>
      </c>
      <c r="O493" s="17" t="n"/>
      <c r="P493" s="17" t="n">
        <v>20080779.62</v>
      </c>
      <c r="Q493" s="17" t="n">
        <v>0</v>
      </c>
      <c r="R493" s="17" t="n"/>
      <c r="S493" s="17" t="n"/>
      <c r="T493" s="188" t="n"/>
      <c r="V493" s="241" t="n">
        <f aca="false" ca="false" dt2D="false" dtr="false" t="normal">COUNTIF(F493:Q493, "&gt;0")</f>
        <v>2</v>
      </c>
    </row>
    <row outlineLevel="0" r="494">
      <c r="A494" s="154" t="n">
        <f aca="false" ca="false" dt2D="false" dtr="false" t="normal">A493+1</f>
        <v>475</v>
      </c>
      <c r="B494" s="138" t="n">
        <f aca="false" ca="false" dt2D="false" dtr="false" t="normal">B493+1</f>
        <v>16</v>
      </c>
      <c r="C494" s="138" t="s">
        <v>750</v>
      </c>
      <c r="D494" s="138" t="s">
        <v>195</v>
      </c>
      <c r="E494" s="16" t="n">
        <f aca="false" ca="true" dt2D="false" dtr="false" t="normal">SUBTOTAL(9, F494:T494)</f>
        <v>21486062.09</v>
      </c>
      <c r="F494" s="17" t="n"/>
      <c r="G494" s="17" t="n"/>
      <c r="H494" s="17" t="n"/>
      <c r="I494" s="17" t="n"/>
      <c r="J494" s="17" t="n"/>
      <c r="K494" s="17" t="n"/>
      <c r="L494" s="17" t="n"/>
      <c r="M494" s="17" t="n"/>
      <c r="N494" s="17" t="n">
        <v>8537578.66</v>
      </c>
      <c r="O494" s="17" t="n"/>
      <c r="P494" s="17" t="n">
        <v>12948483.43</v>
      </c>
      <c r="Q494" s="17" t="n">
        <v>0</v>
      </c>
      <c r="R494" s="17" t="n"/>
      <c r="S494" s="17" t="n"/>
      <c r="T494" s="188" t="n"/>
      <c r="V494" s="241" t="n">
        <f aca="false" ca="false" dt2D="false" dtr="false" t="normal">COUNTIF(F494:Q494, "&gt;0")</f>
        <v>2</v>
      </c>
    </row>
    <row outlineLevel="0" r="495">
      <c r="A495" s="154" t="n">
        <f aca="false" ca="false" dt2D="false" dtr="false" t="normal">A494+1</f>
        <v>476</v>
      </c>
      <c r="B495" s="138" t="n">
        <f aca="false" ca="false" dt2D="false" dtr="false" t="normal">B494+1</f>
        <v>17</v>
      </c>
      <c r="C495" s="138" t="s">
        <v>104</v>
      </c>
      <c r="D495" s="138" t="s">
        <v>108</v>
      </c>
      <c r="E495" s="16" t="n">
        <f aca="false" ca="true" dt2D="false" dtr="false" t="normal">SUBTOTAL(9, F495:T495)</f>
        <v>6214827.949999999</v>
      </c>
      <c r="F495" s="17" t="n"/>
      <c r="G495" s="17" t="n"/>
      <c r="H495" s="17" t="n">
        <v>3003296.09</v>
      </c>
      <c r="I495" s="17" t="n"/>
      <c r="J495" s="17" t="n">
        <v>0</v>
      </c>
      <c r="K495" s="17" t="n"/>
      <c r="L495" s="17" t="n"/>
      <c r="M495" s="17" t="n">
        <v>2829176.44</v>
      </c>
      <c r="N495" s="17" t="n"/>
      <c r="O495" s="17" t="n">
        <v>0</v>
      </c>
      <c r="P495" s="17" t="n">
        <v>0</v>
      </c>
      <c r="Q495" s="17" t="n">
        <v>0</v>
      </c>
      <c r="R495" s="17" t="n">
        <v>256263</v>
      </c>
      <c r="S495" s="17" t="n">
        <v>85421</v>
      </c>
      <c r="T495" s="17" t="n">
        <v>40671.42</v>
      </c>
      <c r="V495" s="241" t="n">
        <f aca="false" ca="false" dt2D="false" dtr="false" t="normal">COUNTIF(F495:Q495, "&gt;0")</f>
        <v>2</v>
      </c>
    </row>
    <row outlineLevel="0" r="496">
      <c r="A496" s="154" t="n">
        <f aca="false" ca="false" dt2D="false" dtr="false" t="normal">A495+1</f>
        <v>477</v>
      </c>
      <c r="B496" s="138" t="n">
        <f aca="false" ca="false" dt2D="false" dtr="false" t="normal">B495+1</f>
        <v>18</v>
      </c>
      <c r="C496" s="138" t="s">
        <v>104</v>
      </c>
      <c r="D496" s="138" t="s">
        <v>199</v>
      </c>
      <c r="E496" s="16" t="n">
        <f aca="false" ca="true" dt2D="false" dtr="false" t="normal">SUBTOTAL(9, F496:T496)</f>
        <v>3168590.98</v>
      </c>
      <c r="F496" s="17" t="n">
        <v>0</v>
      </c>
      <c r="G496" s="17" t="n">
        <v>0</v>
      </c>
      <c r="H496" s="17" t="n">
        <v>3135939.44</v>
      </c>
      <c r="I496" s="17" t="n">
        <v>0</v>
      </c>
      <c r="J496" s="17" t="n">
        <v>0</v>
      </c>
      <c r="K496" s="17" t="n"/>
      <c r="L496" s="17" t="n"/>
      <c r="M496" s="17" t="n">
        <v>0</v>
      </c>
      <c r="N496" s="17" t="n">
        <v>0</v>
      </c>
      <c r="O496" s="17" t="n">
        <v>0</v>
      </c>
      <c r="P496" s="17" t="n">
        <v>0</v>
      </c>
      <c r="Q496" s="17" t="n">
        <v>0</v>
      </c>
      <c r="R496" s="17" t="n"/>
      <c r="S496" s="17" t="n"/>
      <c r="T496" s="188" t="n">
        <v>32651.54</v>
      </c>
      <c r="V496" s="241" t="n">
        <f aca="false" ca="false" dt2D="false" dtr="false" t="normal">COUNTIF(F496:Q496, "&gt;0")</f>
        <v>1</v>
      </c>
    </row>
    <row outlineLevel="0" r="497">
      <c r="A497" s="154" t="n">
        <f aca="false" ca="false" dt2D="false" dtr="false" t="normal">A496+1</f>
        <v>478</v>
      </c>
      <c r="B497" s="138" t="n">
        <f aca="false" ca="false" dt2D="false" dtr="false" t="normal">B496+1</f>
        <v>19</v>
      </c>
      <c r="C497" s="138" t="s">
        <v>104</v>
      </c>
      <c r="D497" s="138" t="s">
        <v>201</v>
      </c>
      <c r="E497" s="16" t="n">
        <f aca="false" ca="true" dt2D="false" dtr="false" t="normal">SUBTOTAL(9, F497:T497)</f>
        <v>4428811.11</v>
      </c>
      <c r="F497" s="17" t="n">
        <v>2266868.58</v>
      </c>
      <c r="G497" s="17" t="n">
        <v>0</v>
      </c>
      <c r="H497" s="17" t="n">
        <v>2148211.06</v>
      </c>
      <c r="I497" s="17" t="n">
        <v>0</v>
      </c>
      <c r="J497" s="17" t="n">
        <v>0</v>
      </c>
      <c r="K497" s="17" t="n"/>
      <c r="L497" s="17" t="n"/>
      <c r="M497" s="17" t="n">
        <v>0</v>
      </c>
      <c r="N497" s="17" t="n"/>
      <c r="O497" s="17" t="n">
        <v>0</v>
      </c>
      <c r="P497" s="17" t="n"/>
      <c r="Q497" s="17" t="n">
        <v>0</v>
      </c>
      <c r="R497" s="17" t="n"/>
      <c r="S497" s="17" t="n"/>
      <c r="T497" s="188" t="n">
        <v>13731.47</v>
      </c>
      <c r="V497" s="241" t="n">
        <f aca="false" ca="false" dt2D="false" dtr="false" t="normal">COUNTIF(F497:Q497, "&gt;0")</f>
        <v>2</v>
      </c>
    </row>
    <row outlineLevel="0" r="498">
      <c r="A498" s="154" t="n">
        <f aca="false" ca="false" dt2D="false" dtr="false" t="normal">A497+1</f>
        <v>479</v>
      </c>
      <c r="B498" s="138" t="n">
        <f aca="false" ca="false" dt2D="false" dtr="false" t="normal">B497+1</f>
        <v>20</v>
      </c>
      <c r="C498" s="138" t="s">
        <v>104</v>
      </c>
      <c r="D498" s="138" t="s">
        <v>203</v>
      </c>
      <c r="E498" s="16" t="n">
        <f aca="false" ca="true" dt2D="false" dtr="false" t="normal">SUBTOTAL(9, F498:T498)</f>
        <v>3071834.26</v>
      </c>
      <c r="F498" s="17" t="n">
        <v>0</v>
      </c>
      <c r="G498" s="17" t="n">
        <v>0</v>
      </c>
      <c r="H498" s="17" t="n">
        <v>3038097.25</v>
      </c>
      <c r="I498" s="17" t="n">
        <v>0</v>
      </c>
      <c r="J498" s="17" t="n">
        <v>0</v>
      </c>
      <c r="K498" s="17" t="n"/>
      <c r="L498" s="17" t="n"/>
      <c r="M498" s="17" t="n">
        <v>0</v>
      </c>
      <c r="N498" s="17" t="n">
        <v>0</v>
      </c>
      <c r="O498" s="17" t="n">
        <v>0</v>
      </c>
      <c r="P498" s="17" t="n">
        <v>0</v>
      </c>
      <c r="Q498" s="17" t="n">
        <v>0</v>
      </c>
      <c r="R498" s="17" t="n"/>
      <c r="S498" s="17" t="n"/>
      <c r="T498" s="188" t="n">
        <v>33737.01</v>
      </c>
      <c r="V498" s="241" t="n">
        <f aca="false" ca="false" dt2D="false" dtr="false" t="normal">COUNTIF(F498:Q498, "&gt;0")</f>
        <v>1</v>
      </c>
    </row>
    <row outlineLevel="0" r="499">
      <c r="A499" s="154" t="n">
        <f aca="false" ca="false" dt2D="false" dtr="false" t="normal">A498+1</f>
        <v>480</v>
      </c>
      <c r="B499" s="138" t="n">
        <f aca="false" ca="false" dt2D="false" dtr="false" t="normal">B498+1</f>
        <v>21</v>
      </c>
      <c r="C499" s="138" t="s">
        <v>104</v>
      </c>
      <c r="D499" s="138" t="s">
        <v>205</v>
      </c>
      <c r="E499" s="16" t="n">
        <f aca="false" ca="true" dt2D="false" dtr="false" t="normal">SUBTOTAL(9, F499:T499)</f>
        <v>9020661.24</v>
      </c>
      <c r="F499" s="17" t="n">
        <v>0</v>
      </c>
      <c r="G499" s="17" t="n">
        <v>0</v>
      </c>
      <c r="H499" s="17" t="n">
        <v>0</v>
      </c>
      <c r="I499" s="17" t="n">
        <v>0</v>
      </c>
      <c r="J499" s="17" t="n">
        <v>0</v>
      </c>
      <c r="K499" s="17" t="n"/>
      <c r="L499" s="17" t="n"/>
      <c r="M499" s="17" t="n">
        <v>0</v>
      </c>
      <c r="N499" s="17" t="n">
        <v>9020661.24</v>
      </c>
      <c r="O499" s="17" t="n">
        <v>0</v>
      </c>
      <c r="P499" s="17" t="n"/>
      <c r="Q499" s="17" t="n">
        <v>0</v>
      </c>
      <c r="R499" s="17" t="n"/>
      <c r="S499" s="17" t="n"/>
      <c r="T499" s="188" t="n"/>
      <c r="V499" s="241" t="n">
        <f aca="false" ca="false" dt2D="false" dtr="false" t="normal">COUNTIF(F499:Q499, "&gt;0")</f>
        <v>1</v>
      </c>
    </row>
    <row outlineLevel="0" r="500">
      <c r="A500" s="154" t="n">
        <f aca="false" ca="false" dt2D="false" dtr="false" t="normal">A499+1</f>
        <v>481</v>
      </c>
      <c r="B500" s="138" t="n">
        <f aca="false" ca="false" dt2D="false" dtr="false" t="normal">B499+1</f>
        <v>22</v>
      </c>
      <c r="C500" s="138" t="s">
        <v>104</v>
      </c>
      <c r="D500" s="138" t="s">
        <v>207</v>
      </c>
      <c r="E500" s="16" t="n">
        <f aca="false" ca="true" dt2D="false" dtr="false" t="normal">SUBTOTAL(9, F500:T500)</f>
        <v>3868134.08</v>
      </c>
      <c r="F500" s="17" t="n"/>
      <c r="G500" s="17" t="n"/>
      <c r="H500" s="17" t="n">
        <v>3828532.94</v>
      </c>
      <c r="I500" s="17" t="n"/>
      <c r="J500" s="17" t="n">
        <v>0</v>
      </c>
      <c r="K500" s="17" t="n"/>
      <c r="L500" s="17" t="n"/>
      <c r="M500" s="17" t="n">
        <v>0</v>
      </c>
      <c r="N500" s="17" t="n">
        <v>0</v>
      </c>
      <c r="O500" s="17" t="n">
        <v>0</v>
      </c>
      <c r="P500" s="17" t="n">
        <v>0</v>
      </c>
      <c r="Q500" s="17" t="n">
        <v>0</v>
      </c>
      <c r="R500" s="17" t="n"/>
      <c r="S500" s="17" t="n"/>
      <c r="T500" s="188" t="n">
        <v>39601.14</v>
      </c>
      <c r="V500" s="241" t="n">
        <f aca="false" ca="false" dt2D="false" dtr="false" t="normal">COUNTIF(F500:Q500, "&gt;0")</f>
        <v>1</v>
      </c>
    </row>
    <row outlineLevel="0" r="501">
      <c r="A501" s="154" t="n">
        <f aca="false" ca="false" dt2D="false" dtr="false" t="normal">A500+1</f>
        <v>482</v>
      </c>
      <c r="B501" s="138" t="n">
        <f aca="false" ca="false" dt2D="false" dtr="false" t="normal">B500+1</f>
        <v>23</v>
      </c>
      <c r="C501" s="138" t="s">
        <v>104</v>
      </c>
      <c r="D501" s="138" t="s">
        <v>211</v>
      </c>
      <c r="E501" s="16" t="n">
        <f aca="false" ca="true" dt2D="false" dtr="false" t="normal">SUBTOTAL(9, F501:T501)</f>
        <v>6063069.87</v>
      </c>
      <c r="F501" s="17" t="n"/>
      <c r="G501" s="17" t="n">
        <v>0</v>
      </c>
      <c r="H501" s="17" t="n">
        <v>6052553.72</v>
      </c>
      <c r="I501" s="17" t="n">
        <v>0</v>
      </c>
      <c r="J501" s="17" t="n">
        <v>0</v>
      </c>
      <c r="K501" s="17" t="n"/>
      <c r="L501" s="17" t="n"/>
      <c r="M501" s="17" t="n">
        <v>0</v>
      </c>
      <c r="N501" s="17" t="n">
        <v>0</v>
      </c>
      <c r="O501" s="17" t="n">
        <v>0</v>
      </c>
      <c r="P501" s="17" t="n">
        <v>0</v>
      </c>
      <c r="Q501" s="17" t="n">
        <v>0</v>
      </c>
      <c r="R501" s="17" t="n"/>
      <c r="S501" s="17" t="n"/>
      <c r="T501" s="188" t="n">
        <v>10516.15</v>
      </c>
      <c r="V501" s="241" t="n">
        <f aca="false" ca="false" dt2D="false" dtr="false" t="normal">COUNTIF(F501:Q501, "&gt;0")</f>
        <v>1</v>
      </c>
    </row>
    <row outlineLevel="0" r="502">
      <c r="A502" s="154" t="n">
        <f aca="false" ca="false" dt2D="false" dtr="false" t="normal">A501+1</f>
        <v>483</v>
      </c>
      <c r="B502" s="138" t="n">
        <f aca="false" ca="false" dt2D="false" dtr="false" t="normal">B501+1</f>
        <v>24</v>
      </c>
      <c r="C502" s="138" t="s">
        <v>104</v>
      </c>
      <c r="D502" s="138" t="s">
        <v>214</v>
      </c>
      <c r="E502" s="16" t="n">
        <f aca="false" ca="true" dt2D="false" dtr="false" t="normal">SUBTOTAL(9, F502:T502)</f>
        <v>3000018.45</v>
      </c>
      <c r="F502" s="17" t="n">
        <v>0</v>
      </c>
      <c r="G502" s="17" t="n">
        <v>0</v>
      </c>
      <c r="H502" s="17" t="n">
        <v>0</v>
      </c>
      <c r="I502" s="17" t="n">
        <v>0</v>
      </c>
      <c r="J502" s="17" t="n">
        <v>0</v>
      </c>
      <c r="K502" s="17" t="n"/>
      <c r="L502" s="17" t="n">
        <v>0</v>
      </c>
      <c r="M502" s="17" t="n">
        <v>2829176.45</v>
      </c>
      <c r="N502" s="17" t="n"/>
      <c r="O502" s="17" t="n">
        <v>0</v>
      </c>
      <c r="P502" s="17" t="n">
        <v>0</v>
      </c>
      <c r="Q502" s="17" t="n">
        <v>0</v>
      </c>
      <c r="R502" s="17" t="n">
        <v>128131.5</v>
      </c>
      <c r="S502" s="17" t="n">
        <v>42710.5</v>
      </c>
      <c r="T502" s="188" t="n"/>
      <c r="V502" s="241" t="n">
        <f aca="false" ca="false" dt2D="false" dtr="false" t="normal">COUNTIF(F502:Q502, "&gt;0")</f>
        <v>1</v>
      </c>
    </row>
    <row outlineLevel="0" r="503">
      <c r="A503" s="154" t="n">
        <f aca="false" ca="false" dt2D="false" dtr="false" t="normal">A502+1</f>
        <v>484</v>
      </c>
      <c r="B503" s="138" t="n">
        <f aca="false" ca="false" dt2D="false" dtr="false" t="normal">B502+1</f>
        <v>25</v>
      </c>
      <c r="C503" s="138" t="s">
        <v>104</v>
      </c>
      <c r="D503" s="138" t="s">
        <v>216</v>
      </c>
      <c r="E503" s="16" t="n">
        <f aca="false" ca="true" dt2D="false" dtr="false" t="normal">SUBTOTAL(9, F503:T503)</f>
        <v>9000055.31</v>
      </c>
      <c r="F503" s="17" t="n"/>
      <c r="G503" s="17" t="n"/>
      <c r="H503" s="17" t="n"/>
      <c r="I503" s="17" t="n"/>
      <c r="J503" s="17" t="n"/>
      <c r="K503" s="17" t="n"/>
      <c r="L503" s="17" t="n"/>
      <c r="M503" s="17" t="n">
        <v>8487529.31</v>
      </c>
      <c r="N503" s="17" t="n"/>
      <c r="O503" s="17" t="n"/>
      <c r="P503" s="17" t="n"/>
      <c r="Q503" s="17" t="n"/>
      <c r="R503" s="17" t="n">
        <v>384394.5</v>
      </c>
      <c r="S503" s="17" t="n">
        <v>128131.5</v>
      </c>
      <c r="T503" s="188" t="n"/>
      <c r="V503" s="241" t="n">
        <f aca="false" ca="false" dt2D="false" dtr="false" t="normal">COUNTIF(F503:Q503, "&gt;0")</f>
        <v>1</v>
      </c>
    </row>
    <row outlineLevel="0" r="504">
      <c r="A504" s="154" t="n">
        <f aca="false" ca="false" dt2D="false" dtr="false" t="normal">A503+1</f>
        <v>485</v>
      </c>
      <c r="B504" s="138" t="n">
        <f aca="false" ca="false" dt2D="false" dtr="false" t="normal">B503+1</f>
        <v>26</v>
      </c>
      <c r="C504" s="138" t="s">
        <v>104</v>
      </c>
      <c r="D504" s="138" t="s">
        <v>218</v>
      </c>
      <c r="E504" s="16" t="n">
        <f aca="false" ca="true" dt2D="false" dtr="false" t="normal">SUBTOTAL(9, F504:T504)</f>
        <v>3000018.45</v>
      </c>
      <c r="F504" s="17" t="n"/>
      <c r="G504" s="17" t="n"/>
      <c r="H504" s="17" t="n"/>
      <c r="I504" s="17" t="n"/>
      <c r="J504" s="17" t="n"/>
      <c r="K504" s="17" t="n"/>
      <c r="L504" s="17" t="n"/>
      <c r="M504" s="17" t="n">
        <v>2829176.45</v>
      </c>
      <c r="N504" s="17" t="n"/>
      <c r="O504" s="17" t="n"/>
      <c r="P504" s="17" t="n"/>
      <c r="Q504" s="17" t="n"/>
      <c r="R504" s="17" t="n">
        <v>128131.5</v>
      </c>
      <c r="S504" s="17" t="n">
        <v>42710.5</v>
      </c>
      <c r="T504" s="188" t="n"/>
      <c r="V504" s="241" t="n">
        <f aca="false" ca="false" dt2D="false" dtr="false" t="normal">COUNTIF(F504:Q504, "&gt;0")</f>
        <v>1</v>
      </c>
    </row>
    <row outlineLevel="0" r="505">
      <c r="A505" s="154" t="n">
        <f aca="false" ca="false" dt2D="false" dtr="false" t="normal">A504+1</f>
        <v>486</v>
      </c>
      <c r="B505" s="138" t="n">
        <f aca="false" ca="false" dt2D="false" dtr="false" t="normal">B504+1</f>
        <v>27</v>
      </c>
      <c r="C505" s="138" t="s">
        <v>104</v>
      </c>
      <c r="D505" s="138" t="s">
        <v>221</v>
      </c>
      <c r="E505" s="16" t="n">
        <f aca="false" ca="true" dt2D="false" dtr="false" t="normal">SUBTOTAL(9, F505:T505)</f>
        <v>6000036.88</v>
      </c>
      <c r="F505" s="17" t="n"/>
      <c r="G505" s="17" t="n"/>
      <c r="H505" s="17" t="n"/>
      <c r="I505" s="17" t="n"/>
      <c r="J505" s="17" t="n"/>
      <c r="K505" s="17" t="n"/>
      <c r="L505" s="17" t="n"/>
      <c r="M505" s="17" t="n">
        <v>5658352.88</v>
      </c>
      <c r="N505" s="17" t="n"/>
      <c r="O505" s="17" t="n"/>
      <c r="P505" s="17" t="n"/>
      <c r="Q505" s="17" t="n"/>
      <c r="R505" s="17" t="n">
        <v>256263</v>
      </c>
      <c r="S505" s="17" t="n">
        <v>85421</v>
      </c>
      <c r="T505" s="188" t="n"/>
      <c r="V505" s="241" t="n">
        <f aca="false" ca="false" dt2D="false" dtr="false" t="normal">COUNTIF(F505:Q505, "&gt;0")</f>
        <v>1</v>
      </c>
    </row>
    <row outlineLevel="0" r="506">
      <c r="A506" s="154" t="n">
        <f aca="false" ca="false" dt2D="false" dtr="false" t="normal">A505+1</f>
        <v>487</v>
      </c>
      <c r="B506" s="138" t="n">
        <f aca="false" ca="false" dt2D="false" dtr="false" t="normal">B505+1</f>
        <v>28</v>
      </c>
      <c r="C506" s="138" t="s">
        <v>104</v>
      </c>
      <c r="D506" s="138" t="s">
        <v>223</v>
      </c>
      <c r="E506" s="16" t="n">
        <f aca="false" ca="true" dt2D="false" dtr="false" t="normal">SUBTOTAL(9, F506:T506)</f>
        <v>3000018.43</v>
      </c>
      <c r="F506" s="17" t="n"/>
      <c r="G506" s="17" t="n"/>
      <c r="H506" s="17" t="n"/>
      <c r="I506" s="17" t="n"/>
      <c r="J506" s="17" t="n"/>
      <c r="K506" s="17" t="n"/>
      <c r="L506" s="17" t="n"/>
      <c r="M506" s="17" t="n">
        <v>2829176.43</v>
      </c>
      <c r="N506" s="17" t="n"/>
      <c r="O506" s="17" t="n"/>
      <c r="P506" s="17" t="n"/>
      <c r="Q506" s="17" t="n"/>
      <c r="R506" s="17" t="n">
        <v>128131.5</v>
      </c>
      <c r="S506" s="17" t="n">
        <v>42710.5</v>
      </c>
      <c r="T506" s="188" t="n"/>
      <c r="U506" s="12" t="n"/>
      <c r="V506" s="241" t="n">
        <f aca="false" ca="false" dt2D="false" dtr="false" t="normal">COUNTIF(F506:Q506, "&gt;0")</f>
        <v>1</v>
      </c>
    </row>
    <row outlineLevel="0" r="507">
      <c r="A507" s="154" t="n">
        <f aca="false" ca="false" dt2D="false" dtr="false" t="normal">A506+1</f>
        <v>488</v>
      </c>
      <c r="B507" s="138" t="n">
        <f aca="false" ca="false" dt2D="false" dtr="false" t="normal">B506+1</f>
        <v>29</v>
      </c>
      <c r="C507" s="138" t="s">
        <v>104</v>
      </c>
      <c r="D507" s="138" t="s">
        <v>225</v>
      </c>
      <c r="E507" s="16" t="n">
        <f aca="false" ca="true" dt2D="false" dtr="false" t="normal">SUBTOTAL(9, F507:T507)</f>
        <v>9000055.33</v>
      </c>
      <c r="F507" s="17" t="n"/>
      <c r="G507" s="17" t="n"/>
      <c r="H507" s="17" t="n"/>
      <c r="I507" s="17" t="n"/>
      <c r="J507" s="17" t="n"/>
      <c r="K507" s="17" t="n"/>
      <c r="L507" s="17" t="n"/>
      <c r="M507" s="17" t="n">
        <v>8487529.33</v>
      </c>
      <c r="N507" s="17" t="n"/>
      <c r="O507" s="17" t="n"/>
      <c r="P507" s="17" t="n"/>
      <c r="Q507" s="17" t="n"/>
      <c r="R507" s="17" t="n">
        <v>384394.5</v>
      </c>
      <c r="S507" s="17" t="n">
        <v>128131.5</v>
      </c>
      <c r="T507" s="188" t="n"/>
      <c r="V507" s="241" t="n">
        <f aca="false" ca="false" dt2D="false" dtr="false" t="normal">COUNTIF(F507:Q507, "&gt;0")</f>
        <v>1</v>
      </c>
    </row>
    <row outlineLevel="0" r="508">
      <c r="A508" s="154" t="n">
        <f aca="false" ca="false" dt2D="false" dtr="false" t="normal">A507+1</f>
        <v>489</v>
      </c>
      <c r="B508" s="138" t="n">
        <f aca="false" ca="false" dt2D="false" dtr="false" t="normal">B507+1</f>
        <v>30</v>
      </c>
      <c r="C508" s="138" t="s">
        <v>104</v>
      </c>
      <c r="D508" s="138" t="s">
        <v>116</v>
      </c>
      <c r="E508" s="16" t="n">
        <f aca="false" ca="true" dt2D="false" dtr="false" t="normal">SUBTOTAL(9, F508:T508)</f>
        <v>2343081.2</v>
      </c>
      <c r="F508" s="17" t="n"/>
      <c r="G508" s="17" t="n"/>
      <c r="H508" s="17" t="n">
        <v>2343081.2</v>
      </c>
      <c r="I508" s="17" t="n"/>
      <c r="J508" s="17" t="n"/>
      <c r="K508" s="17" t="n"/>
      <c r="L508" s="17" t="n"/>
      <c r="M508" s="17" t="n">
        <v>0</v>
      </c>
      <c r="N508" s="17" t="n">
        <v>0</v>
      </c>
      <c r="O508" s="17" t="n"/>
      <c r="P508" s="17" t="n">
        <v>0</v>
      </c>
      <c r="Q508" s="17" t="n">
        <v>0</v>
      </c>
      <c r="R508" s="17" t="n"/>
      <c r="S508" s="17" t="n"/>
      <c r="T508" s="188" t="n"/>
      <c r="V508" s="241" t="n">
        <f aca="false" ca="false" dt2D="false" dtr="false" t="normal">COUNTIF(F508:Q508, "&gt;0")</f>
        <v>1</v>
      </c>
    </row>
    <row outlineLevel="0" r="509">
      <c r="A509" s="154" t="n">
        <f aca="false" ca="false" dt2D="false" dtr="false" t="normal">A508+1</f>
        <v>490</v>
      </c>
      <c r="B509" s="138" t="n">
        <f aca="false" ca="false" dt2D="false" dtr="false" t="normal">B508+1</f>
        <v>31</v>
      </c>
      <c r="C509" s="138" t="s">
        <v>104</v>
      </c>
      <c r="D509" s="138" t="s">
        <v>228</v>
      </c>
      <c r="E509" s="16" t="n">
        <f aca="false" ca="true" dt2D="false" dtr="false" t="normal">SUBTOTAL(9, F509:T509)</f>
        <v>3000018.45</v>
      </c>
      <c r="F509" s="17" t="n"/>
      <c r="G509" s="17" t="n"/>
      <c r="H509" s="17" t="n"/>
      <c r="I509" s="17" t="n"/>
      <c r="J509" s="17" t="n"/>
      <c r="K509" s="17" t="n"/>
      <c r="L509" s="17" t="n"/>
      <c r="M509" s="17" t="n">
        <v>2829176.45</v>
      </c>
      <c r="N509" s="17" t="n"/>
      <c r="O509" s="17" t="n"/>
      <c r="P509" s="17" t="n"/>
      <c r="Q509" s="17" t="n"/>
      <c r="R509" s="17" t="n">
        <v>128131.5</v>
      </c>
      <c r="S509" s="17" t="n">
        <v>42710.5</v>
      </c>
      <c r="T509" s="188" t="n"/>
      <c r="V509" s="241" t="n">
        <f aca="false" ca="false" dt2D="false" dtr="false" t="normal">COUNTIF(F509:Q509, "&gt;0")</f>
        <v>1</v>
      </c>
    </row>
    <row outlineLevel="0" r="510">
      <c r="A510" s="154" t="n">
        <f aca="false" ca="false" dt2D="false" dtr="false" t="normal">A509+1</f>
        <v>491</v>
      </c>
      <c r="B510" s="138" t="n">
        <f aca="false" ca="false" dt2D="false" dtr="false" t="normal">B509+1</f>
        <v>32</v>
      </c>
      <c r="C510" s="138" t="s">
        <v>104</v>
      </c>
      <c r="D510" s="138" t="s">
        <v>230</v>
      </c>
      <c r="E510" s="16" t="n">
        <f aca="false" ca="true" dt2D="false" dtr="false" t="normal">SUBTOTAL(9, F510:T510)</f>
        <v>5086142.95</v>
      </c>
      <c r="F510" s="17" t="n">
        <v>0</v>
      </c>
      <c r="G510" s="17" t="n">
        <v>0</v>
      </c>
      <c r="H510" s="17" t="n">
        <v>0</v>
      </c>
      <c r="I510" s="17" t="n">
        <v>0</v>
      </c>
      <c r="J510" s="17" t="n">
        <v>0</v>
      </c>
      <c r="K510" s="17" t="n"/>
      <c r="L510" s="17" t="n"/>
      <c r="M510" s="17" t="n">
        <v>0</v>
      </c>
      <c r="N510" s="17" t="n">
        <v>0</v>
      </c>
      <c r="O510" s="17" t="n">
        <v>0</v>
      </c>
      <c r="P510" s="17" t="n">
        <v>5086142.95</v>
      </c>
      <c r="Q510" s="17" t="n">
        <v>0</v>
      </c>
      <c r="R510" s="17" t="n"/>
      <c r="S510" s="17" t="n"/>
      <c r="T510" s="188" t="n"/>
      <c r="V510" s="241" t="n">
        <f aca="false" ca="false" dt2D="false" dtr="false" t="normal">COUNTIF(F510:Q510, "&gt;0")</f>
        <v>1</v>
      </c>
    </row>
    <row outlineLevel="0" r="511">
      <c r="A511" s="154" t="n">
        <f aca="false" ca="false" dt2D="false" dtr="false" t="normal">A510+1</f>
        <v>492</v>
      </c>
      <c r="B511" s="138" t="n">
        <f aca="false" ca="false" dt2D="false" dtr="false" t="normal">B510+1</f>
        <v>33</v>
      </c>
      <c r="C511" s="138" t="s">
        <v>104</v>
      </c>
      <c r="D511" s="138" t="s">
        <v>232</v>
      </c>
      <c r="E511" s="16" t="n">
        <f aca="false" ca="true" dt2D="false" dtr="false" t="normal">SUBTOTAL(9, F511:T511)</f>
        <v>11042844.71</v>
      </c>
      <c r="F511" s="17" t="n">
        <v>6697520.76</v>
      </c>
      <c r="G511" s="17" t="n">
        <v>0</v>
      </c>
      <c r="H511" s="17" t="n">
        <v>0</v>
      </c>
      <c r="I511" s="17" t="n">
        <v>4345323.95</v>
      </c>
      <c r="J511" s="17" t="n">
        <v>0</v>
      </c>
      <c r="K511" s="17" t="n"/>
      <c r="L511" s="17" t="n"/>
      <c r="M511" s="17" t="n">
        <v>0</v>
      </c>
      <c r="N511" s="17" t="n">
        <v>0</v>
      </c>
      <c r="O511" s="17" t="n">
        <v>0</v>
      </c>
      <c r="P511" s="17" t="n">
        <v>0</v>
      </c>
      <c r="Q511" s="17" t="n">
        <v>0</v>
      </c>
      <c r="R511" s="17" t="n"/>
      <c r="S511" s="17" t="n"/>
      <c r="T511" s="188" t="n"/>
      <c r="V511" s="241" t="n">
        <f aca="false" ca="false" dt2D="false" dtr="false" t="normal">COUNTIF(F511:Q511, "&gt;0")</f>
        <v>2</v>
      </c>
    </row>
    <row outlineLevel="0" r="512">
      <c r="A512" s="154" t="n">
        <f aca="false" ca="false" dt2D="false" dtr="false" t="normal">A511+1</f>
        <v>493</v>
      </c>
      <c r="B512" s="138" t="n">
        <f aca="false" ca="false" dt2D="false" dtr="false" t="normal">B511+1</f>
        <v>34</v>
      </c>
      <c r="C512" s="138" t="s">
        <v>104</v>
      </c>
      <c r="D512" s="138" t="s">
        <v>234</v>
      </c>
      <c r="E512" s="16" t="n">
        <f aca="false" ca="true" dt2D="false" dtr="false" t="normal">SUBTOTAL(9, F512:T512)</f>
        <v>5165887.8</v>
      </c>
      <c r="F512" s="17" t="n">
        <v>0</v>
      </c>
      <c r="G512" s="17" t="n">
        <v>0</v>
      </c>
      <c r="H512" s="17" t="n">
        <v>0</v>
      </c>
      <c r="I512" s="17" t="n">
        <v>0</v>
      </c>
      <c r="J512" s="17" t="n">
        <v>0</v>
      </c>
      <c r="K512" s="17" t="n"/>
      <c r="L512" s="17" t="n"/>
      <c r="M512" s="17" t="n">
        <v>0</v>
      </c>
      <c r="N512" s="17" t="n">
        <v>0</v>
      </c>
      <c r="O512" s="17" t="n">
        <v>0</v>
      </c>
      <c r="P512" s="17" t="n">
        <v>5165887.8</v>
      </c>
      <c r="Q512" s="17" t="n">
        <v>0</v>
      </c>
      <c r="R512" s="17" t="n"/>
      <c r="S512" s="17" t="n"/>
      <c r="T512" s="188" t="n"/>
      <c r="V512" s="241" t="n">
        <f aca="false" ca="false" dt2D="false" dtr="false" t="normal">COUNTIF(F512:Q512, "&gt;0")</f>
        <v>1</v>
      </c>
    </row>
    <row outlineLevel="0" r="513">
      <c r="A513" s="154" t="n">
        <f aca="false" ca="false" dt2D="false" dtr="false" t="normal">A512+1</f>
        <v>494</v>
      </c>
      <c r="B513" s="138" t="n">
        <f aca="false" ca="false" dt2D="false" dtr="false" t="normal">B512+1</f>
        <v>35</v>
      </c>
      <c r="C513" s="138" t="s">
        <v>104</v>
      </c>
      <c r="D513" s="138" t="s">
        <v>236</v>
      </c>
      <c r="E513" s="16" t="n">
        <f aca="false" ca="true" dt2D="false" dtr="false" t="normal">SUBTOTAL(9, F513:T513)</f>
        <v>5293660.37</v>
      </c>
      <c r="F513" s="17" t="n"/>
      <c r="G513" s="17" t="n">
        <v>0</v>
      </c>
      <c r="H513" s="17" t="n">
        <v>0</v>
      </c>
      <c r="I513" s="17" t="n">
        <v>0</v>
      </c>
      <c r="J513" s="17" t="n">
        <v>0</v>
      </c>
      <c r="K513" s="17" t="n"/>
      <c r="L513" s="17" t="n"/>
      <c r="M513" s="17" t="n"/>
      <c r="N513" s="17" t="n"/>
      <c r="O513" s="17" t="n"/>
      <c r="P513" s="17" t="n">
        <v>5242143.32</v>
      </c>
      <c r="Q513" s="17" t="n">
        <v>0</v>
      </c>
      <c r="R513" s="17" t="n"/>
      <c r="S513" s="17" t="n"/>
      <c r="T513" s="188" t="n">
        <v>51517.05</v>
      </c>
      <c r="U513" s="341" t="n"/>
      <c r="V513" s="241" t="n">
        <f aca="false" ca="false" dt2D="false" dtr="false" t="normal">COUNTIF(F513:Q513, "&gt;0")</f>
        <v>1</v>
      </c>
      <c r="W513" s="341" t="n"/>
      <c r="X513" s="341" t="n"/>
      <c r="Y513" s="341" t="n"/>
      <c r="Z513" s="341" t="n"/>
      <c r="AA513" s="341" t="n"/>
      <c r="AB513" s="341" t="n"/>
      <c r="AC513" s="341" t="n"/>
      <c r="AD513" s="341" t="n"/>
      <c r="AE513" s="341" t="n"/>
      <c r="AF513" s="341" t="n"/>
      <c r="AG513" s="341" t="n"/>
      <c r="AH513" s="341" t="n"/>
      <c r="AI513" s="341" t="n"/>
      <c r="AJ513" s="341" t="n"/>
      <c r="AK513" s="341" t="n"/>
      <c r="AL513" s="341" t="n"/>
      <c r="AM513" s="341" t="n"/>
      <c r="AN513" s="341" t="n"/>
      <c r="AO513" s="341" t="n"/>
      <c r="AP513" s="341" t="n"/>
      <c r="AQ513" s="341" t="n"/>
      <c r="AR513" s="341" t="n"/>
      <c r="AS513" s="341" t="n"/>
      <c r="AT513" s="341" t="n"/>
      <c r="AU513" s="341" t="n"/>
      <c r="AV513" s="341" t="n"/>
      <c r="AW513" s="341" t="n"/>
      <c r="AX513" s="341" t="n"/>
      <c r="AY513" s="341" t="n"/>
      <c r="AZ513" s="341" t="n"/>
      <c r="BA513" s="341" t="n"/>
      <c r="BB513" s="341" t="n"/>
      <c r="BC513" s="341" t="n"/>
      <c r="BD513" s="341" t="n"/>
      <c r="BE513" s="341" t="n"/>
      <c r="BF513" s="341" t="n"/>
      <c r="BG513" s="341" t="n"/>
      <c r="BH513" s="341" t="n"/>
      <c r="BI513" s="341" t="n"/>
      <c r="BJ513" s="341" t="n"/>
      <c r="BK513" s="341" t="n"/>
      <c r="BL513" s="341" t="n"/>
      <c r="BM513" s="341" t="n"/>
      <c r="BN513" s="341" t="n"/>
      <c r="BO513" s="341" t="n"/>
      <c r="BP513" s="341" t="n"/>
    </row>
    <row outlineLevel="0" r="514">
      <c r="A514" s="154" t="n">
        <f aca="false" ca="false" dt2D="false" dtr="false" t="normal">A513+1</f>
        <v>495</v>
      </c>
      <c r="B514" s="138" t="n">
        <f aca="false" ca="false" dt2D="false" dtr="false" t="normal">B513+1</f>
        <v>36</v>
      </c>
      <c r="C514" s="138" t="s">
        <v>104</v>
      </c>
      <c r="D514" s="138" t="s">
        <v>238</v>
      </c>
      <c r="E514" s="16" t="n">
        <f aca="false" ca="true" dt2D="false" dtr="false" t="normal">SUBTOTAL(9, F514:T514)</f>
        <v>5242000.45</v>
      </c>
      <c r="F514" s="17" t="n">
        <v>0</v>
      </c>
      <c r="G514" s="17" t="n">
        <v>0</v>
      </c>
      <c r="H514" s="17" t="n">
        <v>5185251.28</v>
      </c>
      <c r="I514" s="17" t="n">
        <v>0</v>
      </c>
      <c r="J514" s="17" t="n">
        <v>0</v>
      </c>
      <c r="K514" s="17" t="n"/>
      <c r="L514" s="17" t="n"/>
      <c r="M514" s="17" t="n">
        <v>0</v>
      </c>
      <c r="N514" s="17" t="n">
        <v>0</v>
      </c>
      <c r="O514" s="17" t="n">
        <v>0</v>
      </c>
      <c r="P514" s="17" t="n">
        <v>0</v>
      </c>
      <c r="Q514" s="17" t="n">
        <v>0</v>
      </c>
      <c r="R514" s="17" t="n"/>
      <c r="S514" s="17" t="n"/>
      <c r="T514" s="188" t="n">
        <v>56749.17</v>
      </c>
      <c r="V514" s="241" t="n">
        <f aca="false" ca="false" dt2D="false" dtr="false" t="normal">COUNTIF(F514:Q514, "&gt;0")</f>
        <v>1</v>
      </c>
    </row>
    <row outlineLevel="0" r="515">
      <c r="A515" s="154" t="n">
        <f aca="false" ca="false" dt2D="false" dtr="false" t="normal">A514+1</f>
        <v>496</v>
      </c>
      <c r="B515" s="138" t="n">
        <f aca="false" ca="false" dt2D="false" dtr="false" t="normal">B514+1</f>
        <v>37</v>
      </c>
      <c r="C515" s="138" t="s">
        <v>104</v>
      </c>
      <c r="D515" s="138" t="s">
        <v>124</v>
      </c>
      <c r="E515" s="16" t="n">
        <f aca="false" ca="true" dt2D="false" dtr="false" t="normal">SUBTOTAL(9, F515:T515)</f>
        <v>2476321.54</v>
      </c>
      <c r="F515" s="17" t="n"/>
      <c r="G515" s="17" t="n"/>
      <c r="H515" s="17" t="n">
        <v>2476321.54</v>
      </c>
      <c r="I515" s="17" t="n">
        <v>0</v>
      </c>
      <c r="J515" s="17" t="n"/>
      <c r="K515" s="17" t="n"/>
      <c r="L515" s="17" t="n"/>
      <c r="M515" s="17" t="n"/>
      <c r="N515" s="17" t="n"/>
      <c r="O515" s="17" t="n">
        <v>0</v>
      </c>
      <c r="P515" s="17" t="n">
        <v>0</v>
      </c>
      <c r="Q515" s="17" t="n">
        <v>0</v>
      </c>
      <c r="R515" s="17" t="n"/>
      <c r="S515" s="17" t="n"/>
      <c r="T515" s="188" t="n"/>
      <c r="V515" s="241" t="n">
        <f aca="false" ca="false" dt2D="false" dtr="false" t="normal">COUNTIF(F515:Q515, "&gt;0")</f>
        <v>1</v>
      </c>
    </row>
    <row outlineLevel="0" r="516">
      <c r="A516" s="154" t="n">
        <f aca="false" ca="false" dt2D="false" dtr="false" t="normal">A515+1</f>
        <v>497</v>
      </c>
      <c r="B516" s="138" t="n">
        <f aca="false" ca="false" dt2D="false" dtr="false" t="normal">B515+1</f>
        <v>38</v>
      </c>
      <c r="C516" s="138" t="s">
        <v>104</v>
      </c>
      <c r="D516" s="138" t="s">
        <v>241</v>
      </c>
      <c r="E516" s="16" t="n">
        <f aca="false" ca="true" dt2D="false" dtr="false" t="normal">SUBTOTAL(9, F516:T516)</f>
        <v>1756633.96</v>
      </c>
      <c r="F516" s="17" t="n"/>
      <c r="G516" s="17" t="n">
        <v>0</v>
      </c>
      <c r="H516" s="17" t="n">
        <v>1734135.91</v>
      </c>
      <c r="I516" s="17" t="n">
        <v>0</v>
      </c>
      <c r="J516" s="17" t="n">
        <v>0</v>
      </c>
      <c r="K516" s="17" t="n"/>
      <c r="L516" s="17" t="n"/>
      <c r="M516" s="17" t="n">
        <v>0</v>
      </c>
      <c r="N516" s="17" t="n">
        <v>0</v>
      </c>
      <c r="O516" s="17" t="n">
        <v>0</v>
      </c>
      <c r="P516" s="17" t="n">
        <v>0</v>
      </c>
      <c r="Q516" s="17" t="n">
        <v>0</v>
      </c>
      <c r="R516" s="17" t="n"/>
      <c r="S516" s="17" t="n"/>
      <c r="T516" s="27" t="n">
        <v>22498.05</v>
      </c>
      <c r="V516" s="241" t="n">
        <f aca="false" ca="false" dt2D="false" dtr="false" t="normal">COUNTIF(F516:Q516, "&gt;0")</f>
        <v>1</v>
      </c>
    </row>
    <row outlineLevel="0" r="517">
      <c r="A517" s="154" t="n">
        <f aca="false" ca="false" dt2D="false" dtr="false" t="normal">A516+1</f>
        <v>498</v>
      </c>
      <c r="B517" s="138" t="n">
        <f aca="false" ca="false" dt2D="false" dtr="false" t="normal">B516+1</f>
        <v>39</v>
      </c>
      <c r="C517" s="138" t="s">
        <v>104</v>
      </c>
      <c r="D517" s="138" t="s">
        <v>244</v>
      </c>
      <c r="E517" s="16" t="n">
        <f aca="false" ca="true" dt2D="false" dtr="false" t="normal">SUBTOTAL(9, F517:T517)</f>
        <v>9960662.12</v>
      </c>
      <c r="F517" s="17" t="n">
        <v>0</v>
      </c>
      <c r="G517" s="17" t="n">
        <v>0</v>
      </c>
      <c r="H517" s="17" t="n">
        <v>0</v>
      </c>
      <c r="I517" s="17" t="n">
        <v>0</v>
      </c>
      <c r="J517" s="17" t="n">
        <v>0</v>
      </c>
      <c r="K517" s="17" t="n"/>
      <c r="L517" s="17" t="n"/>
      <c r="M517" s="17" t="n">
        <v>0</v>
      </c>
      <c r="N517" s="17" t="n">
        <v>0</v>
      </c>
      <c r="O517" s="17" t="n"/>
      <c r="P517" s="17" t="n">
        <v>9960662.12</v>
      </c>
      <c r="Q517" s="17" t="n">
        <v>0</v>
      </c>
      <c r="R517" s="17" t="n"/>
      <c r="S517" s="17" t="n"/>
      <c r="T517" s="188" t="n"/>
      <c r="V517" s="241" t="n">
        <f aca="false" ca="false" dt2D="false" dtr="false" t="normal">COUNTIF(F517:Q517, "&gt;0")</f>
        <v>1</v>
      </c>
    </row>
    <row outlineLevel="0" r="518">
      <c r="A518" s="154" t="n">
        <f aca="false" ca="false" dt2D="false" dtr="false" t="normal">A517+1</f>
        <v>499</v>
      </c>
      <c r="B518" s="138" t="n">
        <f aca="false" ca="false" dt2D="false" dtr="false" t="normal">B517+1</f>
        <v>40</v>
      </c>
      <c r="C518" s="138" t="s">
        <v>104</v>
      </c>
      <c r="D518" s="138" t="s">
        <v>246</v>
      </c>
      <c r="E518" s="16" t="n">
        <f aca="false" ca="true" dt2D="false" dtr="false" t="normal">SUBTOTAL(9, F518:T518)</f>
        <v>3016891.8</v>
      </c>
      <c r="F518" s="17" t="n"/>
      <c r="G518" s="17" t="n"/>
      <c r="H518" s="17" t="n">
        <v>0</v>
      </c>
      <c r="I518" s="17" t="n">
        <v>0</v>
      </c>
      <c r="J518" s="17" t="n">
        <v>0</v>
      </c>
      <c r="K518" s="17" t="n"/>
      <c r="L518" s="17" t="n">
        <v>0</v>
      </c>
      <c r="M518" s="17" t="n"/>
      <c r="N518" s="17" t="n"/>
      <c r="O518" s="17" t="n">
        <v>3016891.8</v>
      </c>
      <c r="P518" s="17" t="n">
        <v>0</v>
      </c>
      <c r="Q518" s="17" t="n">
        <v>0</v>
      </c>
      <c r="R518" s="17" t="n"/>
      <c r="S518" s="17" t="n"/>
      <c r="T518" s="188" t="n"/>
      <c r="V518" s="241" t="n">
        <f aca="false" ca="false" dt2D="false" dtr="false" t="normal">COUNTIF(F518:Q518, "&gt;0")</f>
        <v>1</v>
      </c>
    </row>
    <row outlineLevel="0" r="519">
      <c r="A519" s="154" t="n">
        <f aca="false" ca="false" dt2D="false" dtr="false" t="normal">A518+1</f>
        <v>500</v>
      </c>
      <c r="B519" s="138" t="n">
        <f aca="false" ca="false" dt2D="false" dtr="false" t="normal">B518+1</f>
        <v>41</v>
      </c>
      <c r="C519" s="138" t="s">
        <v>104</v>
      </c>
      <c r="D519" s="138" t="s">
        <v>126</v>
      </c>
      <c r="E519" s="16" t="n">
        <f aca="false" ca="true" dt2D="false" dtr="false" t="normal">SUBTOTAL(9, F519:T519)</f>
        <v>4238474.54</v>
      </c>
      <c r="F519" s="17" t="n"/>
      <c r="G519" s="17" t="n"/>
      <c r="H519" s="17" t="n">
        <v>4186981.48</v>
      </c>
      <c r="I519" s="17" t="n"/>
      <c r="J519" s="17" t="n"/>
      <c r="K519" s="17" t="n"/>
      <c r="L519" s="17" t="n"/>
      <c r="M519" s="17" t="n"/>
      <c r="N519" s="17" t="n"/>
      <c r="O519" s="17" t="n"/>
      <c r="P519" s="17" t="n">
        <v>0</v>
      </c>
      <c r="Q519" s="17" t="n">
        <v>0</v>
      </c>
      <c r="R519" s="17" t="n"/>
      <c r="S519" s="17" t="n"/>
      <c r="T519" s="188" t="n">
        <v>51493.06</v>
      </c>
      <c r="V519" s="241" t="n">
        <f aca="false" ca="false" dt2D="false" dtr="false" t="normal">COUNTIF(F519:Q519, "&gt;0")</f>
        <v>1</v>
      </c>
    </row>
    <row outlineLevel="0" r="520">
      <c r="A520" s="154" t="n">
        <f aca="false" ca="false" dt2D="false" dtr="false" t="normal">A519+1</f>
        <v>501</v>
      </c>
      <c r="B520" s="138" t="n">
        <f aca="false" ca="false" dt2D="false" dtr="false" t="normal">B519+1</f>
        <v>42</v>
      </c>
      <c r="C520" s="138" t="s">
        <v>104</v>
      </c>
      <c r="D520" s="138" t="s">
        <v>135</v>
      </c>
      <c r="E520" s="16" t="n">
        <f aca="false" ca="true" dt2D="false" dtr="false" t="normal">SUBTOTAL(9, F520:T520)</f>
        <v>2263835.58</v>
      </c>
      <c r="F520" s="17" t="n"/>
      <c r="G520" s="17" t="n"/>
      <c r="H520" s="17" t="n">
        <v>2233525.67</v>
      </c>
      <c r="I520" s="17" t="n"/>
      <c r="J520" s="17" t="n">
        <v>0</v>
      </c>
      <c r="K520" s="17" t="n"/>
      <c r="L520" s="17" t="n"/>
      <c r="M520" s="17" t="n">
        <v>0</v>
      </c>
      <c r="N520" s="17" t="n">
        <v>0</v>
      </c>
      <c r="O520" s="17" t="n"/>
      <c r="P520" s="17" t="n">
        <v>0</v>
      </c>
      <c r="Q520" s="17" t="n">
        <v>0</v>
      </c>
      <c r="R520" s="17" t="n"/>
      <c r="S520" s="17" t="n"/>
      <c r="T520" s="188" t="n">
        <v>30309.91</v>
      </c>
      <c r="V520" s="241" t="n">
        <f aca="false" ca="false" dt2D="false" dtr="false" t="normal">COUNTIF(F520:Q520, "&gt;0")</f>
        <v>1</v>
      </c>
    </row>
    <row outlineLevel="0" r="521">
      <c r="A521" s="154" t="n">
        <f aca="false" ca="false" dt2D="false" dtr="false" t="normal">A520+1</f>
        <v>502</v>
      </c>
      <c r="B521" s="138" t="n">
        <f aca="false" ca="false" dt2D="false" dtr="false" t="normal">B520+1</f>
        <v>43</v>
      </c>
      <c r="C521" s="138" t="s">
        <v>104</v>
      </c>
      <c r="D521" s="138" t="s">
        <v>137</v>
      </c>
      <c r="E521" s="16" t="n">
        <f aca="false" ca="true" dt2D="false" dtr="false" t="normal">SUBTOTAL(9, F521:T521)</f>
        <v>921428.35</v>
      </c>
      <c r="F521" s="17" t="n"/>
      <c r="G521" s="17" t="n"/>
      <c r="H521" s="17" t="n"/>
      <c r="I521" s="17" t="n"/>
      <c r="J521" s="17" t="n"/>
      <c r="K521" s="17" t="n"/>
      <c r="L521" s="17" t="n"/>
      <c r="M521" s="17" t="n">
        <v>0</v>
      </c>
      <c r="N521" s="17" t="n">
        <v>0</v>
      </c>
      <c r="O521" s="17" t="n">
        <v>921428.35</v>
      </c>
      <c r="P521" s="17" t="n">
        <v>0</v>
      </c>
      <c r="Q521" s="17" t="n">
        <v>0</v>
      </c>
      <c r="R521" s="17" t="n"/>
      <c r="S521" s="17" t="n"/>
      <c r="T521" s="188" t="n"/>
      <c r="V521" s="241" t="n">
        <f aca="false" ca="false" dt2D="false" dtr="false" t="normal">COUNTIF(F521:Q521, "&gt;0")</f>
        <v>1</v>
      </c>
    </row>
    <row outlineLevel="0" r="522">
      <c r="A522" s="154" t="n">
        <f aca="false" ca="false" dt2D="false" dtr="false" t="normal">A521+1</f>
        <v>503</v>
      </c>
      <c r="B522" s="138" t="n">
        <f aca="false" ca="false" dt2D="false" dtr="false" t="normal">B521+1</f>
        <v>44</v>
      </c>
      <c r="C522" s="138" t="s">
        <v>104</v>
      </c>
      <c r="D522" s="138" t="s">
        <v>251</v>
      </c>
      <c r="E522" s="16" t="n">
        <f aca="false" ca="true" dt2D="false" dtr="false" t="normal">SUBTOTAL(9, F522:T522)</f>
        <v>2078380.68</v>
      </c>
      <c r="F522" s="17" t="n"/>
      <c r="G522" s="17" t="n"/>
      <c r="H522" s="17" t="n">
        <v>2051370.68</v>
      </c>
      <c r="I522" s="17" t="n"/>
      <c r="J522" s="17" t="n">
        <v>0</v>
      </c>
      <c r="K522" s="17" t="n"/>
      <c r="L522" s="17" t="n"/>
      <c r="M522" s="17" t="n">
        <v>0</v>
      </c>
      <c r="N522" s="17" t="n">
        <v>0</v>
      </c>
      <c r="O522" s="17" t="n"/>
      <c r="P522" s="17" t="n">
        <v>0</v>
      </c>
      <c r="Q522" s="17" t="n">
        <v>0</v>
      </c>
      <c r="R522" s="17" t="n"/>
      <c r="S522" s="17" t="n"/>
      <c r="T522" s="188" t="n">
        <v>27010</v>
      </c>
      <c r="V522" s="241" t="n">
        <f aca="false" ca="false" dt2D="false" dtr="false" t="normal">COUNTIF(F522:Q522, "&gt;0")</f>
        <v>1</v>
      </c>
    </row>
    <row outlineLevel="0" r="523">
      <c r="A523" s="154" t="n">
        <f aca="false" ca="false" dt2D="false" dtr="false" t="normal">A522+1</f>
        <v>504</v>
      </c>
      <c r="B523" s="138" t="n">
        <f aca="false" ca="false" dt2D="false" dtr="false" t="normal">B522+1</f>
        <v>45</v>
      </c>
      <c r="C523" s="138" t="s">
        <v>104</v>
      </c>
      <c r="D523" s="138" t="s">
        <v>253</v>
      </c>
      <c r="E523" s="16" t="n">
        <f aca="false" ca="true" dt2D="false" dtr="false" t="normal">SUBTOTAL(9, F523:T523)</f>
        <v>19223883.2</v>
      </c>
      <c r="F523" s="17" t="n">
        <v>0</v>
      </c>
      <c r="G523" s="17" t="n">
        <v>0</v>
      </c>
      <c r="H523" s="17" t="n">
        <v>0</v>
      </c>
      <c r="I523" s="17" t="n">
        <v>0</v>
      </c>
      <c r="J523" s="17" t="n">
        <v>0</v>
      </c>
      <c r="K523" s="17" t="n"/>
      <c r="L523" s="17" t="n"/>
      <c r="M523" s="17" t="n">
        <v>0</v>
      </c>
      <c r="N523" s="17" t="n">
        <v>0</v>
      </c>
      <c r="O523" s="17" t="n">
        <v>0</v>
      </c>
      <c r="P523" s="17" t="n">
        <v>19223883.2</v>
      </c>
      <c r="Q523" s="17" t="n">
        <v>0</v>
      </c>
      <c r="R523" s="17" t="n"/>
      <c r="S523" s="17" t="n"/>
      <c r="T523" s="188" t="n"/>
      <c r="V523" s="241" t="n">
        <f aca="false" ca="false" dt2D="false" dtr="false" t="normal">COUNTIF(F523:Q523, "&gt;0")</f>
        <v>1</v>
      </c>
    </row>
    <row outlineLevel="0" r="524">
      <c r="A524" s="154" t="n">
        <f aca="false" ca="false" dt2D="false" dtr="false" t="normal">A523+1</f>
        <v>505</v>
      </c>
      <c r="B524" s="138" t="n">
        <f aca="false" ca="false" dt2D="false" dtr="false" t="normal">B523+1</f>
        <v>46</v>
      </c>
      <c r="C524" s="138" t="s">
        <v>104</v>
      </c>
      <c r="D524" s="138" t="s">
        <v>255</v>
      </c>
      <c r="E524" s="16" t="n">
        <f aca="false" ca="true" dt2D="false" dtr="false" t="normal">SUBTOTAL(9, F524:T524)</f>
        <v>4078792.18</v>
      </c>
      <c r="F524" s="17" t="n"/>
      <c r="G524" s="17" t="n"/>
      <c r="H524" s="17" t="n">
        <v>0</v>
      </c>
      <c r="I524" s="17" t="n">
        <v>4078792.18</v>
      </c>
      <c r="J524" s="17" t="n">
        <v>0</v>
      </c>
      <c r="K524" s="17" t="n"/>
      <c r="L524" s="17" t="n"/>
      <c r="M524" s="17" t="n">
        <v>0</v>
      </c>
      <c r="N524" s="17" t="n">
        <v>0</v>
      </c>
      <c r="O524" s="17" t="n">
        <v>0</v>
      </c>
      <c r="P524" s="17" t="n">
        <v>0</v>
      </c>
      <c r="Q524" s="17" t="n">
        <v>0</v>
      </c>
      <c r="R524" s="17" t="n"/>
      <c r="S524" s="17" t="n"/>
      <c r="T524" s="188" t="n"/>
      <c r="V524" s="241" t="n">
        <f aca="false" ca="false" dt2D="false" dtr="false" t="normal">COUNTIF(F524:Q524, "&gt;0")</f>
        <v>1</v>
      </c>
    </row>
    <row outlineLevel="0" r="525">
      <c r="A525" s="154" t="n">
        <f aca="false" ca="false" dt2D="false" dtr="false" t="normal">A524+1</f>
        <v>506</v>
      </c>
      <c r="B525" s="138" t="n">
        <f aca="false" ca="false" dt2D="false" dtr="false" t="normal">B524+1</f>
        <v>47</v>
      </c>
      <c r="C525" s="138" t="s">
        <v>104</v>
      </c>
      <c r="D525" s="138" t="s">
        <v>258</v>
      </c>
      <c r="E525" s="16" t="n">
        <f aca="false" ca="true" dt2D="false" dtr="false" t="normal">SUBTOTAL(9, F525:T525)</f>
        <v>3221072.69</v>
      </c>
      <c r="F525" s="17" t="n">
        <v>3221072.69</v>
      </c>
      <c r="G525" s="17" t="n">
        <v>0</v>
      </c>
      <c r="H525" s="17" t="n">
        <v>0</v>
      </c>
      <c r="I525" s="17" t="n">
        <v>0</v>
      </c>
      <c r="J525" s="17" t="n">
        <v>0</v>
      </c>
      <c r="K525" s="17" t="n"/>
      <c r="L525" s="17" t="n"/>
      <c r="M525" s="17" t="n">
        <v>0</v>
      </c>
      <c r="N525" s="17" t="n">
        <v>0</v>
      </c>
      <c r="O525" s="17" t="n">
        <v>0</v>
      </c>
      <c r="P525" s="17" t="n">
        <v>0</v>
      </c>
      <c r="Q525" s="17" t="n">
        <v>0</v>
      </c>
      <c r="R525" s="17" t="n"/>
      <c r="S525" s="17" t="n"/>
      <c r="T525" s="188" t="n"/>
      <c r="V525" s="241" t="n">
        <f aca="false" ca="false" dt2D="false" dtr="false" t="normal">COUNTIF(F525:Q525, "&gt;0")</f>
        <v>1</v>
      </c>
    </row>
    <row outlineLevel="0" r="526">
      <c r="A526" s="154" t="n">
        <f aca="false" ca="false" dt2D="false" dtr="false" t="normal">A525+1</f>
        <v>507</v>
      </c>
      <c r="B526" s="138" t="n">
        <f aca="false" ca="false" dt2D="false" dtr="false" t="normal">B525+1</f>
        <v>48</v>
      </c>
      <c r="C526" s="138" t="s">
        <v>104</v>
      </c>
      <c r="D526" s="138" t="s">
        <v>260</v>
      </c>
      <c r="E526" s="16" t="n">
        <f aca="false" ca="true" dt2D="false" dtr="false" t="normal">SUBTOTAL(9, F526:T526)</f>
        <v>20792624.55</v>
      </c>
      <c r="F526" s="17" t="n">
        <v>3965533.13</v>
      </c>
      <c r="G526" s="17" t="n">
        <v>1547451.81</v>
      </c>
      <c r="H526" s="17" t="n">
        <v>1555631.83</v>
      </c>
      <c r="I526" s="17" t="n">
        <v>1086608.34</v>
      </c>
      <c r="J526" s="17" t="n">
        <v>0</v>
      </c>
      <c r="K526" s="17" t="n"/>
      <c r="L526" s="17" t="n"/>
      <c r="M526" s="17" t="n">
        <v>0</v>
      </c>
      <c r="N526" s="17" t="n">
        <v>0</v>
      </c>
      <c r="O526" s="17" t="n">
        <v>0</v>
      </c>
      <c r="P526" s="17" t="n">
        <v>12419855.66</v>
      </c>
      <c r="Q526" s="17" t="n">
        <v>0</v>
      </c>
      <c r="R526" s="17" t="n"/>
      <c r="S526" s="17" t="n"/>
      <c r="T526" s="188" t="n">
        <v>217543.78</v>
      </c>
      <c r="V526" s="241" t="n">
        <f aca="false" ca="false" dt2D="false" dtr="false" t="normal">COUNTIF(F526:Q526, "&gt;0")</f>
        <v>5</v>
      </c>
    </row>
    <row outlineLevel="0" r="527">
      <c r="A527" s="154" t="n">
        <f aca="false" ca="false" dt2D="false" dtr="false" t="normal">A526+1</f>
        <v>508</v>
      </c>
      <c r="B527" s="138" t="n">
        <f aca="false" ca="false" dt2D="false" dtr="false" t="normal">B526+1</f>
        <v>49</v>
      </c>
      <c r="C527" s="138" t="s">
        <v>104</v>
      </c>
      <c r="D527" s="138" t="s">
        <v>262</v>
      </c>
      <c r="E527" s="16" t="n">
        <f aca="false" ca="true" dt2D="false" dtr="false" t="normal">SUBTOTAL(9, F527:T527)</f>
        <v>5667697.4399999995</v>
      </c>
      <c r="F527" s="17" t="n">
        <v>3392054.08</v>
      </c>
      <c r="G527" s="17" t="n">
        <v>2275643.36</v>
      </c>
      <c r="H527" s="17" t="n">
        <v>0</v>
      </c>
      <c r="I527" s="17" t="n">
        <v>0</v>
      </c>
      <c r="J527" s="17" t="n">
        <v>0</v>
      </c>
      <c r="K527" s="17" t="n"/>
      <c r="L527" s="17" t="n"/>
      <c r="M527" s="17" t="n">
        <v>0</v>
      </c>
      <c r="N527" s="17" t="n"/>
      <c r="O527" s="17" t="n"/>
      <c r="P527" s="17" t="n"/>
      <c r="Q527" s="17" t="n">
        <v>0</v>
      </c>
      <c r="R527" s="17" t="n"/>
      <c r="S527" s="17" t="n"/>
      <c r="T527" s="188" t="n"/>
      <c r="U527" s="12" t="n"/>
      <c r="V527" s="241" t="n">
        <f aca="false" ca="false" dt2D="false" dtr="false" t="normal">COUNTIF(F527:Q527, "&gt;0")</f>
        <v>2</v>
      </c>
    </row>
    <row outlineLevel="0" r="528">
      <c r="A528" s="154" t="n">
        <f aca="false" ca="false" dt2D="false" dtr="false" t="normal">A527+1</f>
        <v>509</v>
      </c>
      <c r="B528" s="138" t="n">
        <f aca="false" ca="false" dt2D="false" dtr="false" t="normal">B527+1</f>
        <v>50</v>
      </c>
      <c r="C528" s="138" t="s">
        <v>104</v>
      </c>
      <c r="D528" s="138" t="s">
        <v>264</v>
      </c>
      <c r="E528" s="16" t="n">
        <f aca="false" ca="true" dt2D="false" dtr="false" t="normal">SUBTOTAL(9, F528:T528)</f>
        <v>7528402.42</v>
      </c>
      <c r="F528" s="17" t="n">
        <v>4400042.86</v>
      </c>
      <c r="G528" s="17" t="n"/>
      <c r="H528" s="17" t="n">
        <v>3106137.67</v>
      </c>
      <c r="I528" s="17" t="n">
        <v>0</v>
      </c>
      <c r="J528" s="17" t="n">
        <v>0</v>
      </c>
      <c r="K528" s="17" t="n"/>
      <c r="L528" s="17" t="n"/>
      <c r="M528" s="17" t="n">
        <v>0</v>
      </c>
      <c r="N528" s="17" t="n">
        <v>0</v>
      </c>
      <c r="O528" s="17" t="n">
        <v>0</v>
      </c>
      <c r="P528" s="17" t="n">
        <v>0</v>
      </c>
      <c r="Q528" s="17" t="n">
        <v>0</v>
      </c>
      <c r="R528" s="17" t="n"/>
      <c r="S528" s="17" t="n"/>
      <c r="T528" s="188" t="n">
        <v>22221.89</v>
      </c>
      <c r="V528" s="241" t="n">
        <f aca="false" ca="false" dt2D="false" dtr="false" t="normal">COUNTIF(F528:Q528, "&gt;0")</f>
        <v>2</v>
      </c>
    </row>
    <row outlineLevel="0" r="529">
      <c r="A529" s="154" t="n">
        <f aca="false" ca="false" dt2D="false" dtr="false" t="normal">A528+1</f>
        <v>510</v>
      </c>
      <c r="B529" s="138" t="n">
        <f aca="false" ca="false" dt2D="false" dtr="false" t="normal">B528+1</f>
        <v>51</v>
      </c>
      <c r="C529" s="138" t="s">
        <v>104</v>
      </c>
      <c r="D529" s="138" t="s">
        <v>266</v>
      </c>
      <c r="E529" s="16" t="n">
        <f aca="false" ca="true" dt2D="false" dtr="false" t="normal">SUBTOTAL(9, F529:T529)</f>
        <v>1642032.02</v>
      </c>
      <c r="F529" s="17" t="n"/>
      <c r="G529" s="17" t="n">
        <v>0</v>
      </c>
      <c r="H529" s="17" t="n">
        <v>0</v>
      </c>
      <c r="I529" s="17" t="n">
        <v>1642032.02</v>
      </c>
      <c r="J529" s="17" t="n">
        <v>0</v>
      </c>
      <c r="K529" s="17" t="n"/>
      <c r="L529" s="17" t="n"/>
      <c r="M529" s="17" t="n">
        <v>0</v>
      </c>
      <c r="N529" s="17" t="n">
        <v>0</v>
      </c>
      <c r="O529" s="17" t="n"/>
      <c r="P529" s="17" t="n">
        <v>0</v>
      </c>
      <c r="Q529" s="17" t="n">
        <v>0</v>
      </c>
      <c r="R529" s="17" t="n"/>
      <c r="S529" s="17" t="n"/>
      <c r="T529" s="188" t="n"/>
      <c r="V529" s="241" t="n">
        <f aca="false" ca="false" dt2D="false" dtr="false" t="normal">COUNTIF(F529:Q529, "&gt;0")</f>
        <v>1</v>
      </c>
    </row>
    <row outlineLevel="0" r="530">
      <c r="A530" s="154" t="n">
        <f aca="false" ca="false" dt2D="false" dtr="false" t="normal">A529+1</f>
        <v>511</v>
      </c>
      <c r="B530" s="138" t="n">
        <f aca="false" ca="false" dt2D="false" dtr="false" t="normal">B529+1</f>
        <v>52</v>
      </c>
      <c r="C530" s="138" t="s">
        <v>104</v>
      </c>
      <c r="D530" s="138" t="s">
        <v>168</v>
      </c>
      <c r="E530" s="16" t="n">
        <f aca="false" ca="true" dt2D="false" dtr="false" t="normal">SUBTOTAL(9, F530:T530)</f>
        <v>2727011.51</v>
      </c>
      <c r="F530" s="17" t="n"/>
      <c r="G530" s="17" t="n"/>
      <c r="H530" s="17" t="n">
        <v>2693426.34</v>
      </c>
      <c r="I530" s="17" t="n"/>
      <c r="J530" s="17" t="n"/>
      <c r="K530" s="17" t="n"/>
      <c r="L530" s="17" t="n"/>
      <c r="M530" s="17" t="n"/>
      <c r="N530" s="17" t="n"/>
      <c r="O530" s="17" t="n">
        <v>0</v>
      </c>
      <c r="P530" s="17" t="n">
        <v>0</v>
      </c>
      <c r="Q530" s="17" t="n">
        <v>0</v>
      </c>
      <c r="R530" s="17" t="n"/>
      <c r="S530" s="17" t="n"/>
      <c r="T530" s="188" t="n">
        <v>33585.17</v>
      </c>
      <c r="V530" s="241" t="n">
        <f aca="false" ca="false" dt2D="false" dtr="false" t="normal">COUNTIF(F530:Q530, "&gt;0")</f>
        <v>1</v>
      </c>
    </row>
    <row outlineLevel="0" r="531">
      <c r="A531" s="154" t="n">
        <f aca="false" ca="false" dt2D="false" dtr="false" t="normal">A530+1</f>
        <v>512</v>
      </c>
      <c r="B531" s="138" t="n">
        <f aca="false" ca="false" dt2D="false" dtr="false" t="normal">B530+1</f>
        <v>53</v>
      </c>
      <c r="C531" s="138" t="s">
        <v>104</v>
      </c>
      <c r="D531" s="138" t="s">
        <v>269</v>
      </c>
      <c r="E531" s="16" t="n">
        <f aca="false" ca="true" dt2D="false" dtr="false" t="normal">SUBTOTAL(9, F531:T531)</f>
        <v>3869439.16</v>
      </c>
      <c r="F531" s="17" t="n"/>
      <c r="G531" s="17" t="n"/>
      <c r="H531" s="17" t="n">
        <v>3826853.64</v>
      </c>
      <c r="I531" s="17" t="n"/>
      <c r="J531" s="17" t="n">
        <v>0</v>
      </c>
      <c r="K531" s="17" t="n"/>
      <c r="L531" s="17" t="n"/>
      <c r="M531" s="17" t="n">
        <v>0</v>
      </c>
      <c r="N531" s="17" t="n">
        <v>0</v>
      </c>
      <c r="O531" s="17" t="n"/>
      <c r="P531" s="17" t="n">
        <v>0</v>
      </c>
      <c r="Q531" s="17" t="n">
        <v>0</v>
      </c>
      <c r="R531" s="17" t="n"/>
      <c r="S531" s="17" t="n"/>
      <c r="T531" s="188" t="n">
        <v>42585.52</v>
      </c>
      <c r="V531" s="241" t="n">
        <f aca="false" ca="false" dt2D="false" dtr="false" t="normal">COUNTIF(F531:Q531, "&gt;0")</f>
        <v>1</v>
      </c>
    </row>
    <row outlineLevel="0" r="532">
      <c r="A532" s="154" t="n">
        <f aca="false" ca="false" dt2D="false" dtr="false" t="normal">A531+1</f>
        <v>513</v>
      </c>
      <c r="B532" s="138" t="n">
        <f aca="false" ca="false" dt2D="false" dtr="false" t="normal">B531+1</f>
        <v>54</v>
      </c>
      <c r="C532" s="138" t="s">
        <v>104</v>
      </c>
      <c r="D532" s="138" t="s">
        <v>271</v>
      </c>
      <c r="E532" s="16" t="n">
        <f aca="false" ca="true" dt2D="false" dtr="false" t="normal">SUBTOTAL(9, F532:T532)</f>
        <v>3338870.34</v>
      </c>
      <c r="F532" s="17" t="n">
        <v>0</v>
      </c>
      <c r="G532" s="17" t="n">
        <v>0</v>
      </c>
      <c r="H532" s="17" t="n">
        <v>3304977.61</v>
      </c>
      <c r="I532" s="17" t="n">
        <v>0</v>
      </c>
      <c r="J532" s="17" t="n">
        <v>0</v>
      </c>
      <c r="K532" s="17" t="n"/>
      <c r="L532" s="17" t="n"/>
      <c r="M532" s="17" t="n">
        <v>0</v>
      </c>
      <c r="N532" s="17" t="n">
        <v>0</v>
      </c>
      <c r="O532" s="17" t="n">
        <v>0</v>
      </c>
      <c r="P532" s="17" t="n">
        <v>0</v>
      </c>
      <c r="Q532" s="17" t="n">
        <v>0</v>
      </c>
      <c r="R532" s="17" t="n"/>
      <c r="S532" s="17" t="n"/>
      <c r="T532" s="188" t="n">
        <v>33892.73</v>
      </c>
      <c r="V532" s="241" t="n">
        <f aca="false" ca="false" dt2D="false" dtr="false" t="normal">COUNTIF(F532:Q532, "&gt;0")</f>
        <v>1</v>
      </c>
    </row>
    <row outlineLevel="0" r="533">
      <c r="A533" s="154" t="n">
        <f aca="false" ca="false" dt2D="false" dtr="false" t="normal">A532+1</f>
        <v>514</v>
      </c>
      <c r="B533" s="138" t="n">
        <f aca="false" ca="false" dt2D="false" dtr="false" t="normal">B532+1</f>
        <v>55</v>
      </c>
      <c r="C533" s="138" t="s">
        <v>104</v>
      </c>
      <c r="D533" s="138" t="s">
        <v>273</v>
      </c>
      <c r="E533" s="16" t="n">
        <f aca="false" ca="true" dt2D="false" dtr="false" t="normal">SUBTOTAL(9, F533:T533)</f>
        <v>1698539.67</v>
      </c>
      <c r="F533" s="17" t="n"/>
      <c r="G533" s="17" t="n">
        <v>0</v>
      </c>
      <c r="H533" s="17" t="n">
        <v>1680888.16</v>
      </c>
      <c r="I533" s="17" t="n">
        <v>0</v>
      </c>
      <c r="J533" s="17" t="n">
        <v>0</v>
      </c>
      <c r="K533" s="17" t="n"/>
      <c r="L533" s="17" t="n"/>
      <c r="M533" s="17" t="n">
        <v>0</v>
      </c>
      <c r="N533" s="17" t="n">
        <v>0</v>
      </c>
      <c r="O533" s="17" t="n">
        <v>0</v>
      </c>
      <c r="P533" s="17" t="n">
        <v>0</v>
      </c>
      <c r="Q533" s="17" t="n">
        <v>0</v>
      </c>
      <c r="R533" s="17" t="n"/>
      <c r="S533" s="17" t="n"/>
      <c r="T533" s="188" t="n">
        <v>17651.51</v>
      </c>
      <c r="V533" s="241" t="n">
        <f aca="false" ca="false" dt2D="false" dtr="false" t="normal">COUNTIF(F533:Q533, "&gt;0")</f>
        <v>1</v>
      </c>
    </row>
    <row outlineLevel="0" r="534">
      <c r="A534" s="154" t="n">
        <f aca="false" ca="false" dt2D="false" dtr="false" t="normal">A533+1</f>
        <v>515</v>
      </c>
      <c r="B534" s="138" t="n">
        <f aca="false" ca="false" dt2D="false" dtr="false" t="normal">B533+1</f>
        <v>56</v>
      </c>
      <c r="C534" s="138" t="s">
        <v>104</v>
      </c>
      <c r="D534" s="138" t="s">
        <v>275</v>
      </c>
      <c r="E534" s="16" t="n">
        <f aca="false" ca="true" dt2D="false" dtr="false" t="normal">SUBTOTAL(9, F534:T534)</f>
        <v>8874919.98</v>
      </c>
      <c r="F534" s="17" t="n">
        <v>6279592.82</v>
      </c>
      <c r="G534" s="17" t="n">
        <v>0</v>
      </c>
      <c r="H534" s="17" t="n">
        <v>0</v>
      </c>
      <c r="I534" s="17" t="n">
        <v>2535175.78</v>
      </c>
      <c r="J534" s="17" t="n">
        <v>0</v>
      </c>
      <c r="K534" s="17" t="n"/>
      <c r="L534" s="17" t="n"/>
      <c r="M534" s="17" t="n">
        <v>0</v>
      </c>
      <c r="N534" s="17" t="n">
        <v>0</v>
      </c>
      <c r="O534" s="17" t="n">
        <v>0</v>
      </c>
      <c r="P534" s="17" t="n">
        <v>0</v>
      </c>
      <c r="Q534" s="17" t="n">
        <v>0</v>
      </c>
      <c r="R534" s="17" t="n"/>
      <c r="S534" s="17" t="n"/>
      <c r="T534" s="188" t="n">
        <v>60151.38</v>
      </c>
      <c r="V534" s="241" t="n">
        <f aca="false" ca="false" dt2D="false" dtr="false" t="normal">COUNTIF(F534:Q534, "&gt;0")</f>
        <v>2</v>
      </c>
    </row>
    <row outlineLevel="0" r="535">
      <c r="A535" s="154" t="n">
        <f aca="false" ca="false" dt2D="false" dtr="false" t="normal">A534+1</f>
        <v>516</v>
      </c>
      <c r="B535" s="138" t="n">
        <f aca="false" ca="false" dt2D="false" dtr="false" t="normal">B534+1</f>
        <v>57</v>
      </c>
      <c r="C535" s="138" t="s">
        <v>104</v>
      </c>
      <c r="D535" s="138" t="s">
        <v>278</v>
      </c>
      <c r="E535" s="16" t="n">
        <f aca="false" ca="true" dt2D="false" dtr="false" t="normal">SUBTOTAL(9, F535:T535)</f>
        <v>12140653.290000001</v>
      </c>
      <c r="F535" s="17" t="n">
        <v>7987299.3</v>
      </c>
      <c r="G535" s="17" t="n">
        <v>0</v>
      </c>
      <c r="H535" s="17" t="n">
        <v>0</v>
      </c>
      <c r="I535" s="17" t="n">
        <v>4076265.36</v>
      </c>
      <c r="J535" s="17" t="n">
        <v>0</v>
      </c>
      <c r="K535" s="17" t="n"/>
      <c r="L535" s="17" t="n"/>
      <c r="M535" s="17" t="n">
        <v>0</v>
      </c>
      <c r="N535" s="17" t="n">
        <v>0</v>
      </c>
      <c r="O535" s="17" t="n">
        <v>0</v>
      </c>
      <c r="P535" s="17" t="n">
        <v>0</v>
      </c>
      <c r="Q535" s="17" t="n">
        <v>0</v>
      </c>
      <c r="R535" s="17" t="n"/>
      <c r="S535" s="17" t="n"/>
      <c r="T535" s="188" t="n">
        <v>77088.63</v>
      </c>
      <c r="V535" s="241" t="n">
        <f aca="false" ca="false" dt2D="false" dtr="false" t="normal">COUNTIF(F535:Q535, "&gt;0")</f>
        <v>2</v>
      </c>
    </row>
    <row outlineLevel="0" r="536">
      <c r="A536" s="154" t="n">
        <f aca="false" ca="false" dt2D="false" dtr="false" t="normal">A535+1</f>
        <v>517</v>
      </c>
      <c r="B536" s="138" t="n">
        <f aca="false" ca="false" dt2D="false" dtr="false" t="normal">B535+1</f>
        <v>58</v>
      </c>
      <c r="C536" s="138" t="s">
        <v>104</v>
      </c>
      <c r="D536" s="138" t="s">
        <v>280</v>
      </c>
      <c r="E536" s="16" t="n">
        <f aca="false" ca="true" dt2D="false" dtr="false" t="normal">SUBTOTAL(9, F536:T536)</f>
        <v>4085136.52</v>
      </c>
      <c r="F536" s="17" t="n"/>
      <c r="G536" s="17" t="n"/>
      <c r="H536" s="17" t="n"/>
      <c r="I536" s="17" t="n"/>
      <c r="J536" s="17" t="n">
        <v>0</v>
      </c>
      <c r="K536" s="17" t="n"/>
      <c r="L536" s="17" t="n"/>
      <c r="M536" s="17" t="n">
        <v>0</v>
      </c>
      <c r="N536" s="17" t="n">
        <v>0</v>
      </c>
      <c r="O536" s="17" t="n">
        <v>4085136.52</v>
      </c>
      <c r="P536" s="17" t="n">
        <v>0</v>
      </c>
      <c r="Q536" s="17" t="n">
        <v>0</v>
      </c>
      <c r="R536" s="17" t="n"/>
      <c r="S536" s="17" t="n"/>
      <c r="T536" s="188" t="n"/>
      <c r="V536" s="241" t="n">
        <f aca="false" ca="false" dt2D="false" dtr="false" t="normal">COUNTIF(F536:Q536, "&gt;0")</f>
        <v>1</v>
      </c>
    </row>
    <row outlineLevel="0" r="537">
      <c r="A537" s="154" t="n">
        <f aca="false" ca="false" dt2D="false" dtr="false" t="normal">A536+1</f>
        <v>518</v>
      </c>
      <c r="B537" s="138" t="n">
        <f aca="false" ca="false" dt2D="false" dtr="false" t="normal">B536+1</f>
        <v>59</v>
      </c>
      <c r="C537" s="138" t="s">
        <v>104</v>
      </c>
      <c r="D537" s="138" t="s">
        <v>282</v>
      </c>
      <c r="E537" s="16" t="n">
        <f aca="false" ca="true" dt2D="false" dtr="false" t="normal">SUBTOTAL(9, F537:T537)</f>
        <v>12521748.26</v>
      </c>
      <c r="F537" s="17" t="n">
        <v>0</v>
      </c>
      <c r="G537" s="17" t="n">
        <v>0</v>
      </c>
      <c r="H537" s="17" t="n">
        <v>0</v>
      </c>
      <c r="I537" s="17" t="n">
        <v>0</v>
      </c>
      <c r="J537" s="17" t="n">
        <v>0</v>
      </c>
      <c r="K537" s="17" t="n"/>
      <c r="L537" s="17" t="n"/>
      <c r="M537" s="17" t="n">
        <v>0</v>
      </c>
      <c r="N537" s="17" t="n"/>
      <c r="O537" s="17" t="n">
        <v>0</v>
      </c>
      <c r="P537" s="17" t="n">
        <v>12521748.26</v>
      </c>
      <c r="Q537" s="17" t="n">
        <v>0</v>
      </c>
      <c r="R537" s="17" t="n"/>
      <c r="S537" s="17" t="n"/>
      <c r="T537" s="188" t="n"/>
      <c r="V537" s="241" t="n">
        <f aca="false" ca="false" dt2D="false" dtr="false" t="normal">COUNTIF(F537:Q537, "&gt;0")</f>
        <v>1</v>
      </c>
    </row>
    <row outlineLevel="0" r="538">
      <c r="A538" s="154" t="n">
        <f aca="false" ca="false" dt2D="false" dtr="false" t="normal">A537+1</f>
        <v>519</v>
      </c>
      <c r="B538" s="138" t="n">
        <f aca="false" ca="false" dt2D="false" dtr="false" t="normal">B537+1</f>
        <v>60</v>
      </c>
      <c r="C538" s="138" t="s">
        <v>104</v>
      </c>
      <c r="D538" s="138" t="s">
        <v>284</v>
      </c>
      <c r="E538" s="16" t="n">
        <f aca="false" ca="true" dt2D="false" dtr="false" t="normal">SUBTOTAL(9, F538:T538)</f>
        <v>16426976.62</v>
      </c>
      <c r="F538" s="17" t="n">
        <v>5042938.91</v>
      </c>
      <c r="G538" s="17" t="n">
        <v>0</v>
      </c>
      <c r="H538" s="17" t="n">
        <v>0</v>
      </c>
      <c r="I538" s="17" t="n">
        <v>3850841.8</v>
      </c>
      <c r="J538" s="17" t="n">
        <v>0</v>
      </c>
      <c r="K538" s="17" t="n"/>
      <c r="L538" s="17" t="n"/>
      <c r="M538" s="17" t="n"/>
      <c r="N538" s="17" t="n">
        <v>7396737.31</v>
      </c>
      <c r="O538" s="17" t="n">
        <v>0</v>
      </c>
      <c r="P538" s="17" t="n">
        <v>0</v>
      </c>
      <c r="Q538" s="17" t="n">
        <v>0</v>
      </c>
      <c r="R538" s="17" t="n"/>
      <c r="S538" s="17" t="n"/>
      <c r="T538" s="188" t="n">
        <v>136458.6</v>
      </c>
      <c r="V538" s="241" t="n">
        <f aca="false" ca="false" dt2D="false" dtr="false" t="normal">COUNTIF(F538:Q538, "&gt;0")</f>
        <v>3</v>
      </c>
    </row>
    <row outlineLevel="0" r="539">
      <c r="A539" s="154" t="n">
        <f aca="false" ca="false" dt2D="false" dtr="false" t="normal">A538+1</f>
        <v>520</v>
      </c>
      <c r="B539" s="138" t="n">
        <f aca="false" ca="false" dt2D="false" dtr="false" t="normal">B538+1</f>
        <v>61</v>
      </c>
      <c r="C539" s="138" t="s">
        <v>104</v>
      </c>
      <c r="D539" s="138" t="s">
        <v>172</v>
      </c>
      <c r="E539" s="16" t="n">
        <f aca="false" ca="true" dt2D="false" dtr="false" t="normal">SUBTOTAL(9, F539:T539)</f>
        <v>12013292</v>
      </c>
      <c r="F539" s="17" t="n"/>
      <c r="G539" s="17" t="n"/>
      <c r="H539" s="17" t="n"/>
      <c r="I539" s="17" t="n"/>
      <c r="J539" s="17" t="n"/>
      <c r="K539" s="17" t="n"/>
      <c r="L539" s="17" t="n"/>
      <c r="M539" s="17" t="n">
        <v>0</v>
      </c>
      <c r="N539" s="17" t="n">
        <v>0</v>
      </c>
      <c r="O539" s="17" t="n">
        <v>0</v>
      </c>
      <c r="P539" s="17" t="n">
        <v>12013292</v>
      </c>
      <c r="Q539" s="17" t="n">
        <v>0</v>
      </c>
      <c r="R539" s="17" t="n"/>
      <c r="S539" s="17" t="n"/>
      <c r="T539" s="188" t="n"/>
      <c r="V539" s="241" t="n">
        <f aca="false" ca="false" dt2D="false" dtr="false" t="normal">COUNTIF(F539:Q539, "&gt;0")</f>
        <v>1</v>
      </c>
    </row>
    <row outlineLevel="0" r="540">
      <c r="A540" s="154" t="n">
        <f aca="false" ca="false" dt2D="false" dtr="false" t="normal">A539+1</f>
        <v>521</v>
      </c>
      <c r="B540" s="138" t="n">
        <f aca="false" ca="false" dt2D="false" dtr="false" t="normal">B539+1</f>
        <v>62</v>
      </c>
      <c r="C540" s="138" t="s">
        <v>104</v>
      </c>
      <c r="D540" s="138" t="s">
        <v>287</v>
      </c>
      <c r="E540" s="16" t="n">
        <f aca="false" ca="true" dt2D="false" dtr="false" t="normal">SUBTOTAL(9, F540:T540)</f>
        <v>4017783.84</v>
      </c>
      <c r="F540" s="17" t="n"/>
      <c r="G540" s="17" t="n">
        <v>0</v>
      </c>
      <c r="H540" s="17" t="n">
        <v>0</v>
      </c>
      <c r="I540" s="17" t="n">
        <v>4017783.84</v>
      </c>
      <c r="J540" s="17" t="n">
        <v>0</v>
      </c>
      <c r="K540" s="17" t="n"/>
      <c r="L540" s="17" t="n"/>
      <c r="M540" s="17" t="n">
        <v>0</v>
      </c>
      <c r="N540" s="17" t="n"/>
      <c r="O540" s="17" t="n"/>
      <c r="P540" s="17" t="n">
        <v>0</v>
      </c>
      <c r="Q540" s="17" t="n">
        <v>0</v>
      </c>
      <c r="R540" s="17" t="n"/>
      <c r="S540" s="17" t="n"/>
      <c r="T540" s="188" t="n"/>
      <c r="V540" s="241" t="n">
        <f aca="false" ca="false" dt2D="false" dtr="false" t="normal">COUNTIF(F540:Q540, "&gt;0")</f>
        <v>1</v>
      </c>
    </row>
    <row outlineLevel="0" r="541">
      <c r="A541" s="154" t="n">
        <f aca="false" ca="false" dt2D="false" dtr="false" t="normal">A540+1</f>
        <v>522</v>
      </c>
      <c r="B541" s="138" t="n">
        <f aca="false" ca="false" dt2D="false" dtr="false" t="normal">B540+1</f>
        <v>63</v>
      </c>
      <c r="C541" s="138" t="s">
        <v>104</v>
      </c>
      <c r="D541" s="138" t="s">
        <v>289</v>
      </c>
      <c r="E541" s="16" t="n">
        <f aca="false" ca="true" dt2D="false" dtr="false" t="normal">SUBTOTAL(9, F541:T541)</f>
        <v>812803.3</v>
      </c>
      <c r="F541" s="17" t="n">
        <v>0</v>
      </c>
      <c r="G541" s="17" t="n">
        <v>0</v>
      </c>
      <c r="H541" s="17" t="n">
        <v>812803.3</v>
      </c>
      <c r="I541" s="17" t="n">
        <v>0</v>
      </c>
      <c r="J541" s="17" t="n">
        <v>0</v>
      </c>
      <c r="K541" s="17" t="n"/>
      <c r="L541" s="17" t="n"/>
      <c r="M541" s="17" t="n">
        <v>0</v>
      </c>
      <c r="N541" s="17" t="n">
        <v>0</v>
      </c>
      <c r="O541" s="17" t="n"/>
      <c r="P541" s="17" t="n">
        <v>0</v>
      </c>
      <c r="Q541" s="17" t="n">
        <v>0</v>
      </c>
      <c r="R541" s="17" t="n"/>
      <c r="S541" s="17" t="n"/>
      <c r="T541" s="188" t="n"/>
      <c r="U541" s="341" t="n"/>
      <c r="V541" s="241" t="n">
        <f aca="false" ca="false" dt2D="false" dtr="false" t="normal">COUNTIF(F541:Q541, "&gt;0")</f>
        <v>1</v>
      </c>
      <c r="W541" s="341" t="n"/>
      <c r="X541" s="341" t="n"/>
      <c r="Y541" s="341" t="n"/>
      <c r="Z541" s="341" t="n"/>
      <c r="AA541" s="341" t="n"/>
      <c r="AB541" s="341" t="n"/>
      <c r="AC541" s="341" t="n"/>
      <c r="AD541" s="341" t="n"/>
      <c r="AE541" s="341" t="n"/>
      <c r="AF541" s="341" t="n"/>
      <c r="AG541" s="341" t="n"/>
      <c r="AH541" s="341" t="n"/>
      <c r="AI541" s="341" t="n"/>
      <c r="AJ541" s="341" t="n"/>
      <c r="AK541" s="341" t="n"/>
      <c r="AL541" s="341" t="n"/>
      <c r="AM541" s="341" t="n"/>
      <c r="AN541" s="341" t="n"/>
      <c r="AO541" s="341" t="n"/>
      <c r="AP541" s="341" t="n"/>
      <c r="AQ541" s="341" t="n"/>
      <c r="AR541" s="341" t="n"/>
      <c r="AS541" s="341" t="n"/>
      <c r="AT541" s="341" t="n"/>
      <c r="AU541" s="341" t="n"/>
      <c r="AV541" s="341" t="n"/>
      <c r="AW541" s="341" t="n"/>
      <c r="AX541" s="341" t="n"/>
      <c r="AY541" s="341" t="n"/>
      <c r="AZ541" s="341" t="n"/>
      <c r="BA541" s="341" t="n"/>
      <c r="BB541" s="341" t="n"/>
      <c r="BC541" s="341" t="n"/>
      <c r="BD541" s="341" t="n"/>
      <c r="BE541" s="341" t="n"/>
      <c r="BF541" s="341" t="n"/>
      <c r="BG541" s="341" t="n"/>
      <c r="BH541" s="341" t="n"/>
      <c r="BI541" s="341" t="n"/>
      <c r="BJ541" s="341" t="n"/>
      <c r="BK541" s="341" t="n"/>
      <c r="BL541" s="341" t="n"/>
      <c r="BM541" s="341" t="n"/>
      <c r="BN541" s="341" t="n"/>
      <c r="BO541" s="341" t="n"/>
      <c r="BP541" s="341" t="n"/>
    </row>
    <row outlineLevel="0" r="542">
      <c r="A542" s="154" t="n">
        <f aca="false" ca="false" dt2D="false" dtr="false" t="normal">A541+1</f>
        <v>523</v>
      </c>
      <c r="B542" s="138" t="n">
        <f aca="false" ca="false" dt2D="false" dtr="false" t="normal">B541+1</f>
        <v>64</v>
      </c>
      <c r="C542" s="138" t="s">
        <v>104</v>
      </c>
      <c r="D542" s="138" t="s">
        <v>291</v>
      </c>
      <c r="E542" s="16" t="n">
        <f aca="false" ca="true" dt2D="false" dtr="false" t="normal">SUBTOTAL(9, F542:T542)</f>
        <v>1408758.62</v>
      </c>
      <c r="F542" s="17" t="n"/>
      <c r="G542" s="17" t="n">
        <v>0</v>
      </c>
      <c r="H542" s="17" t="n">
        <v>1377153.84</v>
      </c>
      <c r="I542" s="17" t="n"/>
      <c r="J542" s="17" t="n">
        <v>0</v>
      </c>
      <c r="K542" s="17" t="n"/>
      <c r="L542" s="17" t="n"/>
      <c r="M542" s="17" t="n">
        <v>0</v>
      </c>
      <c r="N542" s="17" t="n">
        <v>0</v>
      </c>
      <c r="O542" s="17" t="n">
        <v>0</v>
      </c>
      <c r="P542" s="17" t="n">
        <v>0</v>
      </c>
      <c r="Q542" s="17" t="n">
        <v>0</v>
      </c>
      <c r="R542" s="17" t="n"/>
      <c r="S542" s="17" t="n"/>
      <c r="T542" s="188" t="n">
        <v>31604.78</v>
      </c>
      <c r="U542" s="341" t="n"/>
      <c r="V542" s="241" t="n">
        <f aca="false" ca="false" dt2D="false" dtr="false" t="normal">COUNTIF(F542:Q542, "&gt;0")</f>
        <v>1</v>
      </c>
      <c r="W542" s="341" t="n"/>
      <c r="X542" s="341" t="n"/>
      <c r="Y542" s="341" t="n"/>
      <c r="Z542" s="341" t="n"/>
      <c r="AA542" s="341" t="n"/>
      <c r="AB542" s="341" t="n"/>
      <c r="AC542" s="341" t="n"/>
      <c r="AD542" s="341" t="n"/>
      <c r="AE542" s="341" t="n"/>
      <c r="AF542" s="341" t="n"/>
      <c r="AG542" s="341" t="n"/>
      <c r="AH542" s="341" t="n"/>
      <c r="AI542" s="341" t="n"/>
      <c r="AJ542" s="341" t="n"/>
      <c r="AK542" s="341" t="n"/>
      <c r="AL542" s="341" t="n"/>
      <c r="AM542" s="341" t="n"/>
      <c r="AN542" s="341" t="n"/>
      <c r="AO542" s="341" t="n"/>
      <c r="AP542" s="341" t="n"/>
      <c r="AQ542" s="341" t="n"/>
      <c r="AR542" s="341" t="n"/>
      <c r="AS542" s="341" t="n"/>
      <c r="AT542" s="341" t="n"/>
      <c r="AU542" s="341" t="n"/>
      <c r="AV542" s="341" t="n"/>
      <c r="AW542" s="341" t="n"/>
      <c r="AX542" s="341" t="n"/>
      <c r="AY542" s="341" t="n"/>
      <c r="AZ542" s="341" t="n"/>
      <c r="BA542" s="341" t="n"/>
      <c r="BB542" s="341" t="n"/>
      <c r="BC542" s="341" t="n"/>
      <c r="BD542" s="341" t="n"/>
      <c r="BE542" s="341" t="n"/>
      <c r="BF542" s="341" t="n"/>
      <c r="BG542" s="341" t="n"/>
      <c r="BH542" s="341" t="n"/>
      <c r="BI542" s="341" t="n"/>
      <c r="BJ542" s="341" t="n"/>
      <c r="BK542" s="341" t="n"/>
      <c r="BL542" s="341" t="n"/>
      <c r="BM542" s="341" t="n"/>
      <c r="BN542" s="341" t="n"/>
      <c r="BO542" s="341" t="n"/>
      <c r="BP542" s="341" t="n"/>
    </row>
    <row outlineLevel="0" r="543">
      <c r="A543" s="154" t="n">
        <f aca="false" ca="false" dt2D="false" dtr="false" t="normal">A542+1</f>
        <v>524</v>
      </c>
      <c r="B543" s="138" t="n">
        <f aca="false" ca="false" dt2D="false" dtr="false" t="normal">B542+1</f>
        <v>65</v>
      </c>
      <c r="C543" s="138" t="s">
        <v>104</v>
      </c>
      <c r="D543" s="138" t="s">
        <v>293</v>
      </c>
      <c r="E543" s="16" t="n">
        <f aca="false" ca="true" dt2D="false" dtr="false" t="normal">SUBTOTAL(9, F543:T543)</f>
        <v>3780647.12</v>
      </c>
      <c r="F543" s="17" t="n">
        <v>0</v>
      </c>
      <c r="G543" s="17" t="n">
        <v>0</v>
      </c>
      <c r="H543" s="17" t="n">
        <v>3780647.12</v>
      </c>
      <c r="I543" s="17" t="n">
        <v>0</v>
      </c>
      <c r="J543" s="17" t="n">
        <v>0</v>
      </c>
      <c r="K543" s="17" t="n"/>
      <c r="L543" s="17" t="n"/>
      <c r="M543" s="17" t="n">
        <v>0</v>
      </c>
      <c r="N543" s="17" t="n">
        <v>0</v>
      </c>
      <c r="O543" s="17" t="n">
        <v>0</v>
      </c>
      <c r="P543" s="17" t="n"/>
      <c r="Q543" s="17" t="n">
        <v>0</v>
      </c>
      <c r="R543" s="17" t="n"/>
      <c r="S543" s="17" t="n"/>
      <c r="T543" s="188" t="n"/>
      <c r="V543" s="241" t="n">
        <f aca="false" ca="false" dt2D="false" dtr="false" t="normal">COUNTIF(F543:Q543, "&gt;0")</f>
        <v>1</v>
      </c>
    </row>
    <row outlineLevel="0" r="544">
      <c r="A544" s="154" t="n">
        <f aca="false" ca="false" dt2D="false" dtr="false" t="normal">A543+1</f>
        <v>525</v>
      </c>
      <c r="B544" s="138" t="n">
        <f aca="false" ca="false" dt2D="false" dtr="false" t="normal">B543+1</f>
        <v>66</v>
      </c>
      <c r="C544" s="138" t="s">
        <v>104</v>
      </c>
      <c r="D544" s="138" t="s">
        <v>296</v>
      </c>
      <c r="E544" s="16" t="n">
        <f aca="false" ca="true" dt2D="false" dtr="false" t="normal">SUBTOTAL(9, F544:T544)</f>
        <v>3018847.08</v>
      </c>
      <c r="F544" s="17" t="n"/>
      <c r="G544" s="17" t="n">
        <v>0</v>
      </c>
      <c r="H544" s="17" t="n">
        <v>2978009.44</v>
      </c>
      <c r="I544" s="17" t="n"/>
      <c r="J544" s="17" t="n">
        <v>0</v>
      </c>
      <c r="K544" s="17" t="n"/>
      <c r="L544" s="17" t="n"/>
      <c r="M544" s="17" t="n">
        <v>0</v>
      </c>
      <c r="N544" s="17" t="n">
        <v>0</v>
      </c>
      <c r="O544" s="17" t="n">
        <v>0</v>
      </c>
      <c r="P544" s="17" t="n">
        <v>0</v>
      </c>
      <c r="Q544" s="17" t="n">
        <v>0</v>
      </c>
      <c r="R544" s="17" t="n"/>
      <c r="S544" s="17" t="n"/>
      <c r="T544" s="188" t="n">
        <v>40837.64</v>
      </c>
      <c r="V544" s="241" t="n">
        <f aca="false" ca="false" dt2D="false" dtr="false" t="normal">COUNTIF(F544:Q544, "&gt;0")</f>
        <v>1</v>
      </c>
    </row>
    <row outlineLevel="0" r="545">
      <c r="A545" s="154" t="n">
        <f aca="false" ca="false" dt2D="false" dtr="false" t="normal">A544+1</f>
        <v>526</v>
      </c>
      <c r="B545" s="138" t="n">
        <f aca="false" ca="false" dt2D="false" dtr="false" t="normal">B544+1</f>
        <v>67</v>
      </c>
      <c r="C545" s="138" t="s">
        <v>104</v>
      </c>
      <c r="D545" s="138" t="s">
        <v>298</v>
      </c>
      <c r="E545" s="16" t="n">
        <f aca="false" ca="true" dt2D="false" dtr="false" t="normal">SUBTOTAL(9, F545:T545)</f>
        <v>3018847.08</v>
      </c>
      <c r="F545" s="17" t="n"/>
      <c r="G545" s="17" t="n">
        <v>0</v>
      </c>
      <c r="H545" s="17" t="n">
        <v>2978009.44</v>
      </c>
      <c r="I545" s="17" t="n"/>
      <c r="J545" s="17" t="n">
        <v>0</v>
      </c>
      <c r="K545" s="17" t="n"/>
      <c r="L545" s="17" t="n"/>
      <c r="M545" s="17" t="n">
        <v>0</v>
      </c>
      <c r="N545" s="17" t="n">
        <v>0</v>
      </c>
      <c r="O545" s="17" t="n">
        <v>0</v>
      </c>
      <c r="P545" s="17" t="n">
        <v>0</v>
      </c>
      <c r="Q545" s="17" t="n">
        <v>0</v>
      </c>
      <c r="R545" s="17" t="n"/>
      <c r="S545" s="17" t="n"/>
      <c r="T545" s="188" t="n">
        <v>40837.64</v>
      </c>
      <c r="V545" s="241" t="n">
        <f aca="false" ca="false" dt2D="false" dtr="false" t="normal">COUNTIF(F545:Q545, "&gt;0")</f>
        <v>1</v>
      </c>
    </row>
    <row outlineLevel="0" r="546">
      <c r="A546" s="154" t="n">
        <f aca="false" ca="false" dt2D="false" dtr="false" t="normal">A545+1</f>
        <v>527</v>
      </c>
      <c r="B546" s="138" t="n">
        <f aca="false" ca="false" dt2D="false" dtr="false" t="normal">B545+1</f>
        <v>68</v>
      </c>
      <c r="C546" s="138" t="s">
        <v>104</v>
      </c>
      <c r="D546" s="138" t="s">
        <v>300</v>
      </c>
      <c r="E546" s="16" t="n">
        <f aca="false" ca="true" dt2D="false" dtr="false" t="normal">SUBTOTAL(9, F546:T546)</f>
        <v>13694022.7</v>
      </c>
      <c r="F546" s="17" t="n">
        <v>0</v>
      </c>
      <c r="G546" s="17" t="n">
        <v>0</v>
      </c>
      <c r="H546" s="17" t="n">
        <v>0</v>
      </c>
      <c r="I546" s="17" t="n">
        <v>0</v>
      </c>
      <c r="J546" s="17" t="n">
        <v>0</v>
      </c>
      <c r="K546" s="17" t="n"/>
      <c r="L546" s="17" t="n"/>
      <c r="M546" s="17" t="n">
        <v>0</v>
      </c>
      <c r="N546" s="17" t="n">
        <v>0</v>
      </c>
      <c r="O546" s="17" t="n">
        <v>0</v>
      </c>
      <c r="P546" s="17" t="n">
        <v>13694022.7</v>
      </c>
      <c r="Q546" s="17" t="n">
        <v>0</v>
      </c>
      <c r="R546" s="17" t="n"/>
      <c r="S546" s="17" t="n"/>
      <c r="T546" s="188" t="n"/>
      <c r="V546" s="241" t="n">
        <f aca="false" ca="false" dt2D="false" dtr="false" t="normal">COUNTIF(F546:Q546, "&gt;0")</f>
        <v>1</v>
      </c>
    </row>
    <row outlineLevel="0" r="547">
      <c r="A547" s="154" t="n">
        <f aca="false" ca="false" dt2D="false" dtr="false" t="normal">A546+1</f>
        <v>528</v>
      </c>
      <c r="B547" s="138" t="n">
        <f aca="false" ca="false" dt2D="false" dtr="false" t="normal">B546+1</f>
        <v>69</v>
      </c>
      <c r="C547" s="138" t="s">
        <v>104</v>
      </c>
      <c r="D547" s="138" t="s">
        <v>302</v>
      </c>
      <c r="E547" s="16" t="n">
        <f aca="false" ca="true" dt2D="false" dtr="false" t="normal">SUBTOTAL(9, F547:T547)</f>
        <v>10601532.81</v>
      </c>
      <c r="F547" s="17" t="n">
        <v>2477729.12</v>
      </c>
      <c r="G547" s="17" t="n">
        <v>0</v>
      </c>
      <c r="H547" s="17" t="n">
        <v>3810136.93</v>
      </c>
      <c r="I547" s="17" t="n">
        <v>4313666.76</v>
      </c>
      <c r="J547" s="17" t="n">
        <v>0</v>
      </c>
      <c r="K547" s="17" t="n"/>
      <c r="L547" s="17" t="n"/>
      <c r="M547" s="17" t="n">
        <v>0</v>
      </c>
      <c r="N547" s="17" t="n">
        <v>0</v>
      </c>
      <c r="O547" s="17" t="n">
        <v>0</v>
      </c>
      <c r="P547" s="17" t="n">
        <v>0</v>
      </c>
      <c r="Q547" s="17" t="n">
        <v>0</v>
      </c>
      <c r="R547" s="17" t="n"/>
      <c r="S547" s="17" t="n"/>
      <c r="T547" s="188" t="n"/>
      <c r="V547" s="241" t="n">
        <f aca="false" ca="false" dt2D="false" dtr="false" t="normal">COUNTIF(F547:Q547, "&gt;0")</f>
        <v>3</v>
      </c>
    </row>
    <row outlineLevel="0" r="548">
      <c r="A548" s="154" t="n">
        <f aca="false" ca="false" dt2D="false" dtr="false" t="normal">A547+1</f>
        <v>529</v>
      </c>
      <c r="B548" s="138" t="n">
        <f aca="false" ca="false" dt2D="false" dtr="false" t="normal">B547+1</f>
        <v>70</v>
      </c>
      <c r="C548" s="138" t="s">
        <v>104</v>
      </c>
      <c r="D548" s="138" t="s">
        <v>304</v>
      </c>
      <c r="E548" s="16" t="n">
        <f aca="false" ca="true" dt2D="false" dtr="false" t="normal">SUBTOTAL(9, F548:T548)</f>
        <v>10645100.22</v>
      </c>
      <c r="F548" s="17" t="n"/>
      <c r="G548" s="17" t="n"/>
      <c r="H548" s="17" t="n"/>
      <c r="I548" s="17" t="n"/>
      <c r="J548" s="17" t="n"/>
      <c r="K548" s="17" t="n"/>
      <c r="L548" s="17" t="n"/>
      <c r="M548" s="17" t="n"/>
      <c r="N548" s="17" t="n"/>
      <c r="O548" s="17" t="n">
        <v>10645100.22</v>
      </c>
      <c r="P548" s="17" t="n"/>
      <c r="Q548" s="17" t="n"/>
      <c r="R548" s="17" t="n"/>
      <c r="S548" s="17" t="n"/>
      <c r="T548" s="188" t="n"/>
      <c r="V548" s="241" t="n">
        <f aca="false" ca="false" dt2D="false" dtr="false" t="normal">COUNTIF(F548:Q548, "&gt;0")</f>
        <v>1</v>
      </c>
    </row>
    <row outlineLevel="0" r="549">
      <c r="A549" s="154" t="n">
        <f aca="false" ca="false" dt2D="false" dtr="false" t="normal">A548+1</f>
        <v>530</v>
      </c>
      <c r="B549" s="138" t="n">
        <f aca="false" ca="false" dt2D="false" dtr="false" t="normal">B548+1</f>
        <v>71</v>
      </c>
      <c r="C549" s="138" t="s">
        <v>104</v>
      </c>
      <c r="D549" s="138" t="s">
        <v>306</v>
      </c>
      <c r="E549" s="16" t="n">
        <f aca="false" ca="true" dt2D="false" dtr="false" t="normal">SUBTOTAL(9, F549:T549)</f>
        <v>11056543.12</v>
      </c>
      <c r="F549" s="17" t="n"/>
      <c r="G549" s="17" t="n"/>
      <c r="H549" s="17" t="n"/>
      <c r="I549" s="17" t="n"/>
      <c r="J549" s="17" t="n"/>
      <c r="K549" s="17" t="n"/>
      <c r="L549" s="17" t="n"/>
      <c r="M549" s="17" t="n"/>
      <c r="N549" s="17" t="n"/>
      <c r="O549" s="17" t="n">
        <v>11056543.12</v>
      </c>
      <c r="P549" s="17" t="n"/>
      <c r="Q549" s="17" t="n"/>
      <c r="R549" s="17" t="n"/>
      <c r="S549" s="17" t="n"/>
      <c r="T549" s="188" t="n"/>
      <c r="V549" s="241" t="n">
        <f aca="false" ca="false" dt2D="false" dtr="false" t="normal">COUNTIF(F549:Q549, "&gt;0")</f>
        <v>1</v>
      </c>
    </row>
    <row outlineLevel="0" r="550">
      <c r="A550" s="154" t="n">
        <f aca="false" ca="false" dt2D="false" dtr="false" t="normal">A549+1</f>
        <v>531</v>
      </c>
      <c r="B550" s="138" t="n">
        <f aca="false" ca="false" dt2D="false" dtr="false" t="normal">B549+1</f>
        <v>72</v>
      </c>
      <c r="C550" s="138" t="s">
        <v>104</v>
      </c>
      <c r="D550" s="138" t="s">
        <v>308</v>
      </c>
      <c r="E550" s="16" t="n">
        <f aca="false" ca="true" dt2D="false" dtr="false" t="normal">SUBTOTAL(9, F550:T550)</f>
        <v>927231.11</v>
      </c>
      <c r="F550" s="17" t="n">
        <v>0</v>
      </c>
      <c r="G550" s="17" t="n">
        <v>0</v>
      </c>
      <c r="H550" s="17" t="n">
        <v>927231.11</v>
      </c>
      <c r="I550" s="17" t="n"/>
      <c r="J550" s="17" t="n">
        <v>0</v>
      </c>
      <c r="K550" s="17" t="n"/>
      <c r="L550" s="17" t="n"/>
      <c r="M550" s="17" t="n">
        <v>0</v>
      </c>
      <c r="N550" s="17" t="n">
        <v>0</v>
      </c>
      <c r="O550" s="17" t="n">
        <v>0</v>
      </c>
      <c r="P550" s="17" t="n">
        <v>0</v>
      </c>
      <c r="Q550" s="17" t="n">
        <v>0</v>
      </c>
      <c r="R550" s="17" t="n"/>
      <c r="S550" s="17" t="n"/>
      <c r="T550" s="188" t="n"/>
      <c r="U550" s="341" t="n"/>
      <c r="V550" s="241" t="n">
        <f aca="false" ca="false" dt2D="false" dtr="false" t="normal">COUNTIF(F550:Q550, "&gt;0")</f>
        <v>1</v>
      </c>
      <c r="W550" s="341" t="n"/>
      <c r="X550" s="341" t="n"/>
      <c r="Y550" s="341" t="n"/>
      <c r="Z550" s="341" t="n"/>
      <c r="AA550" s="341" t="n"/>
      <c r="AB550" s="341" t="n"/>
      <c r="AC550" s="341" t="n"/>
      <c r="AD550" s="341" t="n"/>
      <c r="AE550" s="341" t="n"/>
      <c r="AF550" s="341" t="n"/>
      <c r="AG550" s="341" t="n"/>
      <c r="AH550" s="341" t="n"/>
      <c r="AI550" s="341" t="n"/>
      <c r="AJ550" s="341" t="n"/>
      <c r="AK550" s="341" t="n"/>
      <c r="AL550" s="341" t="n"/>
      <c r="AM550" s="341" t="n"/>
      <c r="AN550" s="341" t="n"/>
      <c r="AO550" s="341" t="n"/>
      <c r="AP550" s="341" t="n"/>
      <c r="AQ550" s="341" t="n"/>
      <c r="AR550" s="341" t="n"/>
      <c r="AS550" s="341" t="n"/>
      <c r="AT550" s="341" t="n"/>
      <c r="AU550" s="341" t="n"/>
      <c r="AV550" s="341" t="n"/>
      <c r="AW550" s="341" t="n"/>
      <c r="AX550" s="341" t="n"/>
      <c r="AY550" s="341" t="n"/>
      <c r="AZ550" s="341" t="n"/>
      <c r="BA550" s="341" t="n"/>
      <c r="BB550" s="341" t="n"/>
      <c r="BC550" s="341" t="n"/>
      <c r="BD550" s="341" t="n"/>
      <c r="BE550" s="341" t="n"/>
      <c r="BF550" s="341" t="n"/>
      <c r="BG550" s="341" t="n"/>
      <c r="BH550" s="341" t="n"/>
      <c r="BI550" s="341" t="n"/>
      <c r="BJ550" s="341" t="n"/>
      <c r="BK550" s="341" t="n"/>
      <c r="BL550" s="341" t="n"/>
      <c r="BM550" s="341" t="n"/>
      <c r="BN550" s="341" t="n"/>
      <c r="BO550" s="341" t="n"/>
      <c r="BP550" s="341" t="n"/>
    </row>
    <row outlineLevel="0" r="551">
      <c r="A551" s="154" t="n">
        <f aca="false" ca="false" dt2D="false" dtr="false" t="normal">A550+1</f>
        <v>532</v>
      </c>
      <c r="B551" s="138" t="n">
        <f aca="false" ca="false" dt2D="false" dtr="false" t="normal">B550+1</f>
        <v>73</v>
      </c>
      <c r="C551" s="138" t="s">
        <v>104</v>
      </c>
      <c r="D551" s="138" t="s">
        <v>313</v>
      </c>
      <c r="E551" s="16" t="n">
        <f aca="false" ca="true" dt2D="false" dtr="false" t="normal">SUBTOTAL(9, F551:T551)</f>
        <v>4439012.21</v>
      </c>
      <c r="F551" s="17" t="n">
        <v>2982960.1</v>
      </c>
      <c r="G551" s="17" t="n">
        <v>0</v>
      </c>
      <c r="H551" s="17" t="n">
        <v>1456052.11</v>
      </c>
      <c r="I551" s="17" t="n"/>
      <c r="J551" s="17" t="n">
        <v>0</v>
      </c>
      <c r="K551" s="17" t="n"/>
      <c r="L551" s="17" t="n"/>
      <c r="M551" s="17" t="n">
        <v>0</v>
      </c>
      <c r="N551" s="17" t="n">
        <v>0</v>
      </c>
      <c r="O551" s="17" t="n">
        <v>0</v>
      </c>
      <c r="P551" s="17" t="n">
        <v>0</v>
      </c>
      <c r="Q551" s="17" t="n">
        <v>0</v>
      </c>
      <c r="R551" s="17" t="n"/>
      <c r="S551" s="17" t="n"/>
      <c r="T551" s="188" t="n"/>
      <c r="V551" s="241" t="n">
        <f aca="false" ca="false" dt2D="false" dtr="false" t="normal">COUNTIF(F551:Q551, "&gt;0")</f>
        <v>2</v>
      </c>
    </row>
    <row outlineLevel="0" r="552">
      <c r="A552" s="154" t="n">
        <f aca="false" ca="false" dt2D="false" dtr="false" t="normal">A551+1</f>
        <v>533</v>
      </c>
      <c r="B552" s="138" t="n">
        <f aca="false" ca="false" dt2D="false" dtr="false" t="normal">B551+1</f>
        <v>74</v>
      </c>
      <c r="C552" s="138" t="s">
        <v>104</v>
      </c>
      <c r="D552" s="138" t="s">
        <v>315</v>
      </c>
      <c r="E552" s="16" t="n">
        <f aca="false" ca="true" dt2D="false" dtr="false" t="normal">SUBTOTAL(9, F552:T552)</f>
        <v>3887973.93</v>
      </c>
      <c r="F552" s="17" t="n">
        <v>3887973.93</v>
      </c>
      <c r="G552" s="17" t="n">
        <v>0</v>
      </c>
      <c r="H552" s="17" t="n"/>
      <c r="I552" s="17" t="n"/>
      <c r="J552" s="17" t="n"/>
      <c r="K552" s="17" t="n"/>
      <c r="L552" s="17" t="n"/>
      <c r="M552" s="17" t="n"/>
      <c r="N552" s="17" t="n"/>
      <c r="O552" s="17" t="n"/>
      <c r="P552" s="17" t="n"/>
      <c r="Q552" s="17" t="n"/>
      <c r="R552" s="17" t="n"/>
      <c r="S552" s="17" t="n"/>
      <c r="T552" s="188" t="n"/>
      <c r="V552" s="241" t="n">
        <f aca="false" ca="false" dt2D="false" dtr="false" t="normal">COUNTIF(F552:Q552, "&gt;0")</f>
        <v>1</v>
      </c>
    </row>
    <row outlineLevel="0" r="553">
      <c r="A553" s="154" t="n">
        <f aca="false" ca="false" dt2D="false" dtr="false" t="normal">A552+1</f>
        <v>534</v>
      </c>
      <c r="B553" s="138" t="n">
        <f aca="false" ca="false" dt2D="false" dtr="false" t="normal">B552+1</f>
        <v>75</v>
      </c>
      <c r="C553" s="138" t="s">
        <v>88</v>
      </c>
      <c r="D553" s="138" t="s">
        <v>318</v>
      </c>
      <c r="E553" s="16" t="n">
        <f aca="false" ca="true" dt2D="false" dtr="false" t="normal">SUBTOTAL(9, F553:T553)</f>
        <v>8889619.1</v>
      </c>
      <c r="F553" s="17" t="n">
        <v>0</v>
      </c>
      <c r="G553" s="17" t="n">
        <v>0</v>
      </c>
      <c r="H553" s="17" t="n">
        <v>0</v>
      </c>
      <c r="I553" s="17" t="n">
        <v>0</v>
      </c>
      <c r="J553" s="17" t="n">
        <v>0</v>
      </c>
      <c r="K553" s="17" t="n"/>
      <c r="L553" s="17" t="n"/>
      <c r="M553" s="17" t="n">
        <v>0</v>
      </c>
      <c r="N553" s="17" t="n">
        <v>0</v>
      </c>
      <c r="O553" s="17" t="n">
        <v>0</v>
      </c>
      <c r="P553" s="17" t="n">
        <v>8780845.77</v>
      </c>
      <c r="Q553" s="17" t="n">
        <v>0</v>
      </c>
      <c r="R553" s="17" t="n"/>
      <c r="S553" s="17" t="n"/>
      <c r="T553" s="188" t="n">
        <v>108773.33</v>
      </c>
      <c r="U553" s="341" t="n"/>
      <c r="V553" s="241" t="n">
        <f aca="false" ca="false" dt2D="false" dtr="false" t="normal">COUNTIF(F553:Q553, "&gt;0")</f>
        <v>1</v>
      </c>
      <c r="W553" s="341" t="n"/>
      <c r="X553" s="341" t="n"/>
      <c r="Y553" s="341" t="n"/>
      <c r="Z553" s="341" t="n"/>
      <c r="AA553" s="341" t="n"/>
      <c r="AB553" s="341" t="n"/>
      <c r="AC553" s="341" t="n"/>
      <c r="AD553" s="341" t="n"/>
      <c r="AE553" s="341" t="n"/>
      <c r="AF553" s="341" t="n"/>
      <c r="AG553" s="341" t="n"/>
      <c r="AH553" s="341" t="n"/>
      <c r="AI553" s="341" t="n"/>
      <c r="AJ553" s="341" t="n"/>
      <c r="AK553" s="341" t="n"/>
      <c r="AL553" s="341" t="n"/>
      <c r="AM553" s="341" t="n"/>
      <c r="AN553" s="341" t="n"/>
      <c r="AO553" s="341" t="n"/>
      <c r="AP553" s="341" t="n"/>
      <c r="AQ553" s="341" t="n"/>
      <c r="AR553" s="341" t="n"/>
      <c r="AS553" s="341" t="n"/>
      <c r="AT553" s="341" t="n"/>
      <c r="AU553" s="341" t="n"/>
      <c r="AV553" s="341" t="n"/>
      <c r="AW553" s="341" t="n"/>
      <c r="AX553" s="341" t="n"/>
      <c r="AY553" s="341" t="n"/>
      <c r="AZ553" s="341" t="n"/>
      <c r="BA553" s="341" t="n"/>
      <c r="BB553" s="341" t="n"/>
      <c r="BC553" s="341" t="n"/>
      <c r="BD553" s="341" t="n"/>
      <c r="BE553" s="341" t="n"/>
      <c r="BF553" s="341" t="n"/>
      <c r="BG553" s="341" t="n"/>
      <c r="BH553" s="341" t="n"/>
      <c r="BI553" s="341" t="n"/>
      <c r="BJ553" s="341" t="n"/>
      <c r="BK553" s="341" t="n"/>
      <c r="BL553" s="341" t="n"/>
      <c r="BM553" s="341" t="n"/>
      <c r="BN553" s="341" t="n"/>
      <c r="BO553" s="341" t="n"/>
      <c r="BP553" s="341" t="n"/>
    </row>
    <row outlineLevel="0" r="554">
      <c r="A554" s="154" t="n">
        <f aca="false" ca="false" dt2D="false" dtr="false" t="normal">A553+1</f>
        <v>535</v>
      </c>
      <c r="B554" s="138" t="n">
        <f aca="false" ca="false" dt2D="false" dtr="false" t="normal">B553+1</f>
        <v>76</v>
      </c>
      <c r="C554" s="138" t="s">
        <v>88</v>
      </c>
      <c r="D554" s="138" t="s">
        <v>89</v>
      </c>
      <c r="E554" s="16" t="n">
        <f aca="false" ca="true" dt2D="false" dtr="false" t="normal">SUBTOTAL(9, F554:T554)</f>
        <v>13910436.03</v>
      </c>
      <c r="F554" s="17" t="n">
        <v>0</v>
      </c>
      <c r="G554" s="17" t="n">
        <v>0</v>
      </c>
      <c r="H554" s="17" t="n">
        <v>0</v>
      </c>
      <c r="I554" s="17" t="n">
        <v>0</v>
      </c>
      <c r="J554" s="17" t="n">
        <v>0</v>
      </c>
      <c r="K554" s="17" t="n"/>
      <c r="L554" s="17" t="n"/>
      <c r="M554" s="17" t="n">
        <v>0</v>
      </c>
      <c r="N554" s="17" t="n">
        <v>0</v>
      </c>
      <c r="O554" s="17" t="n">
        <v>0</v>
      </c>
      <c r="P554" s="17" t="n">
        <v>13739587.04</v>
      </c>
      <c r="Q554" s="17" t="n">
        <v>0</v>
      </c>
      <c r="R554" s="17" t="n"/>
      <c r="S554" s="17" t="n"/>
      <c r="T554" s="188" t="n">
        <v>170848.99</v>
      </c>
      <c r="U554" s="341" t="n"/>
      <c r="V554" s="241" t="n">
        <f aca="false" ca="false" dt2D="false" dtr="false" t="normal">COUNTIF(F554:Q554, "&gt;0")</f>
        <v>1</v>
      </c>
      <c r="W554" s="341" t="n"/>
      <c r="X554" s="341" t="n"/>
      <c r="Y554" s="341" t="n"/>
      <c r="Z554" s="341" t="n"/>
      <c r="AA554" s="341" t="n"/>
      <c r="AB554" s="341" t="n"/>
      <c r="AC554" s="341" t="n"/>
      <c r="AD554" s="341" t="n"/>
      <c r="AE554" s="341" t="n"/>
      <c r="AF554" s="341" t="n"/>
      <c r="AG554" s="341" t="n"/>
      <c r="AH554" s="341" t="n"/>
      <c r="AI554" s="341" t="n"/>
      <c r="AJ554" s="341" t="n"/>
      <c r="AK554" s="341" t="n"/>
      <c r="AL554" s="341" t="n"/>
      <c r="AM554" s="341" t="n"/>
      <c r="AN554" s="341" t="n"/>
      <c r="AO554" s="341" t="n"/>
      <c r="AP554" s="341" t="n"/>
      <c r="AQ554" s="341" t="n"/>
      <c r="AR554" s="341" t="n"/>
      <c r="AS554" s="341" t="n"/>
      <c r="AT554" s="341" t="n"/>
      <c r="AU554" s="341" t="n"/>
      <c r="AV554" s="341" t="n"/>
      <c r="AW554" s="341" t="n"/>
      <c r="AX554" s="341" t="n"/>
      <c r="AY554" s="341" t="n"/>
      <c r="AZ554" s="341" t="n"/>
      <c r="BA554" s="341" t="n"/>
      <c r="BB554" s="341" t="n"/>
      <c r="BC554" s="341" t="n"/>
      <c r="BD554" s="341" t="n"/>
      <c r="BE554" s="341" t="n"/>
      <c r="BF554" s="341" t="n"/>
      <c r="BG554" s="341" t="n"/>
      <c r="BH554" s="341" t="n"/>
      <c r="BI554" s="341" t="n"/>
      <c r="BJ554" s="341" t="n"/>
      <c r="BK554" s="341" t="n"/>
      <c r="BL554" s="341" t="n"/>
      <c r="BM554" s="341" t="n"/>
      <c r="BN554" s="341" t="n"/>
      <c r="BO554" s="341" t="n"/>
      <c r="BP554" s="341" t="n"/>
    </row>
    <row outlineLevel="0" r="555">
      <c r="A555" s="154" t="n">
        <f aca="false" ca="false" dt2D="false" dtr="false" t="normal">A554+1</f>
        <v>536</v>
      </c>
      <c r="B555" s="138" t="n">
        <f aca="false" ca="false" dt2D="false" dtr="false" t="normal">B554+1</f>
        <v>77</v>
      </c>
      <c r="C555" s="138" t="s">
        <v>177</v>
      </c>
      <c r="D555" s="138" t="s">
        <v>321</v>
      </c>
      <c r="E555" s="16" t="n">
        <f aca="false" ca="true" dt2D="false" dtr="false" t="normal">SUBTOTAL(9, F555:T555)</f>
        <v>21000128.95</v>
      </c>
      <c r="F555" s="17" t="n"/>
      <c r="G555" s="17" t="n"/>
      <c r="H555" s="17" t="n"/>
      <c r="I555" s="17" t="n"/>
      <c r="J555" s="17" t="n"/>
      <c r="K555" s="17" t="n"/>
      <c r="L555" s="17" t="n"/>
      <c r="M555" s="17" t="n">
        <v>19804234.95</v>
      </c>
      <c r="N555" s="17" t="n"/>
      <c r="O555" s="17" t="n"/>
      <c r="P555" s="17" t="n"/>
      <c r="Q555" s="17" t="n"/>
      <c r="R555" s="17" t="n">
        <v>896920.5</v>
      </c>
      <c r="S555" s="17" t="n">
        <v>298973.5</v>
      </c>
      <c r="T555" s="188" t="n"/>
      <c r="V555" s="241" t="n">
        <f aca="false" ca="false" dt2D="false" dtr="false" t="normal">COUNTIF(F555:Q555, "&gt;0")</f>
        <v>1</v>
      </c>
    </row>
    <row outlineLevel="0" r="556">
      <c r="A556" s="154" t="n">
        <f aca="false" ca="false" dt2D="false" dtr="false" t="normal">A555+1</f>
        <v>537</v>
      </c>
      <c r="B556" s="138" t="n">
        <f aca="false" ca="false" dt2D="false" dtr="false" t="normal">B555+1</f>
        <v>78</v>
      </c>
      <c r="C556" s="138" t="s">
        <v>177</v>
      </c>
      <c r="D556" s="138" t="s">
        <v>204</v>
      </c>
      <c r="E556" s="16" t="n">
        <f aca="false" ca="true" dt2D="false" dtr="false" t="normal">SUBTOTAL(9, F556:T556)</f>
        <v>2013425.71</v>
      </c>
      <c r="F556" s="17" t="n"/>
      <c r="G556" s="17" t="n">
        <v>2013425.71</v>
      </c>
      <c r="H556" s="17" t="n"/>
      <c r="I556" s="17" t="n"/>
      <c r="J556" s="17" t="n"/>
      <c r="K556" s="17" t="n"/>
      <c r="L556" s="17" t="n"/>
      <c r="M556" s="17" t="n">
        <v>0</v>
      </c>
      <c r="N556" s="17" t="n"/>
      <c r="O556" s="17" t="n"/>
      <c r="P556" s="17" t="n"/>
      <c r="Q556" s="17" t="n"/>
      <c r="R556" s="17" t="n"/>
      <c r="S556" s="17" t="n"/>
      <c r="T556" s="188" t="n"/>
      <c r="U556" s="341" t="n"/>
      <c r="V556" s="241" t="n">
        <f aca="false" ca="false" dt2D="false" dtr="false" t="normal">COUNTIF(F556:Q556, "&gt;0")</f>
        <v>1</v>
      </c>
      <c r="W556" s="341" t="n"/>
      <c r="X556" s="341" t="n"/>
      <c r="Y556" s="341" t="n"/>
      <c r="Z556" s="341" t="n"/>
      <c r="AA556" s="341" t="n"/>
      <c r="AB556" s="341" t="n"/>
      <c r="AC556" s="341" t="n"/>
      <c r="AD556" s="341" t="n"/>
      <c r="AE556" s="341" t="n"/>
      <c r="AF556" s="341" t="n"/>
      <c r="AG556" s="341" t="n"/>
      <c r="AH556" s="341" t="n"/>
      <c r="AI556" s="341" t="n"/>
      <c r="AJ556" s="341" t="n"/>
      <c r="AK556" s="341" t="n"/>
      <c r="AL556" s="341" t="n"/>
      <c r="AM556" s="341" t="n"/>
      <c r="AN556" s="341" t="n"/>
      <c r="AO556" s="341" t="n"/>
      <c r="AP556" s="341" t="n"/>
      <c r="AQ556" s="341" t="n"/>
      <c r="AR556" s="341" t="n"/>
      <c r="AS556" s="341" t="n"/>
      <c r="AT556" s="341" t="n"/>
      <c r="AU556" s="341" t="n"/>
      <c r="AV556" s="341" t="n"/>
      <c r="AW556" s="341" t="n"/>
      <c r="AX556" s="341" t="n"/>
      <c r="AY556" s="341" t="n"/>
      <c r="AZ556" s="341" t="n"/>
      <c r="BA556" s="341" t="n"/>
      <c r="BB556" s="341" t="n"/>
      <c r="BC556" s="341" t="n"/>
      <c r="BD556" s="341" t="n"/>
      <c r="BE556" s="341" t="n"/>
      <c r="BF556" s="341" t="n"/>
      <c r="BG556" s="341" t="n"/>
      <c r="BH556" s="341" t="n"/>
      <c r="BI556" s="341" t="n"/>
      <c r="BJ556" s="341" t="n"/>
      <c r="BK556" s="341" t="n"/>
      <c r="BL556" s="341" t="n"/>
      <c r="BM556" s="341" t="n"/>
      <c r="BN556" s="341" t="n"/>
      <c r="BO556" s="341" t="n"/>
      <c r="BP556" s="341" t="n"/>
    </row>
    <row outlineLevel="0" r="557">
      <c r="A557" s="154" t="n">
        <f aca="false" ca="false" dt2D="false" dtr="false" t="normal">A556+1</f>
        <v>538</v>
      </c>
      <c r="B557" s="138" t="n">
        <f aca="false" ca="false" dt2D="false" dtr="false" t="normal">B556+1</f>
        <v>79</v>
      </c>
      <c r="C557" s="138" t="s">
        <v>177</v>
      </c>
      <c r="D557" s="138" t="s">
        <v>326</v>
      </c>
      <c r="E557" s="16" t="n">
        <f aca="false" ca="true" dt2D="false" dtr="false" t="normal">SUBTOTAL(9, F557:T557)</f>
        <v>3508450.11</v>
      </c>
      <c r="F557" s="17" t="n"/>
      <c r="G557" s="17" t="n">
        <v>2056177.15</v>
      </c>
      <c r="H557" s="17" t="n"/>
      <c r="I557" s="17" t="n">
        <v>1425204.86</v>
      </c>
      <c r="J557" s="17" t="n"/>
      <c r="K557" s="17" t="n"/>
      <c r="L557" s="17" t="n"/>
      <c r="M557" s="17" t="n">
        <v>0</v>
      </c>
      <c r="N557" s="17" t="n"/>
      <c r="O557" s="17" t="n">
        <v>0</v>
      </c>
      <c r="P557" s="17" t="n">
        <v>0</v>
      </c>
      <c r="Q557" s="17" t="n">
        <v>0</v>
      </c>
      <c r="R557" s="17" t="n"/>
      <c r="S557" s="17" t="n"/>
      <c r="T557" s="188" t="n">
        <v>27068.1</v>
      </c>
      <c r="U557" s="341" t="n"/>
      <c r="V557" s="241" t="n">
        <f aca="false" ca="false" dt2D="false" dtr="false" t="normal">COUNTIF(F557:Q557, "&gt;0")</f>
        <v>2</v>
      </c>
      <c r="W557" s="341" t="n"/>
      <c r="X557" s="341" t="n"/>
      <c r="Y557" s="341" t="n"/>
      <c r="Z557" s="341" t="n"/>
      <c r="AA557" s="341" t="n"/>
      <c r="AB557" s="341" t="n"/>
      <c r="AC557" s="341" t="n"/>
      <c r="AD557" s="341" t="n"/>
      <c r="AE557" s="341" t="n"/>
      <c r="AF557" s="341" t="n"/>
      <c r="AG557" s="341" t="n"/>
      <c r="AH557" s="341" t="n"/>
      <c r="AI557" s="341" t="n"/>
      <c r="AJ557" s="341" t="n"/>
      <c r="AK557" s="341" t="n"/>
      <c r="AL557" s="341" t="n"/>
      <c r="AM557" s="341" t="n"/>
      <c r="AN557" s="341" t="n"/>
      <c r="AO557" s="341" t="n"/>
      <c r="AP557" s="341" t="n"/>
      <c r="AQ557" s="341" t="n"/>
      <c r="AR557" s="341" t="n"/>
      <c r="AS557" s="341" t="n"/>
      <c r="AT557" s="341" t="n"/>
      <c r="AU557" s="341" t="n"/>
      <c r="AV557" s="341" t="n"/>
      <c r="AW557" s="341" t="n"/>
      <c r="AX557" s="341" t="n"/>
      <c r="AY557" s="341" t="n"/>
      <c r="AZ557" s="341" t="n"/>
      <c r="BA557" s="341" t="n"/>
      <c r="BB557" s="341" t="n"/>
      <c r="BC557" s="341" t="n"/>
      <c r="BD557" s="341" t="n"/>
      <c r="BE557" s="341" t="n"/>
      <c r="BF557" s="341" t="n"/>
      <c r="BG557" s="341" t="n"/>
      <c r="BH557" s="341" t="n"/>
      <c r="BI557" s="341" t="n"/>
      <c r="BJ557" s="341" t="n"/>
      <c r="BK557" s="341" t="n"/>
      <c r="BL557" s="341" t="n"/>
      <c r="BM557" s="341" t="n"/>
      <c r="BN557" s="341" t="n"/>
      <c r="BO557" s="341" t="n"/>
      <c r="BP557" s="341" t="n"/>
    </row>
    <row outlineLevel="0" r="558">
      <c r="A558" s="154" t="n">
        <f aca="false" ca="false" dt2D="false" dtr="false" t="normal">A557+1</f>
        <v>539</v>
      </c>
      <c r="B558" s="138" t="n">
        <f aca="false" ca="false" dt2D="false" dtr="false" t="normal">B557+1</f>
        <v>80</v>
      </c>
      <c r="C558" s="138" t="s">
        <v>177</v>
      </c>
      <c r="D558" s="138" t="s">
        <v>213</v>
      </c>
      <c r="E558" s="16" t="n">
        <f aca="false" ca="true" dt2D="false" dtr="false" t="normal">SUBTOTAL(9, F558:T558)</f>
        <v>4555776.11</v>
      </c>
      <c r="F558" s="17" t="n"/>
      <c r="G558" s="17" t="n">
        <v>1927090.91</v>
      </c>
      <c r="H558" s="17" t="n">
        <v>1334881.67</v>
      </c>
      <c r="I558" s="17" t="n">
        <v>1293803.53</v>
      </c>
      <c r="J558" s="17" t="n"/>
      <c r="K558" s="17" t="n"/>
      <c r="L558" s="17" t="n"/>
      <c r="M558" s="17" t="n">
        <v>0</v>
      </c>
      <c r="N558" s="17" t="n"/>
      <c r="O558" s="17" t="n">
        <v>0</v>
      </c>
      <c r="P558" s="17" t="n">
        <v>0</v>
      </c>
      <c r="Q558" s="17" t="n">
        <v>0</v>
      </c>
      <c r="R558" s="17" t="n"/>
      <c r="S558" s="17" t="n"/>
      <c r="T558" s="188" t="n"/>
      <c r="U558" s="341" t="n"/>
      <c r="V558" s="241" t="n">
        <f aca="false" ca="false" dt2D="false" dtr="false" t="normal">COUNTIF(F558:Q558, "&gt;0")</f>
        <v>3</v>
      </c>
      <c r="W558" s="341" t="n"/>
      <c r="X558" s="341" t="n"/>
      <c r="Y558" s="341" t="n"/>
      <c r="Z558" s="341" t="n"/>
      <c r="AA558" s="341" t="n"/>
      <c r="AB558" s="341" t="n"/>
      <c r="AC558" s="341" t="n"/>
      <c r="AD558" s="341" t="n"/>
      <c r="AE558" s="341" t="n"/>
      <c r="AF558" s="341" t="n"/>
      <c r="AG558" s="341" t="n"/>
      <c r="AH558" s="341" t="n"/>
      <c r="AI558" s="341" t="n"/>
      <c r="AJ558" s="341" t="n"/>
      <c r="AK558" s="341" t="n"/>
      <c r="AL558" s="341" t="n"/>
      <c r="AM558" s="341" t="n"/>
      <c r="AN558" s="341" t="n"/>
      <c r="AO558" s="341" t="n"/>
      <c r="AP558" s="341" t="n"/>
      <c r="AQ558" s="341" t="n"/>
      <c r="AR558" s="341" t="n"/>
      <c r="AS558" s="341" t="n"/>
      <c r="AT558" s="341" t="n"/>
      <c r="AU558" s="341" t="n"/>
      <c r="AV558" s="341" t="n"/>
      <c r="AW558" s="341" t="n"/>
      <c r="AX558" s="341" t="n"/>
      <c r="AY558" s="341" t="n"/>
      <c r="AZ558" s="341" t="n"/>
      <c r="BA558" s="341" t="n"/>
      <c r="BB558" s="341" t="n"/>
      <c r="BC558" s="341" t="n"/>
      <c r="BD558" s="341" t="n"/>
      <c r="BE558" s="341" t="n"/>
      <c r="BF558" s="341" t="n"/>
      <c r="BG558" s="341" t="n"/>
      <c r="BH558" s="341" t="n"/>
      <c r="BI558" s="341" t="n"/>
      <c r="BJ558" s="341" t="n"/>
      <c r="BK558" s="341" t="n"/>
      <c r="BL558" s="341" t="n"/>
      <c r="BM558" s="341" t="n"/>
      <c r="BN558" s="341" t="n"/>
      <c r="BO558" s="341" t="n"/>
      <c r="BP558" s="341" t="n"/>
    </row>
    <row outlineLevel="0" r="559">
      <c r="A559" s="154" t="n">
        <f aca="false" ca="false" dt2D="false" dtr="false" t="normal">A558+1</f>
        <v>540</v>
      </c>
      <c r="B559" s="138" t="n">
        <f aca="false" ca="false" dt2D="false" dtr="false" t="normal">B558+1</f>
        <v>81</v>
      </c>
      <c r="C559" s="138" t="s">
        <v>177</v>
      </c>
      <c r="D559" s="138" t="s">
        <v>220</v>
      </c>
      <c r="E559" s="16" t="n">
        <f aca="false" ca="true" dt2D="false" dtr="false" t="normal">SUBTOTAL(9, F559:T559)</f>
        <v>14570624.930000002</v>
      </c>
      <c r="F559" s="17" t="n"/>
      <c r="G559" s="17" t="n"/>
      <c r="H559" s="17" t="n">
        <v>1322147.47</v>
      </c>
      <c r="I559" s="17" t="n"/>
      <c r="J559" s="17" t="n">
        <v>0</v>
      </c>
      <c r="K559" s="17" t="n"/>
      <c r="L559" s="17" t="n"/>
      <c r="M559" s="17" t="n">
        <v>0</v>
      </c>
      <c r="N559" s="17" t="n">
        <v>13248477.46</v>
      </c>
      <c r="O559" s="17" t="n">
        <v>0</v>
      </c>
      <c r="P559" s="17" t="n"/>
      <c r="Q559" s="17" t="n">
        <v>0</v>
      </c>
      <c r="R559" s="17" t="n"/>
      <c r="S559" s="17" t="n"/>
      <c r="T559" s="188" t="n"/>
      <c r="V559" s="241" t="n">
        <f aca="false" ca="false" dt2D="false" dtr="false" t="normal">COUNTIF(F559:Q559, "&gt;0")</f>
        <v>2</v>
      </c>
    </row>
    <row outlineLevel="0" r="560">
      <c r="A560" s="154" t="n">
        <f aca="false" ca="false" dt2D="false" dtr="false" t="normal">A559+1</f>
        <v>541</v>
      </c>
      <c r="B560" s="138" t="n">
        <f aca="false" ca="false" dt2D="false" dtr="false" t="normal">B559+1</f>
        <v>82</v>
      </c>
      <c r="C560" s="138" t="s">
        <v>177</v>
      </c>
      <c r="D560" s="138" t="s">
        <v>222</v>
      </c>
      <c r="E560" s="16" t="n">
        <f aca="false" ca="true" dt2D="false" dtr="false" t="normal">SUBTOTAL(9, F560:T560)</f>
        <v>2937200.2</v>
      </c>
      <c r="F560" s="17" t="n"/>
      <c r="G560" s="17" t="n">
        <v>0</v>
      </c>
      <c r="H560" s="17" t="n">
        <v>2937200.2</v>
      </c>
      <c r="I560" s="17" t="n"/>
      <c r="J560" s="17" t="n">
        <v>0</v>
      </c>
      <c r="K560" s="17" t="n"/>
      <c r="L560" s="17" t="n"/>
      <c r="M560" s="17" t="n">
        <v>0</v>
      </c>
      <c r="N560" s="17" t="n"/>
      <c r="O560" s="17" t="n">
        <v>0</v>
      </c>
      <c r="P560" s="17" t="n"/>
      <c r="Q560" s="17" t="n">
        <v>0</v>
      </c>
      <c r="R560" s="17" t="n"/>
      <c r="S560" s="17" t="n"/>
      <c r="T560" s="188" t="n"/>
      <c r="U560" s="341" t="n"/>
      <c r="V560" s="241" t="n">
        <f aca="false" ca="false" dt2D="false" dtr="false" t="normal">COUNTIF(F560:Q560, "&gt;0")</f>
        <v>1</v>
      </c>
      <c r="W560" s="341" t="n"/>
      <c r="X560" s="341" t="n"/>
      <c r="Y560" s="341" t="n"/>
      <c r="Z560" s="341" t="n"/>
      <c r="AA560" s="341" t="n"/>
      <c r="AB560" s="341" t="n"/>
      <c r="AC560" s="341" t="n"/>
      <c r="AD560" s="341" t="n"/>
      <c r="AE560" s="341" t="n"/>
      <c r="AF560" s="341" t="n"/>
      <c r="AG560" s="341" t="n"/>
      <c r="AH560" s="341" t="n"/>
      <c r="AI560" s="341" t="n"/>
      <c r="AJ560" s="341" t="n"/>
      <c r="AK560" s="341" t="n"/>
      <c r="AL560" s="341" t="n"/>
      <c r="AM560" s="341" t="n"/>
      <c r="AN560" s="341" t="n"/>
      <c r="AO560" s="341" t="n"/>
      <c r="AP560" s="341" t="n"/>
      <c r="AQ560" s="341" t="n"/>
      <c r="AR560" s="341" t="n"/>
      <c r="AS560" s="341" t="n"/>
      <c r="AT560" s="341" t="n"/>
      <c r="AU560" s="341" t="n"/>
      <c r="AV560" s="341" t="n"/>
      <c r="AW560" s="341" t="n"/>
      <c r="AX560" s="341" t="n"/>
      <c r="AY560" s="341" t="n"/>
      <c r="AZ560" s="341" t="n"/>
      <c r="BA560" s="341" t="n"/>
      <c r="BB560" s="341" t="n"/>
      <c r="BC560" s="341" t="n"/>
      <c r="BD560" s="341" t="n"/>
      <c r="BE560" s="341" t="n"/>
      <c r="BF560" s="341" t="n"/>
      <c r="BG560" s="341" t="n"/>
      <c r="BH560" s="341" t="n"/>
      <c r="BI560" s="341" t="n"/>
      <c r="BJ560" s="341" t="n"/>
      <c r="BK560" s="341" t="n"/>
      <c r="BL560" s="341" t="n"/>
      <c r="BM560" s="341" t="n"/>
      <c r="BN560" s="341" t="n"/>
      <c r="BO560" s="341" t="n"/>
      <c r="BP560" s="341" t="n"/>
    </row>
    <row outlineLevel="0" r="561">
      <c r="A561" s="154" t="n">
        <f aca="false" ca="false" dt2D="false" dtr="false" t="normal">A560+1</f>
        <v>542</v>
      </c>
      <c r="B561" s="138" t="n">
        <f aca="false" ca="false" dt2D="false" dtr="false" t="normal">B560+1</f>
        <v>83</v>
      </c>
      <c r="C561" s="138" t="s">
        <v>177</v>
      </c>
      <c r="D561" s="138" t="s">
        <v>224</v>
      </c>
      <c r="E561" s="16" t="n">
        <f aca="false" ca="true" dt2D="false" dtr="false" t="normal">SUBTOTAL(9, F561:T561)</f>
        <v>2182131.94</v>
      </c>
      <c r="F561" s="17" t="n"/>
      <c r="G561" s="17" t="n">
        <v>0</v>
      </c>
      <c r="H561" s="17" t="n">
        <v>2182131.94</v>
      </c>
      <c r="I561" s="17" t="n"/>
      <c r="J561" s="17" t="n"/>
      <c r="K561" s="17" t="n"/>
      <c r="L561" s="17" t="n"/>
      <c r="M561" s="17" t="n">
        <v>0</v>
      </c>
      <c r="N561" s="17" t="n"/>
      <c r="O561" s="17" t="n">
        <v>0</v>
      </c>
      <c r="P561" s="17" t="n"/>
      <c r="Q561" s="17" t="n">
        <v>0</v>
      </c>
      <c r="R561" s="17" t="n"/>
      <c r="S561" s="17" t="n"/>
      <c r="T561" s="188" t="n"/>
      <c r="U561" s="341" t="n"/>
      <c r="V561" s="241" t="n">
        <f aca="false" ca="false" dt2D="false" dtr="false" t="normal">COUNTIF(F561:Q561, "&gt;0")</f>
        <v>1</v>
      </c>
      <c r="W561" s="341" t="n"/>
      <c r="X561" s="341" t="n"/>
      <c r="Y561" s="341" t="n"/>
      <c r="Z561" s="341" t="n"/>
      <c r="AA561" s="341" t="n"/>
      <c r="AB561" s="341" t="n"/>
      <c r="AC561" s="341" t="n"/>
      <c r="AD561" s="341" t="n"/>
      <c r="AE561" s="341" t="n"/>
      <c r="AF561" s="341" t="n"/>
      <c r="AG561" s="341" t="n"/>
      <c r="AH561" s="341" t="n"/>
      <c r="AI561" s="341" t="n"/>
      <c r="AJ561" s="341" t="n"/>
      <c r="AK561" s="341" t="n"/>
      <c r="AL561" s="341" t="n"/>
      <c r="AM561" s="341" t="n"/>
      <c r="AN561" s="341" t="n"/>
      <c r="AO561" s="341" t="n"/>
      <c r="AP561" s="341" t="n"/>
      <c r="AQ561" s="341" t="n"/>
      <c r="AR561" s="341" t="n"/>
      <c r="AS561" s="341" t="n"/>
      <c r="AT561" s="341" t="n"/>
      <c r="AU561" s="341" t="n"/>
      <c r="AV561" s="341" t="n"/>
      <c r="AW561" s="341" t="n"/>
      <c r="AX561" s="341" t="n"/>
      <c r="AY561" s="341" t="n"/>
      <c r="AZ561" s="341" t="n"/>
      <c r="BA561" s="341" t="n"/>
      <c r="BB561" s="341" t="n"/>
      <c r="BC561" s="341" t="n"/>
      <c r="BD561" s="341" t="n"/>
      <c r="BE561" s="341" t="n"/>
      <c r="BF561" s="341" t="n"/>
      <c r="BG561" s="341" t="n"/>
      <c r="BH561" s="341" t="n"/>
      <c r="BI561" s="341" t="n"/>
      <c r="BJ561" s="341" t="n"/>
      <c r="BK561" s="341" t="n"/>
      <c r="BL561" s="341" t="n"/>
      <c r="BM561" s="341" t="n"/>
      <c r="BN561" s="341" t="n"/>
      <c r="BO561" s="341" t="n"/>
      <c r="BP561" s="341" t="n"/>
    </row>
    <row outlineLevel="0" r="562">
      <c r="A562" s="154" t="n">
        <f aca="false" ca="false" dt2D="false" dtr="false" t="normal">A561+1</f>
        <v>543</v>
      </c>
      <c r="B562" s="138" t="n">
        <f aca="false" ca="false" dt2D="false" dtr="false" t="normal">B561+1</f>
        <v>84</v>
      </c>
      <c r="C562" s="138" t="s">
        <v>177</v>
      </c>
      <c r="D562" s="138" t="s">
        <v>334</v>
      </c>
      <c r="E562" s="16" t="n">
        <f aca="false" ca="true" dt2D="false" dtr="false" t="normal">SUBTOTAL(9, F562:T562)</f>
        <v>4704538.53</v>
      </c>
      <c r="F562" s="17" t="n">
        <v>0</v>
      </c>
      <c r="G562" s="17" t="n">
        <v>0</v>
      </c>
      <c r="H562" s="17" t="n">
        <v>0</v>
      </c>
      <c r="I562" s="17" t="n">
        <v>1300691.74</v>
      </c>
      <c r="J562" s="17" t="n">
        <v>0</v>
      </c>
      <c r="K562" s="17" t="n"/>
      <c r="L562" s="17" t="n">
        <v>0</v>
      </c>
      <c r="M562" s="17" t="n"/>
      <c r="N562" s="17" t="n"/>
      <c r="O562" s="17" t="n">
        <v>0</v>
      </c>
      <c r="P562" s="17" t="n"/>
      <c r="Q562" s="17" t="n">
        <v>3403846.79</v>
      </c>
      <c r="R562" s="17" t="n"/>
      <c r="S562" s="17" t="n"/>
      <c r="T562" s="188" t="n"/>
      <c r="U562" s="341" t="n"/>
      <c r="V562" s="241" t="n">
        <f aca="false" ca="false" dt2D="false" dtr="false" t="normal">COUNTIF(F562:Q562, "&gt;0")</f>
        <v>2</v>
      </c>
      <c r="W562" s="341" t="n"/>
      <c r="X562" s="341" t="n"/>
      <c r="Y562" s="341" t="n"/>
      <c r="Z562" s="341" t="n"/>
      <c r="AA562" s="341" t="n"/>
      <c r="AB562" s="341" t="n"/>
      <c r="AC562" s="341" t="n"/>
      <c r="AD562" s="341" t="n"/>
      <c r="AE562" s="341" t="n"/>
      <c r="AF562" s="341" t="n"/>
      <c r="AG562" s="341" t="n"/>
      <c r="AH562" s="341" t="n"/>
      <c r="AI562" s="341" t="n"/>
      <c r="AJ562" s="341" t="n"/>
      <c r="AK562" s="341" t="n"/>
      <c r="AL562" s="341" t="n"/>
      <c r="AM562" s="341" t="n"/>
      <c r="AN562" s="341" t="n"/>
      <c r="AO562" s="341" t="n"/>
      <c r="AP562" s="341" t="n"/>
      <c r="AQ562" s="341" t="n"/>
      <c r="AR562" s="341" t="n"/>
      <c r="AS562" s="341" t="n"/>
      <c r="AT562" s="341" t="n"/>
      <c r="AU562" s="341" t="n"/>
      <c r="AV562" s="341" t="n"/>
      <c r="AW562" s="341" t="n"/>
      <c r="AX562" s="341" t="n"/>
      <c r="AY562" s="341" t="n"/>
      <c r="AZ562" s="341" t="n"/>
      <c r="BA562" s="341" t="n"/>
      <c r="BB562" s="341" t="n"/>
      <c r="BC562" s="341" t="n"/>
      <c r="BD562" s="341" t="n"/>
      <c r="BE562" s="341" t="n"/>
      <c r="BF562" s="341" t="n"/>
      <c r="BG562" s="341" t="n"/>
      <c r="BH562" s="341" t="n"/>
      <c r="BI562" s="341" t="n"/>
      <c r="BJ562" s="341" t="n"/>
      <c r="BK562" s="341" t="n"/>
      <c r="BL562" s="341" t="n"/>
      <c r="BM562" s="341" t="n"/>
      <c r="BN562" s="341" t="n"/>
      <c r="BO562" s="341" t="n"/>
      <c r="BP562" s="341" t="n"/>
    </row>
    <row outlineLevel="0" r="563">
      <c r="A563" s="154" t="n">
        <f aca="false" ca="false" dt2D="false" dtr="false" t="normal">A562+1</f>
        <v>544</v>
      </c>
      <c r="B563" s="138" t="s">
        <v>76</v>
      </c>
      <c r="C563" s="138" t="s">
        <v>177</v>
      </c>
      <c r="D563" s="138" t="s">
        <v>336</v>
      </c>
      <c r="E563" s="342" t="n">
        <f aca="false" ca="true" dt2D="false" dtr="false" t="normal">SUBTOTAL(9, F563:T563)</f>
        <v>1251767.93</v>
      </c>
      <c r="F563" s="17" t="n">
        <v>0</v>
      </c>
      <c r="G563" s="17" t="n">
        <v>0</v>
      </c>
      <c r="H563" s="17" t="n">
        <v>0</v>
      </c>
      <c r="I563" s="17" t="n">
        <v>0</v>
      </c>
      <c r="J563" s="17" t="n">
        <v>0</v>
      </c>
      <c r="K563" s="17" t="n"/>
      <c r="L563" s="17" t="n"/>
      <c r="M563" s="17" t="n">
        <v>0</v>
      </c>
      <c r="N563" s="17" t="n">
        <v>0</v>
      </c>
      <c r="O563" s="17" t="n">
        <v>0</v>
      </c>
      <c r="P563" s="17" t="n">
        <v>1251767.93</v>
      </c>
      <c r="Q563" s="17" t="n">
        <v>0</v>
      </c>
      <c r="R563" s="17" t="n"/>
      <c r="S563" s="17" t="n"/>
      <c r="T563" s="188" t="n"/>
      <c r="V563" s="241" t="n">
        <f aca="false" ca="false" dt2D="false" dtr="false" t="normal">COUNTIF(F563:Q563, "&gt;0")</f>
        <v>1</v>
      </c>
    </row>
    <row outlineLevel="0" r="564">
      <c r="A564" s="154" t="n">
        <f aca="false" ca="false" dt2D="false" dtr="false" t="normal">A563+1</f>
        <v>545</v>
      </c>
      <c r="B564" s="138" t="n">
        <f aca="false" ca="false" dt2D="false" dtr="false" t="normal">B562+1</f>
        <v>85</v>
      </c>
      <c r="C564" s="138" t="s">
        <v>177</v>
      </c>
      <c r="D564" s="138" t="s">
        <v>229</v>
      </c>
      <c r="E564" s="16" t="n">
        <f aca="false" ca="true" dt2D="false" dtr="false" t="normal">SUBTOTAL(9, F564:T564)</f>
        <v>23611626.23</v>
      </c>
      <c r="F564" s="17" t="n"/>
      <c r="G564" s="17" t="n">
        <v>0</v>
      </c>
      <c r="H564" s="17" t="n">
        <v>0</v>
      </c>
      <c r="I564" s="17" t="n">
        <v>0</v>
      </c>
      <c r="J564" s="17" t="n"/>
      <c r="K564" s="17" t="n"/>
      <c r="L564" s="17" t="n"/>
      <c r="M564" s="17" t="n">
        <v>0</v>
      </c>
      <c r="N564" s="17" t="n">
        <v>15371677.14</v>
      </c>
      <c r="O564" s="17" t="n">
        <v>0</v>
      </c>
      <c r="P564" s="17" t="n">
        <v>0</v>
      </c>
      <c r="Q564" s="17" t="n">
        <v>8239949.09</v>
      </c>
      <c r="R564" s="17" t="n"/>
      <c r="S564" s="17" t="n"/>
      <c r="T564" s="188" t="n"/>
      <c r="V564" s="241" t="n">
        <f aca="false" ca="false" dt2D="false" dtr="false" t="normal">COUNTIF(F564:Q564, "&gt;0")</f>
        <v>2</v>
      </c>
    </row>
    <row outlineLevel="0" r="565">
      <c r="A565" s="154" t="n">
        <f aca="false" ca="false" dt2D="false" dtr="false" t="normal">A564+1</f>
        <v>546</v>
      </c>
      <c r="B565" s="138" t="n">
        <f aca="false" ca="false" dt2D="false" dtr="false" t="normal">B564+1</f>
        <v>86</v>
      </c>
      <c r="C565" s="138" t="s">
        <v>177</v>
      </c>
      <c r="D565" s="138" t="s">
        <v>339</v>
      </c>
      <c r="E565" s="16" t="n">
        <f aca="false" ca="true" dt2D="false" dtr="false" t="normal">SUBTOTAL(9, F565:T565)</f>
        <v>2358235.97</v>
      </c>
      <c r="F565" s="17" t="n"/>
      <c r="G565" s="17" t="n"/>
      <c r="H565" s="17" t="n"/>
      <c r="I565" s="17" t="n">
        <v>2358235.97</v>
      </c>
      <c r="J565" s="17" t="n"/>
      <c r="K565" s="17" t="n"/>
      <c r="L565" s="17" t="n"/>
      <c r="M565" s="17" t="n">
        <v>0</v>
      </c>
      <c r="N565" s="17" t="n"/>
      <c r="O565" s="17" t="n">
        <v>0</v>
      </c>
      <c r="P565" s="17" t="n">
        <v>0</v>
      </c>
      <c r="Q565" s="17" t="n">
        <v>0</v>
      </c>
      <c r="R565" s="17" t="n"/>
      <c r="S565" s="17" t="n"/>
      <c r="T565" s="188" t="n"/>
      <c r="V565" s="241" t="n">
        <f aca="false" ca="false" dt2D="false" dtr="false" t="normal">COUNTIF(F565:Q565, "&gt;0")</f>
        <v>1</v>
      </c>
    </row>
    <row outlineLevel="0" r="566">
      <c r="A566" s="154" t="n">
        <f aca="false" ca="false" dt2D="false" dtr="false" t="normal">A565+1</f>
        <v>547</v>
      </c>
      <c r="B566" s="138" t="n">
        <f aca="false" ca="false" dt2D="false" dtr="false" t="normal">B565+1</f>
        <v>87</v>
      </c>
      <c r="C566" s="138" t="s">
        <v>177</v>
      </c>
      <c r="D566" s="138" t="s">
        <v>342</v>
      </c>
      <c r="E566" s="16" t="n">
        <f aca="false" ca="true" dt2D="false" dtr="false" t="normal">SUBTOTAL(9, F566:T566)</f>
        <v>27033583.94</v>
      </c>
      <c r="F566" s="17" t="n"/>
      <c r="G566" s="17" t="n"/>
      <c r="H566" s="17" t="n">
        <v>1525309.8</v>
      </c>
      <c r="I566" s="17" t="n">
        <v>978506.55</v>
      </c>
      <c r="J566" s="17" t="n"/>
      <c r="K566" s="17" t="n"/>
      <c r="L566" s="17" t="n"/>
      <c r="M566" s="17" t="n"/>
      <c r="N566" s="17" t="n"/>
      <c r="O566" s="17" t="n"/>
      <c r="P566" s="17" t="n">
        <v>16575676.34</v>
      </c>
      <c r="Q566" s="17" t="n">
        <v>7954091.25</v>
      </c>
      <c r="R566" s="17" t="n"/>
      <c r="S566" s="17" t="n"/>
      <c r="T566" s="188" t="n"/>
      <c r="V566" s="241" t="n">
        <f aca="false" ca="false" dt2D="false" dtr="false" t="normal">COUNTIF(F566:Q566, "&gt;0")</f>
        <v>4</v>
      </c>
    </row>
    <row outlineLevel="0" r="567">
      <c r="A567" s="154" t="n">
        <f aca="false" ca="false" dt2D="false" dtr="false" t="normal">A566+1</f>
        <v>548</v>
      </c>
      <c r="B567" s="138" t="n">
        <f aca="false" ca="false" dt2D="false" dtr="false" t="normal">B566+1</f>
        <v>88</v>
      </c>
      <c r="C567" s="138" t="s">
        <v>177</v>
      </c>
      <c r="D567" s="138" t="s">
        <v>344</v>
      </c>
      <c r="E567" s="16" t="n">
        <f aca="false" ca="true" dt2D="false" dtr="false" t="normal">SUBTOTAL(9, F567:T567)</f>
        <v>1841732.95</v>
      </c>
      <c r="F567" s="17" t="n">
        <v>0</v>
      </c>
      <c r="G567" s="17" t="n">
        <v>0</v>
      </c>
      <c r="H567" s="17" t="n">
        <v>0</v>
      </c>
      <c r="I567" s="17" t="n">
        <v>0</v>
      </c>
      <c r="J567" s="17" t="n">
        <v>1841732.95</v>
      </c>
      <c r="K567" s="17" t="n"/>
      <c r="L567" s="17" t="n"/>
      <c r="M567" s="17" t="n">
        <v>0</v>
      </c>
      <c r="N567" s="17" t="n">
        <v>0</v>
      </c>
      <c r="O567" s="17" t="n">
        <v>0</v>
      </c>
      <c r="P567" s="17" t="n">
        <v>0</v>
      </c>
      <c r="Q567" s="17" t="n">
        <v>0</v>
      </c>
      <c r="R567" s="17" t="n"/>
      <c r="S567" s="17" t="n"/>
      <c r="T567" s="188" t="n"/>
      <c r="V567" s="241" t="n">
        <f aca="false" ca="false" dt2D="false" dtr="false" t="normal">COUNTIF(F567:Q567, "&gt;0")</f>
        <v>1</v>
      </c>
    </row>
    <row outlineLevel="0" r="568">
      <c r="A568" s="154" t="n">
        <f aca="false" ca="false" dt2D="false" dtr="false" t="normal">A567+1</f>
        <v>549</v>
      </c>
      <c r="B568" s="138" t="n">
        <f aca="false" ca="false" dt2D="false" dtr="false" t="normal">B567+1</f>
        <v>89</v>
      </c>
      <c r="C568" s="138" t="s">
        <v>177</v>
      </c>
      <c r="D568" s="138" t="s">
        <v>345</v>
      </c>
      <c r="E568" s="16" t="n">
        <f aca="false" ca="true" dt2D="false" dtr="false" t="normal">SUBTOTAL(9, F568:T568)</f>
        <v>8368081.31</v>
      </c>
      <c r="F568" s="17" t="n">
        <v>0</v>
      </c>
      <c r="G568" s="17" t="n">
        <v>0</v>
      </c>
      <c r="H568" s="17" t="n">
        <v>0</v>
      </c>
      <c r="I568" s="17" t="n">
        <v>0</v>
      </c>
      <c r="J568" s="17" t="n"/>
      <c r="K568" s="17" t="n"/>
      <c r="L568" s="17" t="n"/>
      <c r="M568" s="17" t="n"/>
      <c r="N568" s="17" t="n"/>
      <c r="O568" s="17" t="n"/>
      <c r="P568" s="17" t="n"/>
      <c r="Q568" s="17" t="n">
        <v>8368081.31</v>
      </c>
      <c r="R568" s="17" t="n"/>
      <c r="S568" s="17" t="n"/>
      <c r="T568" s="188" t="n"/>
      <c r="V568" s="241" t="n">
        <f aca="false" ca="false" dt2D="false" dtr="false" t="normal">COUNTIF(F568:Q568, "&gt;0")</f>
        <v>1</v>
      </c>
    </row>
    <row outlineLevel="0" r="569">
      <c r="A569" s="154" t="n">
        <f aca="false" ca="false" dt2D="false" dtr="false" t="normal">A568+1</f>
        <v>550</v>
      </c>
      <c r="B569" s="138" t="n">
        <f aca="false" ca="false" dt2D="false" dtr="false" t="normal">B568+1</f>
        <v>90</v>
      </c>
      <c r="C569" s="138" t="s">
        <v>177</v>
      </c>
      <c r="D569" s="138" t="s">
        <v>346</v>
      </c>
      <c r="E569" s="16" t="n">
        <f aca="false" ca="true" dt2D="false" dtr="false" t="normal">SUBTOTAL(9, F569:T569)</f>
        <v>9428594.13</v>
      </c>
      <c r="F569" s="17" t="n"/>
      <c r="G569" s="17" t="n"/>
      <c r="H569" s="17" t="n"/>
      <c r="I569" s="17" t="n"/>
      <c r="J569" s="17" t="n"/>
      <c r="K569" s="17" t="n"/>
      <c r="L569" s="17" t="n"/>
      <c r="M569" s="17" t="n">
        <v>0</v>
      </c>
      <c r="N569" s="17" t="n"/>
      <c r="O569" s="17" t="n">
        <v>0</v>
      </c>
      <c r="P569" s="17" t="n">
        <v>9428594.13</v>
      </c>
      <c r="Q569" s="17" t="n"/>
      <c r="R569" s="17" t="n"/>
      <c r="S569" s="17" t="n"/>
      <c r="T569" s="188" t="n"/>
      <c r="V569" s="241" t="n">
        <f aca="false" ca="false" dt2D="false" dtr="false" t="normal">COUNTIF(F569:Q569, "&gt;0")</f>
        <v>1</v>
      </c>
    </row>
    <row outlineLevel="0" r="570">
      <c r="A570" s="154" t="n">
        <f aca="false" ca="false" dt2D="false" dtr="false" t="normal">A569+1</f>
        <v>551</v>
      </c>
      <c r="B570" s="138" t="n">
        <f aca="false" ca="false" dt2D="false" dtr="false" t="normal">B569+1</f>
        <v>91</v>
      </c>
      <c r="C570" s="138" t="s">
        <v>177</v>
      </c>
      <c r="D570" s="138" t="s">
        <v>348</v>
      </c>
      <c r="E570" s="16" t="n">
        <f aca="false" ca="true" dt2D="false" dtr="false" t="normal">SUBTOTAL(9, F570:T570)</f>
        <v>1488237.82</v>
      </c>
      <c r="F570" s="17" t="n">
        <v>0</v>
      </c>
      <c r="G570" s="17" t="n">
        <v>0</v>
      </c>
      <c r="H570" s="17" t="n">
        <v>0</v>
      </c>
      <c r="I570" s="17" t="n">
        <v>0</v>
      </c>
      <c r="J570" s="17" t="n">
        <v>1488237.82</v>
      </c>
      <c r="K570" s="17" t="n"/>
      <c r="L570" s="17" t="n"/>
      <c r="M570" s="17" t="n">
        <v>0</v>
      </c>
      <c r="N570" s="17" t="n">
        <v>0</v>
      </c>
      <c r="O570" s="17" t="n">
        <v>0</v>
      </c>
      <c r="P570" s="17" t="n">
        <v>0</v>
      </c>
      <c r="Q570" s="17" t="n">
        <v>0</v>
      </c>
      <c r="R570" s="17" t="n"/>
      <c r="S570" s="17" t="n"/>
      <c r="T570" s="188" t="n"/>
      <c r="V570" s="241" t="n">
        <f aca="false" ca="false" dt2D="false" dtr="false" t="normal">COUNTIF(F570:Q570, "&gt;0")</f>
        <v>1</v>
      </c>
    </row>
    <row outlineLevel="0" r="571">
      <c r="A571" s="154" t="n">
        <f aca="false" ca="false" dt2D="false" dtr="false" t="normal">A570+1</f>
        <v>552</v>
      </c>
      <c r="B571" s="138" t="n">
        <f aca="false" ca="false" dt2D="false" dtr="false" t="normal">B570+1</f>
        <v>92</v>
      </c>
      <c r="C571" s="138" t="s">
        <v>177</v>
      </c>
      <c r="D571" s="138" t="s">
        <v>349</v>
      </c>
      <c r="E571" s="16" t="n">
        <f aca="false" ca="true" dt2D="false" dtr="false" t="normal">SUBTOTAL(9, F571:T571)</f>
        <v>2839949</v>
      </c>
      <c r="F571" s="17" t="n">
        <v>2839949</v>
      </c>
      <c r="G571" s="17" t="n"/>
      <c r="H571" s="17" t="n">
        <v>0</v>
      </c>
      <c r="I571" s="17" t="n">
        <v>0</v>
      </c>
      <c r="J571" s="17" t="n"/>
      <c r="K571" s="17" t="n"/>
      <c r="L571" s="17" t="n"/>
      <c r="M571" s="17" t="n">
        <v>0</v>
      </c>
      <c r="N571" s="17" t="n">
        <v>0</v>
      </c>
      <c r="O571" s="17" t="n">
        <v>0</v>
      </c>
      <c r="P571" s="17" t="n">
        <v>0</v>
      </c>
      <c r="Q571" s="17" t="n">
        <v>0</v>
      </c>
      <c r="R571" s="17" t="n"/>
      <c r="S571" s="17" t="n"/>
      <c r="T571" s="188" t="n"/>
      <c r="V571" s="241" t="n">
        <f aca="false" ca="false" dt2D="false" dtr="false" t="normal">COUNTIF(F571:Q571, "&gt;0")</f>
        <v>1</v>
      </c>
    </row>
    <row outlineLevel="0" r="572">
      <c r="A572" s="154" t="n">
        <f aca="false" ca="false" dt2D="false" dtr="false" t="normal">A571+1</f>
        <v>553</v>
      </c>
      <c r="B572" s="138" t="n">
        <f aca="false" ca="false" dt2D="false" dtr="false" t="normal">B571+1</f>
        <v>93</v>
      </c>
      <c r="C572" s="138" t="s">
        <v>177</v>
      </c>
      <c r="D572" s="138" t="s">
        <v>352</v>
      </c>
      <c r="E572" s="16" t="n">
        <f aca="false" ca="true" dt2D="false" dtr="false" t="normal">SUBTOTAL(9, F572:T572)</f>
        <v>12030529.280000001</v>
      </c>
      <c r="F572" s="17" t="n">
        <v>7206473.96</v>
      </c>
      <c r="G572" s="17" t="n">
        <v>2577139.2</v>
      </c>
      <c r="H572" s="17" t="n"/>
      <c r="I572" s="17" t="n">
        <v>2246916.12</v>
      </c>
      <c r="J572" s="17" t="n"/>
      <c r="K572" s="17" t="n"/>
      <c r="L572" s="17" t="n"/>
      <c r="M572" s="17" t="n"/>
      <c r="N572" s="17" t="n"/>
      <c r="O572" s="17" t="n"/>
      <c r="P572" s="17" t="n"/>
      <c r="Q572" s="17" t="n"/>
      <c r="R572" s="17" t="n"/>
      <c r="S572" s="17" t="n"/>
      <c r="T572" s="188" t="n"/>
      <c r="V572" s="241" t="n">
        <f aca="false" ca="false" dt2D="false" dtr="false" t="normal">COUNTIF(F572:Q572, "&gt;0")</f>
        <v>3</v>
      </c>
    </row>
    <row outlineLevel="0" r="573">
      <c r="A573" s="154" t="n">
        <f aca="false" ca="false" dt2D="false" dtr="false" t="normal">A572+1</f>
        <v>554</v>
      </c>
      <c r="B573" s="138" t="n">
        <f aca="false" ca="false" dt2D="false" dtr="false" t="normal">B572+1</f>
        <v>94</v>
      </c>
      <c r="C573" s="138" t="s">
        <v>177</v>
      </c>
      <c r="D573" s="138" t="s">
        <v>233</v>
      </c>
      <c r="E573" s="16" t="n">
        <f aca="false" ca="true" dt2D="false" dtr="false" t="normal">SUBTOTAL(9, F573:T573)</f>
        <v>7249912.51</v>
      </c>
      <c r="F573" s="17" t="n">
        <v>7249912.51</v>
      </c>
      <c r="G573" s="17" t="n">
        <v>0</v>
      </c>
      <c r="H573" s="17" t="n">
        <v>0</v>
      </c>
      <c r="I573" s="17" t="n">
        <v>0</v>
      </c>
      <c r="J573" s="17" t="n">
        <v>0</v>
      </c>
      <c r="K573" s="17" t="n"/>
      <c r="L573" s="17" t="n"/>
      <c r="M573" s="17" t="n">
        <v>0</v>
      </c>
      <c r="N573" s="17" t="n">
        <v>0</v>
      </c>
      <c r="O573" s="17" t="n">
        <v>0</v>
      </c>
      <c r="P573" s="17" t="n">
        <v>0</v>
      </c>
      <c r="Q573" s="17" t="n">
        <v>0</v>
      </c>
      <c r="R573" s="17" t="n"/>
      <c r="S573" s="17" t="n"/>
      <c r="T573" s="188" t="n"/>
      <c r="V573" s="241" t="n">
        <f aca="false" ca="false" dt2D="false" dtr="false" t="normal">COUNTIF(F573:Q573, "&gt;0")</f>
        <v>1</v>
      </c>
    </row>
    <row outlineLevel="0" r="574">
      <c r="A574" s="154" t="n">
        <f aca="false" ca="false" dt2D="false" dtr="false" t="normal">A573+1</f>
        <v>555</v>
      </c>
      <c r="B574" s="138" t="n">
        <f aca="false" ca="false" dt2D="false" dtr="false" t="normal">B573+1</f>
        <v>95</v>
      </c>
      <c r="C574" s="138" t="s">
        <v>177</v>
      </c>
      <c r="D574" s="138" t="s">
        <v>242</v>
      </c>
      <c r="E574" s="16" t="n">
        <f aca="false" ca="true" dt2D="false" dtr="false" t="normal">SUBTOTAL(9, F574:T574)</f>
        <v>18254524.75</v>
      </c>
      <c r="F574" s="17" t="n"/>
      <c r="G574" s="17" t="n"/>
      <c r="H574" s="17" t="n"/>
      <c r="I574" s="17" t="n"/>
      <c r="J574" s="17" t="n"/>
      <c r="K574" s="17" t="n"/>
      <c r="L574" s="17" t="n"/>
      <c r="M574" s="17" t="n"/>
      <c r="N574" s="17" t="n"/>
      <c r="O574" s="17" t="n"/>
      <c r="P574" s="17" t="n">
        <v>18254524.75</v>
      </c>
      <c r="Q574" s="17" t="n">
        <v>0</v>
      </c>
      <c r="R574" s="17" t="n"/>
      <c r="S574" s="17" t="n"/>
      <c r="T574" s="188" t="n"/>
      <c r="V574" s="241" t="n">
        <f aca="false" ca="false" dt2D="false" dtr="false" t="normal">COUNTIF(F574:Q574, "&gt;0")</f>
        <v>1</v>
      </c>
    </row>
    <row outlineLevel="0" r="575">
      <c r="A575" s="154" t="n">
        <f aca="false" ca="false" dt2D="false" dtr="false" t="normal">A574+1</f>
        <v>556</v>
      </c>
      <c r="B575" s="138" t="n">
        <f aca="false" ca="false" dt2D="false" dtr="false" t="normal">B574+1</f>
        <v>96</v>
      </c>
      <c r="C575" s="138" t="s">
        <v>177</v>
      </c>
      <c r="D575" s="138" t="s">
        <v>358</v>
      </c>
      <c r="E575" s="16" t="n">
        <f aca="false" ca="true" dt2D="false" dtr="false" t="normal">SUBTOTAL(9, F575:T575)</f>
        <v>3758914.15</v>
      </c>
      <c r="F575" s="17" t="n">
        <v>0</v>
      </c>
      <c r="G575" s="17" t="n"/>
      <c r="H575" s="17" t="n">
        <v>3758914.15</v>
      </c>
      <c r="I575" s="17" t="n"/>
      <c r="J575" s="17" t="n"/>
      <c r="K575" s="17" t="n"/>
      <c r="L575" s="17" t="n"/>
      <c r="M575" s="17" t="n">
        <v>0</v>
      </c>
      <c r="N575" s="17" t="n">
        <v>0</v>
      </c>
      <c r="O575" s="17" t="n">
        <v>0</v>
      </c>
      <c r="P575" s="17" t="n"/>
      <c r="Q575" s="17" t="n">
        <v>0</v>
      </c>
      <c r="R575" s="17" t="n"/>
      <c r="S575" s="17" t="n"/>
      <c r="T575" s="188" t="n"/>
      <c r="V575" s="241" t="n">
        <f aca="false" ca="false" dt2D="false" dtr="false" t="normal">COUNTIF(F575:Q575, "&gt;0")</f>
        <v>1</v>
      </c>
    </row>
    <row outlineLevel="0" r="576">
      <c r="A576" s="154" t="n">
        <f aca="false" ca="false" dt2D="false" dtr="false" t="normal">A575+1</f>
        <v>557</v>
      </c>
      <c r="B576" s="138" t="n">
        <f aca="false" ca="false" dt2D="false" dtr="false" t="normal">B575+1</f>
        <v>97</v>
      </c>
      <c r="C576" s="138" t="s">
        <v>177</v>
      </c>
      <c r="D576" s="138" t="s">
        <v>361</v>
      </c>
      <c r="E576" s="16" t="n">
        <f aca="false" ca="true" dt2D="false" dtr="false" t="normal">SUBTOTAL(9, F576:T576)</f>
        <v>9000055.44</v>
      </c>
      <c r="F576" s="17" t="n"/>
      <c r="G576" s="17" t="n"/>
      <c r="H576" s="17" t="n"/>
      <c r="I576" s="17" t="n"/>
      <c r="J576" s="17" t="n"/>
      <c r="K576" s="17" t="n"/>
      <c r="L576" s="17" t="n"/>
      <c r="M576" s="17" t="n">
        <v>8487529.44</v>
      </c>
      <c r="N576" s="17" t="n"/>
      <c r="O576" s="17" t="n"/>
      <c r="P576" s="17" t="n"/>
      <c r="Q576" s="17" t="n"/>
      <c r="R576" s="17" t="n">
        <v>384394.5</v>
      </c>
      <c r="S576" s="17" t="n">
        <v>128131.5</v>
      </c>
      <c r="T576" s="188" t="n"/>
      <c r="V576" s="241" t="n">
        <f aca="false" ca="false" dt2D="false" dtr="false" t="normal">COUNTIF(F576:Q576, "&gt;0")</f>
        <v>1</v>
      </c>
    </row>
    <row outlineLevel="0" r="577">
      <c r="A577" s="154" t="n">
        <f aca="false" ca="false" dt2D="false" dtr="false" t="normal">A576+1</f>
        <v>558</v>
      </c>
      <c r="B577" s="138" t="n">
        <f aca="false" ca="false" dt2D="false" dtr="false" t="normal">B576+1</f>
        <v>98</v>
      </c>
      <c r="C577" s="138" t="s">
        <v>177</v>
      </c>
      <c r="D577" s="138" t="s">
        <v>363</v>
      </c>
      <c r="E577" s="16" t="n">
        <f aca="false" ca="true" dt2D="false" dtr="false" t="normal">SUBTOTAL(9, F577:T577)</f>
        <v>3927657.8</v>
      </c>
      <c r="F577" s="17" t="n">
        <v>0</v>
      </c>
      <c r="G577" s="17" t="n">
        <v>0</v>
      </c>
      <c r="H577" s="17" t="n">
        <v>3927657.8</v>
      </c>
      <c r="I577" s="17" t="n">
        <v>0</v>
      </c>
      <c r="J577" s="17" t="n">
        <v>0</v>
      </c>
      <c r="K577" s="17" t="n"/>
      <c r="L577" s="17" t="n"/>
      <c r="M577" s="17" t="n">
        <v>0</v>
      </c>
      <c r="N577" s="17" t="n">
        <v>0</v>
      </c>
      <c r="O577" s="17" t="n">
        <v>0</v>
      </c>
      <c r="P577" s="17" t="n"/>
      <c r="Q577" s="17" t="n">
        <v>0</v>
      </c>
      <c r="R577" s="17" t="n"/>
      <c r="S577" s="17" t="n"/>
      <c r="T577" s="188" t="n"/>
      <c r="U577" s="341" t="n"/>
      <c r="V577" s="241" t="n">
        <f aca="false" ca="false" dt2D="false" dtr="false" t="normal">COUNTIF(F577:Q577, "&gt;0")</f>
        <v>1</v>
      </c>
      <c r="W577" s="341" t="n"/>
      <c r="X577" s="341" t="n"/>
      <c r="Y577" s="341" t="n"/>
      <c r="Z577" s="341" t="n"/>
      <c r="AA577" s="341" t="n"/>
      <c r="AB577" s="341" t="n"/>
      <c r="AC577" s="341" t="n"/>
      <c r="AD577" s="341" t="n"/>
      <c r="AE577" s="341" t="n"/>
      <c r="AF577" s="341" t="n"/>
      <c r="AG577" s="341" t="n"/>
      <c r="AH577" s="341" t="n"/>
      <c r="AI577" s="341" t="n"/>
      <c r="AJ577" s="341" t="n"/>
      <c r="AK577" s="341" t="n"/>
      <c r="AL577" s="341" t="n"/>
      <c r="AM577" s="341" t="n"/>
      <c r="AN577" s="341" t="n"/>
      <c r="AO577" s="341" t="n"/>
      <c r="AP577" s="341" t="n"/>
      <c r="AQ577" s="341" t="n"/>
      <c r="AR577" s="341" t="n"/>
      <c r="AS577" s="341" t="n"/>
      <c r="AT577" s="341" t="n"/>
      <c r="AU577" s="341" t="n"/>
      <c r="AV577" s="341" t="n"/>
      <c r="AW577" s="341" t="n"/>
      <c r="AX577" s="341" t="n"/>
      <c r="AY577" s="341" t="n"/>
      <c r="AZ577" s="341" t="n"/>
      <c r="BA577" s="341" t="n"/>
      <c r="BB577" s="341" t="n"/>
      <c r="BC577" s="341" t="n"/>
      <c r="BD577" s="341" t="n"/>
      <c r="BE577" s="341" t="n"/>
      <c r="BF577" s="341" t="n"/>
      <c r="BG577" s="341" t="n"/>
      <c r="BH577" s="341" t="n"/>
      <c r="BI577" s="341" t="n"/>
      <c r="BJ577" s="341" t="n"/>
      <c r="BK577" s="341" t="n"/>
      <c r="BL577" s="341" t="n"/>
      <c r="BM577" s="341" t="n"/>
      <c r="BN577" s="341" t="n"/>
      <c r="BO577" s="341" t="n"/>
      <c r="BP577" s="341" t="n"/>
    </row>
    <row outlineLevel="0" r="578">
      <c r="A578" s="154" t="n">
        <f aca="false" ca="false" dt2D="false" dtr="false" t="normal">A577+1</f>
        <v>559</v>
      </c>
      <c r="B578" s="138" t="n">
        <f aca="false" ca="false" dt2D="false" dtr="false" t="normal">B577+1</f>
        <v>99</v>
      </c>
      <c r="C578" s="138" t="s">
        <v>177</v>
      </c>
      <c r="D578" s="138" t="s">
        <v>365</v>
      </c>
      <c r="E578" s="16" t="n">
        <f aca="false" ca="true" dt2D="false" dtr="false" t="normal">SUBTOTAL(9, F578:T578)</f>
        <v>2110595.07</v>
      </c>
      <c r="F578" s="17" t="n">
        <v>0</v>
      </c>
      <c r="G578" s="17" t="n">
        <v>1326516.44</v>
      </c>
      <c r="H578" s="17" t="n">
        <v>0</v>
      </c>
      <c r="I578" s="17" t="n">
        <v>784078.63</v>
      </c>
      <c r="J578" s="17" t="n"/>
      <c r="K578" s="17" t="n"/>
      <c r="L578" s="17" t="n"/>
      <c r="M578" s="17" t="n">
        <v>0</v>
      </c>
      <c r="N578" s="17" t="n">
        <v>0</v>
      </c>
      <c r="O578" s="17" t="n">
        <v>0</v>
      </c>
      <c r="P578" s="17" t="n">
        <v>0</v>
      </c>
      <c r="Q578" s="17" t="n">
        <v>0</v>
      </c>
      <c r="R578" s="17" t="n"/>
      <c r="S578" s="17" t="n"/>
      <c r="T578" s="188" t="n"/>
      <c r="V578" s="241" t="n">
        <f aca="false" ca="false" dt2D="false" dtr="false" t="normal">COUNTIF(F578:Q578, "&gt;0")</f>
        <v>2</v>
      </c>
    </row>
    <row outlineLevel="0" r="579">
      <c r="A579" s="154" t="n">
        <f aca="false" ca="false" dt2D="false" dtr="false" t="normal">A578+1</f>
        <v>560</v>
      </c>
      <c r="B579" s="138" t="n">
        <f aca="false" ca="false" dt2D="false" dtr="false" t="normal">B578+1</f>
        <v>100</v>
      </c>
      <c r="C579" s="138" t="s">
        <v>177</v>
      </c>
      <c r="D579" s="138" t="s">
        <v>259</v>
      </c>
      <c r="E579" s="16" t="n">
        <f aca="false" ca="true" dt2D="false" dtr="false" t="normal">SUBTOTAL(9, F579:T579)</f>
        <v>3589996.38</v>
      </c>
      <c r="F579" s="17" t="n">
        <v>0</v>
      </c>
      <c r="G579" s="17" t="n">
        <v>0</v>
      </c>
      <c r="H579" s="17" t="n">
        <v>3589996.38</v>
      </c>
      <c r="I579" s="17" t="n">
        <v>0</v>
      </c>
      <c r="J579" s="17" t="n"/>
      <c r="K579" s="17" t="n"/>
      <c r="L579" s="17" t="n"/>
      <c r="M579" s="17" t="n">
        <v>0</v>
      </c>
      <c r="N579" s="17" t="n">
        <v>0</v>
      </c>
      <c r="O579" s="17" t="n">
        <v>0</v>
      </c>
      <c r="P579" s="17" t="n">
        <v>0</v>
      </c>
      <c r="Q579" s="17" t="n">
        <v>0</v>
      </c>
      <c r="R579" s="17" t="n"/>
      <c r="S579" s="17" t="n"/>
      <c r="T579" s="188" t="n"/>
      <c r="U579" s="341" t="n"/>
      <c r="V579" s="241" t="n">
        <f aca="false" ca="false" dt2D="false" dtr="false" t="normal">COUNTIF(F579:Q579, "&gt;0")</f>
        <v>1</v>
      </c>
      <c r="W579" s="341" t="n"/>
      <c r="X579" s="341" t="n"/>
      <c r="Y579" s="341" t="n"/>
      <c r="Z579" s="341" t="n"/>
      <c r="AA579" s="341" t="n"/>
      <c r="AB579" s="341" t="n"/>
      <c r="AC579" s="341" t="n"/>
      <c r="AD579" s="341" t="n"/>
      <c r="AE579" s="341" t="n"/>
      <c r="AF579" s="341" t="n"/>
      <c r="AG579" s="341" t="n"/>
      <c r="AH579" s="341" t="n"/>
      <c r="AI579" s="341" t="n"/>
      <c r="AJ579" s="341" t="n"/>
      <c r="AK579" s="341" t="n"/>
      <c r="AL579" s="341" t="n"/>
      <c r="AM579" s="341" t="n"/>
      <c r="AN579" s="341" t="n"/>
      <c r="AO579" s="341" t="n"/>
      <c r="AP579" s="341" t="n"/>
      <c r="AQ579" s="341" t="n"/>
      <c r="AR579" s="341" t="n"/>
      <c r="AS579" s="341" t="n"/>
      <c r="AT579" s="341" t="n"/>
      <c r="AU579" s="341" t="n"/>
      <c r="AV579" s="341" t="n"/>
      <c r="AW579" s="341" t="n"/>
      <c r="AX579" s="341" t="n"/>
      <c r="AY579" s="341" t="n"/>
      <c r="AZ579" s="341" t="n"/>
      <c r="BA579" s="341" t="n"/>
      <c r="BB579" s="341" t="n"/>
      <c r="BC579" s="341" t="n"/>
      <c r="BD579" s="341" t="n"/>
      <c r="BE579" s="341" t="n"/>
      <c r="BF579" s="341" t="n"/>
      <c r="BG579" s="341" t="n"/>
      <c r="BH579" s="341" t="n"/>
      <c r="BI579" s="341" t="n"/>
      <c r="BJ579" s="341" t="n"/>
      <c r="BK579" s="341" t="n"/>
      <c r="BL579" s="341" t="n"/>
      <c r="BM579" s="341" t="n"/>
      <c r="BN579" s="341" t="n"/>
      <c r="BO579" s="341" t="n"/>
      <c r="BP579" s="341" t="n"/>
    </row>
    <row outlineLevel="0" r="580">
      <c r="A580" s="154" t="n">
        <f aca="false" ca="false" dt2D="false" dtr="false" t="normal">A579+1</f>
        <v>561</v>
      </c>
      <c r="B580" s="138" t="n">
        <f aca="false" ca="false" dt2D="false" dtr="false" t="normal">B579+1</f>
        <v>101</v>
      </c>
      <c r="C580" s="138" t="s">
        <v>177</v>
      </c>
      <c r="D580" s="138" t="s">
        <v>367</v>
      </c>
      <c r="E580" s="16" t="n">
        <f aca="false" ca="true" dt2D="false" dtr="false" t="normal">SUBTOTAL(9, F580:T580)</f>
        <v>15470261.28</v>
      </c>
      <c r="F580" s="17" t="n"/>
      <c r="G580" s="17" t="n">
        <v>2313900</v>
      </c>
      <c r="H580" s="17" t="n"/>
      <c r="I580" s="17" t="n"/>
      <c r="J580" s="17" t="n"/>
      <c r="K580" s="17" t="n"/>
      <c r="L580" s="17" t="n"/>
      <c r="M580" s="17" t="n"/>
      <c r="N580" s="17" t="n"/>
      <c r="O580" s="17" t="n"/>
      <c r="P580" s="17" t="n">
        <v>13156361.28</v>
      </c>
      <c r="Q580" s="17" t="n"/>
      <c r="R580" s="17" t="n"/>
      <c r="S580" s="17" t="n"/>
      <c r="T580" s="188" t="n"/>
      <c r="U580" s="341" t="n"/>
      <c r="V580" s="241" t="n">
        <f aca="false" ca="false" dt2D="false" dtr="false" t="normal">COUNTIF(F580:Q580, "&gt;0")</f>
        <v>2</v>
      </c>
      <c r="W580" s="341" t="n"/>
      <c r="X580" s="341" t="n"/>
      <c r="Y580" s="341" t="n"/>
      <c r="Z580" s="341" t="n"/>
      <c r="AA580" s="341" t="n"/>
      <c r="AB580" s="341" t="n"/>
      <c r="AC580" s="341" t="n"/>
      <c r="AD580" s="341" t="n"/>
      <c r="AE580" s="341" t="n"/>
      <c r="AF580" s="341" t="n"/>
      <c r="AG580" s="341" t="n"/>
      <c r="AH580" s="341" t="n"/>
      <c r="AI580" s="341" t="n"/>
      <c r="AJ580" s="341" t="n"/>
      <c r="AK580" s="341" t="n"/>
      <c r="AL580" s="341" t="n"/>
      <c r="AM580" s="341" t="n"/>
      <c r="AN580" s="341" t="n"/>
      <c r="AO580" s="341" t="n"/>
      <c r="AP580" s="341" t="n"/>
      <c r="AQ580" s="341" t="n"/>
      <c r="AR580" s="341" t="n"/>
      <c r="AS580" s="341" t="n"/>
      <c r="AT580" s="341" t="n"/>
      <c r="AU580" s="341" t="n"/>
      <c r="AV580" s="341" t="n"/>
      <c r="AW580" s="341" t="n"/>
      <c r="AX580" s="341" t="n"/>
      <c r="AY580" s="341" t="n"/>
      <c r="AZ580" s="341" t="n"/>
      <c r="BA580" s="341" t="n"/>
      <c r="BB580" s="341" t="n"/>
      <c r="BC580" s="341" t="n"/>
      <c r="BD580" s="341" t="n"/>
      <c r="BE580" s="341" t="n"/>
      <c r="BF580" s="341" t="n"/>
      <c r="BG580" s="341" t="n"/>
      <c r="BH580" s="341" t="n"/>
      <c r="BI580" s="341" t="n"/>
      <c r="BJ580" s="341" t="n"/>
      <c r="BK580" s="341" t="n"/>
      <c r="BL580" s="341" t="n"/>
      <c r="BM580" s="341" t="n"/>
      <c r="BN580" s="341" t="n"/>
      <c r="BO580" s="341" t="n"/>
      <c r="BP580" s="341" t="n"/>
    </row>
    <row outlineLevel="0" r="581">
      <c r="A581" s="154" t="n">
        <f aca="false" ca="false" dt2D="false" dtr="false" t="normal">A580+1</f>
        <v>562</v>
      </c>
      <c r="B581" s="138" t="n">
        <f aca="false" ca="false" dt2D="false" dtr="false" t="normal">B580+1</f>
        <v>102</v>
      </c>
      <c r="C581" s="138" t="s">
        <v>177</v>
      </c>
      <c r="D581" s="138" t="s">
        <v>369</v>
      </c>
      <c r="E581" s="16" t="n">
        <f aca="false" ca="true" dt2D="false" dtr="false" t="normal">SUBTOTAL(9, F581:T581)</f>
        <v>27303891.79</v>
      </c>
      <c r="F581" s="17" t="n">
        <v>12255451.74</v>
      </c>
      <c r="G581" s="17" t="n">
        <v>6547393.97</v>
      </c>
      <c r="H581" s="17" t="n">
        <v>4711465.01</v>
      </c>
      <c r="I581" s="17" t="n">
        <v>3789581.07</v>
      </c>
      <c r="J581" s="17" t="n">
        <v>0</v>
      </c>
      <c r="K581" s="17" t="n"/>
      <c r="L581" s="17" t="n"/>
      <c r="M581" s="17" t="n">
        <v>0</v>
      </c>
      <c r="N581" s="17" t="n"/>
      <c r="O581" s="17" t="n">
        <v>0</v>
      </c>
      <c r="P581" s="17" t="n">
        <v>0</v>
      </c>
      <c r="Q581" s="17" t="n">
        <v>0</v>
      </c>
      <c r="R581" s="17" t="n"/>
      <c r="S581" s="17" t="n"/>
      <c r="T581" s="188" t="n"/>
      <c r="V581" s="241" t="n">
        <f aca="false" ca="false" dt2D="false" dtr="false" t="normal">COUNTIF(F581:Q581, "&gt;0")</f>
        <v>4</v>
      </c>
    </row>
    <row outlineLevel="0" r="582">
      <c r="A582" s="154" t="n">
        <f aca="false" ca="false" dt2D="false" dtr="false" t="normal">A581+1</f>
        <v>563</v>
      </c>
      <c r="B582" s="138" t="n">
        <f aca="false" ca="false" dt2D="false" dtr="false" t="normal">B581+1</f>
        <v>103</v>
      </c>
      <c r="C582" s="138" t="s">
        <v>177</v>
      </c>
      <c r="D582" s="138" t="s">
        <v>371</v>
      </c>
      <c r="E582" s="16" t="n">
        <f aca="false" ca="true" dt2D="false" dtr="false" t="normal">SUBTOTAL(9, F582:T582)</f>
        <v>11106173.88</v>
      </c>
      <c r="F582" s="17" t="n">
        <v>0</v>
      </c>
      <c r="G582" s="17" t="n">
        <v>0</v>
      </c>
      <c r="H582" s="17" t="n">
        <v>0</v>
      </c>
      <c r="I582" s="17" t="n">
        <v>0</v>
      </c>
      <c r="J582" s="17" t="n"/>
      <c r="K582" s="17" t="n"/>
      <c r="L582" s="17" t="n"/>
      <c r="M582" s="17" t="n">
        <v>0</v>
      </c>
      <c r="N582" s="17" t="n">
        <v>0</v>
      </c>
      <c r="O582" s="17" t="n">
        <v>0</v>
      </c>
      <c r="P582" s="17" t="n">
        <v>0</v>
      </c>
      <c r="Q582" s="17" t="n">
        <v>11106173.88</v>
      </c>
      <c r="R582" s="17" t="n"/>
      <c r="S582" s="17" t="n"/>
      <c r="T582" s="188" t="n"/>
      <c r="V582" s="241" t="n">
        <f aca="false" ca="false" dt2D="false" dtr="false" t="normal">COUNTIF(F582:Q582, "&gt;0")</f>
        <v>1</v>
      </c>
    </row>
    <row outlineLevel="0" r="583">
      <c r="A583" s="154" t="n">
        <f aca="false" ca="false" dt2D="false" dtr="false" t="normal">A582+1</f>
        <v>564</v>
      </c>
      <c r="B583" s="138" t="n">
        <f aca="false" ca="false" dt2D="false" dtr="false" t="normal">B582+1</f>
        <v>104</v>
      </c>
      <c r="C583" s="138" t="s">
        <v>177</v>
      </c>
      <c r="D583" s="138" t="s">
        <v>374</v>
      </c>
      <c r="E583" s="16" t="n">
        <f aca="false" ca="true" dt2D="false" dtr="false" t="normal">SUBTOTAL(9, F583:T583)</f>
        <v>3000018.47</v>
      </c>
      <c r="F583" s="17" t="n"/>
      <c r="G583" s="17" t="n"/>
      <c r="H583" s="17" t="n"/>
      <c r="I583" s="17" t="n"/>
      <c r="J583" s="17" t="n"/>
      <c r="K583" s="17" t="n"/>
      <c r="L583" s="17" t="n"/>
      <c r="M583" s="17" t="n">
        <v>2829176.47</v>
      </c>
      <c r="N583" s="17" t="n"/>
      <c r="O583" s="17" t="n"/>
      <c r="P583" s="17" t="n"/>
      <c r="Q583" s="17" t="n"/>
      <c r="R583" s="17" t="n">
        <v>128131.5</v>
      </c>
      <c r="S583" s="17" t="n">
        <v>42710.5</v>
      </c>
      <c r="T583" s="188" t="n"/>
      <c r="V583" s="241" t="n">
        <f aca="false" ca="false" dt2D="false" dtr="false" t="normal">COUNTIF(F583:Q583, "&gt;0")</f>
        <v>1</v>
      </c>
    </row>
    <row outlineLevel="0" r="584">
      <c r="A584" s="154" t="n">
        <f aca="false" ca="false" dt2D="false" dtr="false" t="normal">A583+1</f>
        <v>565</v>
      </c>
      <c r="B584" s="138" t="n">
        <f aca="false" ca="false" dt2D="false" dtr="false" t="normal">B583+1</f>
        <v>105</v>
      </c>
      <c r="C584" s="138" t="s">
        <v>177</v>
      </c>
      <c r="D584" s="138" t="s">
        <v>376</v>
      </c>
      <c r="E584" s="16" t="n">
        <f aca="false" ca="true" dt2D="false" dtr="false" t="normal">SUBTOTAL(9, F584:T584)</f>
        <v>5468480.35</v>
      </c>
      <c r="F584" s="17" t="n">
        <v>0</v>
      </c>
      <c r="G584" s="17" t="n">
        <v>0</v>
      </c>
      <c r="H584" s="17" t="n">
        <v>0</v>
      </c>
      <c r="I584" s="17" t="n">
        <v>0</v>
      </c>
      <c r="J584" s="17" t="n">
        <v>0</v>
      </c>
      <c r="K584" s="17" t="n"/>
      <c r="L584" s="17" t="n"/>
      <c r="M584" s="17" t="n">
        <v>0</v>
      </c>
      <c r="N584" s="17" t="n">
        <v>5468480.35</v>
      </c>
      <c r="O584" s="17" t="n">
        <v>0</v>
      </c>
      <c r="P584" s="17" t="n">
        <v>0</v>
      </c>
      <c r="Q584" s="17" t="n">
        <v>0</v>
      </c>
      <c r="R584" s="17" t="n"/>
      <c r="S584" s="17" t="n"/>
      <c r="T584" s="188" t="n"/>
      <c r="U584" s="341" t="n"/>
      <c r="V584" s="241" t="n">
        <f aca="false" ca="false" dt2D="false" dtr="false" t="normal">COUNTIF(F584:Q584, "&gt;0")</f>
        <v>1</v>
      </c>
      <c r="W584" s="341" t="n"/>
      <c r="X584" s="341" t="n"/>
      <c r="Y584" s="341" t="n"/>
      <c r="Z584" s="341" t="n"/>
      <c r="AA584" s="341" t="n"/>
      <c r="AB584" s="341" t="n"/>
      <c r="AC584" s="341" t="n"/>
      <c r="AD584" s="341" t="n"/>
      <c r="AE584" s="341" t="n"/>
      <c r="AF584" s="341" t="n"/>
      <c r="AG584" s="341" t="n"/>
      <c r="AH584" s="341" t="n"/>
      <c r="AI584" s="341" t="n"/>
      <c r="AJ584" s="341" t="n"/>
      <c r="AK584" s="341" t="n"/>
      <c r="AL584" s="341" t="n"/>
      <c r="AM584" s="341" t="n"/>
      <c r="AN584" s="341" t="n"/>
      <c r="AO584" s="341" t="n"/>
      <c r="AP584" s="341" t="n"/>
      <c r="AQ584" s="341" t="n"/>
      <c r="AR584" s="341" t="n"/>
      <c r="AS584" s="341" t="n"/>
      <c r="AT584" s="341" t="n"/>
      <c r="AU584" s="341" t="n"/>
      <c r="AV584" s="341" t="n"/>
      <c r="AW584" s="341" t="n"/>
      <c r="AX584" s="341" t="n"/>
      <c r="AY584" s="341" t="n"/>
      <c r="AZ584" s="341" t="n"/>
      <c r="BA584" s="341" t="n"/>
      <c r="BB584" s="341" t="n"/>
      <c r="BC584" s="341" t="n"/>
      <c r="BD584" s="341" t="n"/>
      <c r="BE584" s="341" t="n"/>
      <c r="BF584" s="341" t="n"/>
      <c r="BG584" s="341" t="n"/>
      <c r="BH584" s="341" t="n"/>
      <c r="BI584" s="341" t="n"/>
      <c r="BJ584" s="341" t="n"/>
      <c r="BK584" s="341" t="n"/>
      <c r="BL584" s="341" t="n"/>
      <c r="BM584" s="341" t="n"/>
      <c r="BN584" s="341" t="n"/>
      <c r="BO584" s="341" t="n"/>
      <c r="BP584" s="341" t="n"/>
    </row>
    <row outlineLevel="0" r="585">
      <c r="A585" s="154" t="n">
        <f aca="false" ca="false" dt2D="false" dtr="false" t="normal">A584+1</f>
        <v>566</v>
      </c>
      <c r="B585" s="138" t="n">
        <f aca="false" ca="false" dt2D="false" dtr="false" t="normal">B584+1</f>
        <v>106</v>
      </c>
      <c r="C585" s="138" t="s">
        <v>177</v>
      </c>
      <c r="D585" s="138" t="s">
        <v>378</v>
      </c>
      <c r="E585" s="16" t="n">
        <f aca="false" ca="true" dt2D="false" dtr="false" t="normal">SUBTOTAL(9, F585:T585)</f>
        <v>22487242.77</v>
      </c>
      <c r="F585" s="17" t="n"/>
      <c r="G585" s="17" t="n">
        <v>3495031.17</v>
      </c>
      <c r="H585" s="17" t="n"/>
      <c r="I585" s="17" t="n"/>
      <c r="J585" s="17" t="n">
        <v>2528349.6</v>
      </c>
      <c r="K585" s="17" t="n"/>
      <c r="L585" s="17" t="n"/>
      <c r="M585" s="17" t="n"/>
      <c r="N585" s="17" t="n"/>
      <c r="O585" s="17" t="n"/>
      <c r="P585" s="17" t="n">
        <v>16463862</v>
      </c>
      <c r="Q585" s="17" t="n"/>
      <c r="R585" s="17" t="n"/>
      <c r="S585" s="17" t="n"/>
      <c r="T585" s="188" t="n"/>
      <c r="V585" s="241" t="n">
        <f aca="false" ca="false" dt2D="false" dtr="false" t="normal">COUNTIF(F585:Q585, "&gt;0")</f>
        <v>3</v>
      </c>
    </row>
    <row outlineLevel="0" r="586">
      <c r="A586" s="154" t="n">
        <f aca="false" ca="false" dt2D="false" dtr="false" t="normal">A585+1</f>
        <v>567</v>
      </c>
      <c r="B586" s="138" t="n">
        <f aca="false" ca="false" dt2D="false" dtr="false" t="normal">B585+1</f>
        <v>107</v>
      </c>
      <c r="C586" s="138" t="s">
        <v>177</v>
      </c>
      <c r="D586" s="138" t="s">
        <v>380</v>
      </c>
      <c r="E586" s="16" t="n">
        <f aca="false" ca="true" dt2D="false" dtr="false" t="normal">SUBTOTAL(9, F586:T586)</f>
        <v>16798854</v>
      </c>
      <c r="F586" s="17" t="n"/>
      <c r="G586" s="17" t="n"/>
      <c r="H586" s="17" t="n">
        <v>0</v>
      </c>
      <c r="I586" s="17" t="n">
        <v>0</v>
      </c>
      <c r="J586" s="17" t="n"/>
      <c r="K586" s="17" t="n"/>
      <c r="L586" s="17" t="n"/>
      <c r="M586" s="17" t="n">
        <v>0</v>
      </c>
      <c r="N586" s="17" t="n">
        <v>16798854</v>
      </c>
      <c r="O586" s="17" t="n">
        <v>0</v>
      </c>
      <c r="P586" s="17" t="n">
        <v>0</v>
      </c>
      <c r="Q586" s="17" t="n">
        <v>0</v>
      </c>
      <c r="R586" s="17" t="n"/>
      <c r="S586" s="17" t="n"/>
      <c r="T586" s="188" t="n"/>
      <c r="V586" s="241" t="n">
        <f aca="false" ca="false" dt2D="false" dtr="false" t="normal">COUNTIF(F586:Q586, "&gt;0")</f>
        <v>1</v>
      </c>
    </row>
    <row outlineLevel="0" r="587">
      <c r="A587" s="154" t="n">
        <f aca="false" ca="false" dt2D="false" dtr="false" t="normal">A586+1</f>
        <v>568</v>
      </c>
      <c r="B587" s="138" t="n">
        <f aca="false" ca="false" dt2D="false" dtr="false" t="normal">B586+1</f>
        <v>108</v>
      </c>
      <c r="C587" s="138" t="s">
        <v>177</v>
      </c>
      <c r="D587" s="138" t="s">
        <v>382</v>
      </c>
      <c r="E587" s="16" t="n">
        <f aca="false" ca="true" dt2D="false" dtr="false" t="normal">SUBTOTAL(9, F587:T587)</f>
        <v>5870908.03</v>
      </c>
      <c r="F587" s="17" t="n"/>
      <c r="G587" s="17" t="n"/>
      <c r="H587" s="17" t="n"/>
      <c r="I587" s="17" t="n"/>
      <c r="J587" s="17" t="n"/>
      <c r="K587" s="17" t="n"/>
      <c r="L587" s="17" t="n"/>
      <c r="M587" s="17" t="n"/>
      <c r="N587" s="17" t="n"/>
      <c r="O587" s="17" t="n"/>
      <c r="P587" s="17" t="n">
        <v>5870908.03</v>
      </c>
      <c r="Q587" s="17" t="n"/>
      <c r="R587" s="17" t="n"/>
      <c r="S587" s="17" t="n"/>
      <c r="T587" s="188" t="n"/>
      <c r="V587" s="241" t="n">
        <f aca="false" ca="false" dt2D="false" dtr="false" t="normal">COUNTIF(F587:Q587, "&gt;0")</f>
        <v>1</v>
      </c>
    </row>
    <row outlineLevel="0" r="588">
      <c r="A588" s="154" t="n">
        <f aca="false" ca="false" dt2D="false" dtr="false" t="normal">A587+1</f>
        <v>569</v>
      </c>
      <c r="B588" s="138" t="n">
        <f aca="false" ca="false" dt2D="false" dtr="false" t="normal">B587+1</f>
        <v>109</v>
      </c>
      <c r="C588" s="138" t="s">
        <v>177</v>
      </c>
      <c r="D588" s="138" t="s">
        <v>385</v>
      </c>
      <c r="E588" s="16" t="n">
        <f aca="false" ca="true" dt2D="false" dtr="false" t="normal">SUBTOTAL(9, F588:T588)</f>
        <v>27284187.03</v>
      </c>
      <c r="F588" s="17" t="n">
        <v>8615558.62</v>
      </c>
      <c r="G588" s="17" t="n">
        <v>0</v>
      </c>
      <c r="H588" s="17" t="n">
        <v>4047440.7</v>
      </c>
      <c r="I588" s="17" t="n">
        <v>0</v>
      </c>
      <c r="J588" s="17" t="n">
        <v>0</v>
      </c>
      <c r="K588" s="17" t="n"/>
      <c r="L588" s="17" t="n">
        <v>0</v>
      </c>
      <c r="M588" s="17" t="n">
        <v>0</v>
      </c>
      <c r="N588" s="17" t="n">
        <v>0</v>
      </c>
      <c r="O588" s="17" t="n">
        <v>0</v>
      </c>
      <c r="P588" s="17" t="n">
        <v>14621187.71</v>
      </c>
      <c r="Q588" s="17" t="n">
        <v>0</v>
      </c>
      <c r="R588" s="17" t="n"/>
      <c r="S588" s="17" t="n"/>
      <c r="T588" s="188" t="n"/>
      <c r="V588" s="241" t="n">
        <f aca="false" ca="false" dt2D="false" dtr="false" t="normal">COUNTIF(F588:Q588, "&gt;0")</f>
        <v>3</v>
      </c>
    </row>
    <row outlineLevel="0" r="589">
      <c r="A589" s="154" t="n">
        <f aca="false" ca="false" dt2D="false" dtr="false" t="normal">A588+1</f>
        <v>570</v>
      </c>
      <c r="B589" s="138" t="n">
        <f aca="false" ca="false" dt2D="false" dtr="false" t="normal">B588+1</f>
        <v>110</v>
      </c>
      <c r="C589" s="138" t="s">
        <v>177</v>
      </c>
      <c r="D589" s="138" t="s">
        <v>267</v>
      </c>
      <c r="E589" s="16" t="n">
        <f aca="false" ca="true" dt2D="false" dtr="false" t="normal">SUBTOTAL(9, F589:T589)</f>
        <v>7025505.17</v>
      </c>
      <c r="F589" s="17" t="n"/>
      <c r="G589" s="17" t="n"/>
      <c r="H589" s="17" t="n"/>
      <c r="I589" s="17" t="n"/>
      <c r="J589" s="17" t="n"/>
      <c r="K589" s="17" t="n"/>
      <c r="L589" s="17" t="n"/>
      <c r="M589" s="17" t="n"/>
      <c r="N589" s="17" t="n"/>
      <c r="O589" s="17" t="n"/>
      <c r="P589" s="17" t="n">
        <v>7025505.17</v>
      </c>
      <c r="Q589" s="17" t="n"/>
      <c r="R589" s="17" t="n"/>
      <c r="S589" s="17" t="n"/>
      <c r="T589" s="188" t="n"/>
      <c r="V589" s="241" t="n">
        <f aca="false" ca="false" dt2D="false" dtr="false" t="normal">COUNTIF(F589:Q589, "&gt;0")</f>
        <v>1</v>
      </c>
    </row>
    <row outlineLevel="0" r="590">
      <c r="A590" s="154" t="n">
        <f aca="false" ca="false" dt2D="false" dtr="false" t="normal">A589+1</f>
        <v>571</v>
      </c>
      <c r="B590" s="138" t="n">
        <f aca="false" ca="false" dt2D="false" dtr="false" t="normal">B589+1</f>
        <v>111</v>
      </c>
      <c r="C590" s="138" t="s">
        <v>177</v>
      </c>
      <c r="D590" s="138" t="s">
        <v>389</v>
      </c>
      <c r="E590" s="16" t="n">
        <f aca="false" ca="true" dt2D="false" dtr="false" t="normal">SUBTOTAL(9, F590:T590)</f>
        <v>4057060.33</v>
      </c>
      <c r="F590" s="17" t="n">
        <v>3164600.94</v>
      </c>
      <c r="G590" s="17" t="n"/>
      <c r="H590" s="17" t="n">
        <v>892459.39</v>
      </c>
      <c r="I590" s="17" t="n"/>
      <c r="J590" s="17" t="n"/>
      <c r="K590" s="17" t="n"/>
      <c r="L590" s="17" t="n"/>
      <c r="M590" s="17" t="n">
        <v>0</v>
      </c>
      <c r="N590" s="17" t="n"/>
      <c r="O590" s="17" t="n">
        <v>0</v>
      </c>
      <c r="P590" s="17" t="n">
        <v>0</v>
      </c>
      <c r="Q590" s="17" t="n">
        <v>0</v>
      </c>
      <c r="R590" s="17" t="n"/>
      <c r="S590" s="17" t="n"/>
      <c r="T590" s="188" t="n"/>
      <c r="V590" s="241" t="n">
        <f aca="false" ca="false" dt2D="false" dtr="false" t="normal">COUNTIF(F590:Q590, "&gt;0")</f>
        <v>2</v>
      </c>
    </row>
    <row outlineLevel="0" r="591">
      <c r="A591" s="154" t="n">
        <f aca="false" ca="false" dt2D="false" dtr="false" t="normal">A590+1</f>
        <v>572</v>
      </c>
      <c r="B591" s="138" t="n">
        <f aca="false" ca="false" dt2D="false" dtr="false" t="normal">B590+1</f>
        <v>112</v>
      </c>
      <c r="C591" s="138" t="s">
        <v>177</v>
      </c>
      <c r="D591" s="138" t="s">
        <v>391</v>
      </c>
      <c r="E591" s="16" t="n">
        <f aca="false" ca="true" dt2D="false" dtr="false" t="normal">SUBTOTAL(9, F591:T591)</f>
        <v>6621085.36</v>
      </c>
      <c r="F591" s="17" t="n">
        <v>0</v>
      </c>
      <c r="G591" s="17" t="n">
        <v>0</v>
      </c>
      <c r="H591" s="17" t="n">
        <v>0</v>
      </c>
      <c r="I591" s="17" t="n">
        <v>0</v>
      </c>
      <c r="J591" s="17" t="n">
        <v>0</v>
      </c>
      <c r="K591" s="17" t="n"/>
      <c r="L591" s="17" t="n"/>
      <c r="M591" s="17" t="n">
        <v>0</v>
      </c>
      <c r="N591" s="17" t="n">
        <v>0</v>
      </c>
      <c r="O591" s="17" t="n">
        <v>0</v>
      </c>
      <c r="P591" s="17" t="n">
        <v>0</v>
      </c>
      <c r="Q591" s="17" t="n">
        <v>6621085.36</v>
      </c>
      <c r="R591" s="17" t="n"/>
      <c r="S591" s="17" t="n"/>
      <c r="T591" s="188" t="n"/>
      <c r="V591" s="241" t="n">
        <f aca="false" ca="false" dt2D="false" dtr="false" t="normal">COUNTIF(F591:Q591, "&gt;0")</f>
        <v>1</v>
      </c>
    </row>
    <row outlineLevel="0" r="592">
      <c r="A592" s="154" t="n">
        <f aca="false" ca="false" dt2D="false" dtr="false" t="normal">A591+1</f>
        <v>573</v>
      </c>
      <c r="B592" s="138" t="n">
        <f aca="false" ca="false" dt2D="false" dtr="false" t="normal">B591+1</f>
        <v>113</v>
      </c>
      <c r="C592" s="138" t="s">
        <v>177</v>
      </c>
      <c r="D592" s="138" t="s">
        <v>392</v>
      </c>
      <c r="E592" s="16" t="n">
        <f aca="false" ca="true" dt2D="false" dtr="false" t="normal">SUBTOTAL(9, F592:T592)</f>
        <v>24902952.13</v>
      </c>
      <c r="F592" s="17" t="n"/>
      <c r="G592" s="17" t="n"/>
      <c r="H592" s="17" t="n"/>
      <c r="I592" s="17" t="n"/>
      <c r="J592" s="17" t="n"/>
      <c r="K592" s="17" t="n"/>
      <c r="L592" s="17" t="n"/>
      <c r="M592" s="17" t="n"/>
      <c r="N592" s="17" t="n"/>
      <c r="O592" s="17" t="n">
        <v>0</v>
      </c>
      <c r="P592" s="17" t="n">
        <v>24902952.13</v>
      </c>
      <c r="Q592" s="17" t="n"/>
      <c r="R592" s="17" t="n"/>
      <c r="S592" s="17" t="n"/>
      <c r="T592" s="188" t="n"/>
      <c r="V592" s="241" t="n">
        <f aca="false" ca="false" dt2D="false" dtr="false" t="normal">COUNTIF(F592:Q592, "&gt;0")</f>
        <v>1</v>
      </c>
    </row>
    <row outlineLevel="0" r="593">
      <c r="A593" s="154" t="n">
        <f aca="false" ca="false" dt2D="false" dtr="false" t="normal">A592+1</f>
        <v>574</v>
      </c>
      <c r="B593" s="138" t="n">
        <f aca="false" ca="false" dt2D="false" dtr="false" t="normal">B592+1</f>
        <v>114</v>
      </c>
      <c r="C593" s="138" t="s">
        <v>177</v>
      </c>
      <c r="D593" s="138" t="s">
        <v>276</v>
      </c>
      <c r="E593" s="16" t="n">
        <f aca="false" ca="true" dt2D="false" dtr="false" t="normal">SUBTOTAL(9, F593:T593)</f>
        <v>2707442.59</v>
      </c>
      <c r="F593" s="17" t="n"/>
      <c r="G593" s="17" t="n"/>
      <c r="H593" s="17" t="n"/>
      <c r="I593" s="17" t="n">
        <v>2707442.59</v>
      </c>
      <c r="J593" s="17" t="n"/>
      <c r="K593" s="17" t="n"/>
      <c r="L593" s="17" t="n"/>
      <c r="M593" s="17" t="n">
        <v>0</v>
      </c>
      <c r="N593" s="17" t="n">
        <v>0</v>
      </c>
      <c r="O593" s="17" t="n">
        <v>0</v>
      </c>
      <c r="P593" s="17" t="n">
        <v>0</v>
      </c>
      <c r="Q593" s="17" t="n">
        <v>0</v>
      </c>
      <c r="R593" s="17" t="n"/>
      <c r="S593" s="17" t="n"/>
      <c r="T593" s="188" t="n"/>
      <c r="V593" s="241" t="n">
        <f aca="false" ca="false" dt2D="false" dtr="false" t="normal">COUNTIF(F593:Q593, "&gt;0")</f>
        <v>1</v>
      </c>
    </row>
    <row outlineLevel="0" r="594">
      <c r="A594" s="154" t="n">
        <f aca="false" ca="false" dt2D="false" dtr="false" t="normal">A593+1</f>
        <v>575</v>
      </c>
      <c r="B594" s="138" t="n">
        <f aca="false" ca="false" dt2D="false" dtr="false" t="normal">B593+1</f>
        <v>115</v>
      </c>
      <c r="C594" s="138" t="s">
        <v>177</v>
      </c>
      <c r="D594" s="138" t="s">
        <v>394</v>
      </c>
      <c r="E594" s="16" t="n">
        <f aca="false" ca="true" dt2D="false" dtr="false" t="normal">SUBTOTAL(9, F594:T594)</f>
        <v>9269710.49</v>
      </c>
      <c r="F594" s="17" t="n"/>
      <c r="G594" s="17" t="n"/>
      <c r="H594" s="17" t="n"/>
      <c r="I594" s="17" t="n"/>
      <c r="J594" s="17" t="n">
        <v>2021918.21</v>
      </c>
      <c r="K594" s="17" t="n"/>
      <c r="L594" s="17" t="n"/>
      <c r="M594" s="17" t="n">
        <v>0</v>
      </c>
      <c r="N594" s="17" t="n">
        <v>7247792.28</v>
      </c>
      <c r="O594" s="17" t="n">
        <v>0</v>
      </c>
      <c r="P594" s="17" t="n"/>
      <c r="Q594" s="17" t="n"/>
      <c r="R594" s="17" t="n"/>
      <c r="S594" s="17" t="n"/>
      <c r="T594" s="188" t="n"/>
      <c r="V594" s="241" t="n">
        <f aca="false" ca="false" dt2D="false" dtr="false" t="normal">COUNTIF(F594:Q594, "&gt;0")</f>
        <v>2</v>
      </c>
    </row>
    <row outlineLevel="0" r="595">
      <c r="A595" s="154" t="n">
        <f aca="false" ca="false" dt2D="false" dtr="false" t="normal">A594+1</f>
        <v>576</v>
      </c>
      <c r="B595" s="138" t="n">
        <f aca="false" ca="false" dt2D="false" dtr="false" t="normal">B594+1</f>
        <v>116</v>
      </c>
      <c r="C595" s="138" t="s">
        <v>177</v>
      </c>
      <c r="D595" s="138" t="s">
        <v>396</v>
      </c>
      <c r="E595" s="16" t="n">
        <f aca="false" ca="true" dt2D="false" dtr="false" t="normal">SUBTOTAL(9, F595:T595)</f>
        <v>10587420.23</v>
      </c>
      <c r="F595" s="17" t="n"/>
      <c r="G595" s="17" t="n">
        <v>764794.96</v>
      </c>
      <c r="H595" s="17" t="n">
        <v>694136.52</v>
      </c>
      <c r="I595" s="17" t="n"/>
      <c r="J595" s="17" t="n"/>
      <c r="K595" s="17" t="n"/>
      <c r="L595" s="17" t="n"/>
      <c r="M595" s="17" t="n">
        <v>0</v>
      </c>
      <c r="N595" s="17" t="n"/>
      <c r="O595" s="17" t="n">
        <v>0</v>
      </c>
      <c r="P595" s="17" t="n">
        <v>9128488.75</v>
      </c>
      <c r="Q595" s="17" t="n"/>
      <c r="R595" s="17" t="n"/>
      <c r="S595" s="17" t="n"/>
      <c r="T595" s="188" t="n"/>
      <c r="V595" s="241" t="n">
        <f aca="false" ca="false" dt2D="false" dtr="false" t="normal">COUNTIF(F595:Q595, "&gt;0")</f>
        <v>3</v>
      </c>
    </row>
    <row outlineLevel="0" r="596">
      <c r="A596" s="154" t="n">
        <f aca="false" ca="false" dt2D="false" dtr="false" t="normal">A595+1</f>
        <v>577</v>
      </c>
      <c r="B596" s="138" t="n">
        <f aca="false" ca="false" dt2D="false" dtr="false" t="normal">B595+1</f>
        <v>117</v>
      </c>
      <c r="C596" s="138" t="s">
        <v>177</v>
      </c>
      <c r="D596" s="138" t="s">
        <v>277</v>
      </c>
      <c r="E596" s="16" t="n">
        <f aca="false" ca="true" dt2D="false" dtr="false" t="normal">SUBTOTAL(9, F596:T596)</f>
        <v>3416530.16</v>
      </c>
      <c r="F596" s="17" t="n">
        <v>3416530.16</v>
      </c>
      <c r="G596" s="17" t="n"/>
      <c r="H596" s="17" t="n"/>
      <c r="I596" s="17" t="n"/>
      <c r="J596" s="17" t="n"/>
      <c r="K596" s="17" t="n"/>
      <c r="L596" s="17" t="n"/>
      <c r="M596" s="17" t="n">
        <v>0</v>
      </c>
      <c r="N596" s="17" t="n"/>
      <c r="O596" s="17" t="n">
        <v>0</v>
      </c>
      <c r="P596" s="17" t="n">
        <v>0</v>
      </c>
      <c r="Q596" s="17" t="n">
        <v>0</v>
      </c>
      <c r="R596" s="17" t="n"/>
      <c r="S596" s="17" t="n"/>
      <c r="T596" s="188" t="n"/>
      <c r="V596" s="241" t="n">
        <f aca="false" ca="false" dt2D="false" dtr="false" t="normal">COUNTIF(F596:Q596, "&gt;0")</f>
        <v>1</v>
      </c>
    </row>
    <row outlineLevel="0" r="597">
      <c r="A597" s="154" t="n">
        <f aca="false" ca="false" dt2D="false" dtr="false" t="normal">A596+1</f>
        <v>578</v>
      </c>
      <c r="B597" s="138" t="n">
        <f aca="false" ca="false" dt2D="false" dtr="false" t="normal">B596+1</f>
        <v>118</v>
      </c>
      <c r="C597" s="138" t="s">
        <v>177</v>
      </c>
      <c r="D597" s="138" t="s">
        <v>399</v>
      </c>
      <c r="E597" s="16" t="n">
        <f aca="false" ca="true" dt2D="false" dtr="false" t="normal">SUBTOTAL(9, F597:T597)</f>
        <v>2918258.07</v>
      </c>
      <c r="F597" s="17" t="n">
        <v>2918258.07</v>
      </c>
      <c r="G597" s="17" t="n"/>
      <c r="H597" s="17" t="n"/>
      <c r="I597" s="17" t="n"/>
      <c r="J597" s="17" t="n"/>
      <c r="K597" s="17" t="n"/>
      <c r="L597" s="17" t="n"/>
      <c r="M597" s="17" t="n"/>
      <c r="N597" s="17" t="n"/>
      <c r="O597" s="17" t="n"/>
      <c r="P597" s="17" t="n"/>
      <c r="Q597" s="17" t="n"/>
      <c r="R597" s="17" t="n"/>
      <c r="S597" s="17" t="n"/>
      <c r="T597" s="188" t="n"/>
      <c r="V597" s="241" t="n">
        <f aca="false" ca="false" dt2D="false" dtr="false" t="normal">COUNTIF(F597:Q597, "&gt;0")</f>
        <v>1</v>
      </c>
    </row>
    <row outlineLevel="0" r="598">
      <c r="A598" s="154" t="n">
        <f aca="false" ca="false" dt2D="false" dtr="false" t="normal">A597+1</f>
        <v>579</v>
      </c>
      <c r="B598" s="138" t="n">
        <f aca="false" ca="false" dt2D="false" dtr="false" t="normal">B597+1</f>
        <v>119</v>
      </c>
      <c r="C598" s="138" t="s">
        <v>177</v>
      </c>
      <c r="D598" s="138" t="s">
        <v>401</v>
      </c>
      <c r="E598" s="16" t="n">
        <f aca="false" ca="true" dt2D="false" dtr="false" t="normal">SUBTOTAL(9, F598:T598)</f>
        <v>3842206.73</v>
      </c>
      <c r="F598" s="17" t="n">
        <v>3842206.73</v>
      </c>
      <c r="G598" s="17" t="n">
        <v>0</v>
      </c>
      <c r="H598" s="17" t="n">
        <v>0</v>
      </c>
      <c r="I598" s="17" t="n">
        <v>0</v>
      </c>
      <c r="J598" s="17" t="n"/>
      <c r="K598" s="17" t="n"/>
      <c r="L598" s="17" t="n"/>
      <c r="M598" s="17" t="n">
        <v>0</v>
      </c>
      <c r="N598" s="17" t="n">
        <v>0</v>
      </c>
      <c r="O598" s="17" t="n">
        <v>0</v>
      </c>
      <c r="P598" s="17" t="n">
        <v>0</v>
      </c>
      <c r="Q598" s="17" t="n">
        <v>0</v>
      </c>
      <c r="R598" s="17" t="n"/>
      <c r="S598" s="17" t="n"/>
      <c r="T598" s="188" t="n"/>
      <c r="V598" s="241" t="n">
        <f aca="false" ca="false" dt2D="false" dtr="false" t="normal">COUNTIF(F598:Q598, "&gt;0")</f>
        <v>1</v>
      </c>
    </row>
    <row outlineLevel="0" r="599">
      <c r="A599" s="154" t="n">
        <f aca="false" ca="false" dt2D="false" dtr="false" t="normal">A598+1</f>
        <v>580</v>
      </c>
      <c r="B599" s="138" t="n">
        <f aca="false" ca="false" dt2D="false" dtr="false" t="normal">B598+1</f>
        <v>120</v>
      </c>
      <c r="C599" s="138" t="s">
        <v>177</v>
      </c>
      <c r="D599" s="138" t="s">
        <v>402</v>
      </c>
      <c r="E599" s="16" t="n">
        <f aca="false" ca="true" dt2D="false" dtr="false" t="normal">SUBTOTAL(9, F599:T599)</f>
        <v>4077651.86</v>
      </c>
      <c r="F599" s="17" t="n">
        <v>4077651.86</v>
      </c>
      <c r="G599" s="17" t="n">
        <v>0</v>
      </c>
      <c r="H599" s="17" t="n">
        <v>0</v>
      </c>
      <c r="I599" s="17" t="n">
        <v>0</v>
      </c>
      <c r="J599" s="17" t="n"/>
      <c r="K599" s="17" t="n"/>
      <c r="L599" s="17" t="n"/>
      <c r="M599" s="17" t="n">
        <v>0</v>
      </c>
      <c r="N599" s="17" t="n">
        <v>0</v>
      </c>
      <c r="O599" s="17" t="n">
        <v>0</v>
      </c>
      <c r="P599" s="17" t="n">
        <v>0</v>
      </c>
      <c r="Q599" s="17" t="n">
        <v>0</v>
      </c>
      <c r="R599" s="17" t="n"/>
      <c r="S599" s="17" t="n"/>
      <c r="T599" s="188" t="n"/>
      <c r="V599" s="241" t="n">
        <f aca="false" ca="false" dt2D="false" dtr="false" t="normal">COUNTIF(F599:Q599, "&gt;0")</f>
        <v>1</v>
      </c>
    </row>
    <row outlineLevel="0" r="600">
      <c r="A600" s="154" t="n">
        <f aca="false" ca="false" dt2D="false" dtr="false" t="normal">A599+1</f>
        <v>581</v>
      </c>
      <c r="B600" s="138" t="n">
        <f aca="false" ca="false" dt2D="false" dtr="false" t="normal">B599+1</f>
        <v>121</v>
      </c>
      <c r="C600" s="138" t="s">
        <v>177</v>
      </c>
      <c r="D600" s="138" t="s">
        <v>279</v>
      </c>
      <c r="E600" s="16" t="n">
        <f aca="false" ca="true" dt2D="false" dtr="false" t="normal">SUBTOTAL(9, F600:T600)</f>
        <v>17845676.15</v>
      </c>
      <c r="F600" s="17" t="n"/>
      <c r="G600" s="17" t="n"/>
      <c r="H600" s="17" t="n"/>
      <c r="I600" s="17" t="n">
        <v>1803922.55</v>
      </c>
      <c r="J600" s="17" t="n"/>
      <c r="K600" s="17" t="n"/>
      <c r="L600" s="17" t="n"/>
      <c r="M600" s="17" t="n">
        <v>0</v>
      </c>
      <c r="N600" s="17" t="n"/>
      <c r="O600" s="17" t="n">
        <v>0</v>
      </c>
      <c r="P600" s="17" t="n">
        <v>16041753.6</v>
      </c>
      <c r="Q600" s="17" t="n"/>
      <c r="R600" s="17" t="n"/>
      <c r="S600" s="17" t="n"/>
      <c r="T600" s="188" t="n"/>
      <c r="V600" s="241" t="n">
        <f aca="false" ca="false" dt2D="false" dtr="false" t="normal">COUNTIF(F600:Q600, "&gt;0")</f>
        <v>2</v>
      </c>
    </row>
    <row outlineLevel="0" r="601">
      <c r="A601" s="154" t="n">
        <f aca="false" ca="false" dt2D="false" dtr="false" t="normal">A600+1</f>
        <v>582</v>
      </c>
      <c r="B601" s="138" t="n">
        <f aca="false" ca="false" dt2D="false" dtr="false" t="normal">B600+1</f>
        <v>122</v>
      </c>
      <c r="C601" s="138" t="s">
        <v>177</v>
      </c>
      <c r="D601" s="138" t="s">
        <v>407</v>
      </c>
      <c r="E601" s="16" t="n">
        <f aca="false" ca="true" dt2D="false" dtr="false" t="normal">SUBTOTAL(9, F601:T601)</f>
        <v>12838297.58</v>
      </c>
      <c r="F601" s="17" t="n">
        <v>0</v>
      </c>
      <c r="G601" s="17" t="n">
        <v>0</v>
      </c>
      <c r="H601" s="17" t="n">
        <v>0</v>
      </c>
      <c r="I601" s="17" t="n">
        <v>0</v>
      </c>
      <c r="J601" s="17" t="n">
        <v>0</v>
      </c>
      <c r="K601" s="17" t="n"/>
      <c r="L601" s="17" t="n"/>
      <c r="M601" s="17" t="n">
        <v>0</v>
      </c>
      <c r="N601" s="17" t="n">
        <v>0</v>
      </c>
      <c r="O601" s="17" t="n">
        <v>0</v>
      </c>
      <c r="P601" s="17" t="n">
        <v>12838297.58</v>
      </c>
      <c r="Q601" s="17" t="n">
        <v>0</v>
      </c>
      <c r="R601" s="17" t="n"/>
      <c r="S601" s="17" t="n"/>
      <c r="T601" s="188" t="n"/>
      <c r="V601" s="241" t="n">
        <f aca="false" ca="false" dt2D="false" dtr="false" t="normal">COUNTIF(F601:Q601, "&gt;0")</f>
        <v>1</v>
      </c>
    </row>
    <row outlineLevel="0" r="602">
      <c r="A602" s="154" t="n">
        <f aca="false" ca="false" dt2D="false" dtr="false" t="normal">A601+1</f>
        <v>583</v>
      </c>
      <c r="B602" s="138" t="n">
        <f aca="false" ca="false" dt2D="false" dtr="false" t="normal">B601+1</f>
        <v>123</v>
      </c>
      <c r="C602" s="138" t="s">
        <v>177</v>
      </c>
      <c r="D602" s="138" t="s">
        <v>409</v>
      </c>
      <c r="E602" s="16" t="n">
        <f aca="false" ca="true" dt2D="false" dtr="false" t="normal">SUBTOTAL(9, F602:T602)</f>
        <v>4481041.79</v>
      </c>
      <c r="F602" s="17" t="n"/>
      <c r="G602" s="17" t="n"/>
      <c r="H602" s="17" t="n"/>
      <c r="I602" s="17" t="n">
        <v>4481041.79</v>
      </c>
      <c r="J602" s="17" t="n"/>
      <c r="K602" s="17" t="n"/>
      <c r="L602" s="17" t="n"/>
      <c r="M602" s="17" t="n"/>
      <c r="N602" s="17" t="n"/>
      <c r="O602" s="17" t="n"/>
      <c r="P602" s="17" t="n"/>
      <c r="Q602" s="17" t="n"/>
      <c r="R602" s="17" t="n"/>
      <c r="S602" s="17" t="n"/>
      <c r="T602" s="188" t="n"/>
      <c r="V602" s="241" t="n">
        <f aca="false" ca="false" dt2D="false" dtr="false" t="normal">COUNTIF(F602:Q602, "&gt;0")</f>
        <v>1</v>
      </c>
    </row>
    <row outlineLevel="0" r="603">
      <c r="A603" s="154" t="n">
        <f aca="false" ca="false" dt2D="false" dtr="false" t="normal">A602+1</f>
        <v>584</v>
      </c>
      <c r="B603" s="138" t="n">
        <f aca="false" ca="false" dt2D="false" dtr="false" t="normal">B602+1</f>
        <v>124</v>
      </c>
      <c r="C603" s="138" t="s">
        <v>177</v>
      </c>
      <c r="D603" s="138" t="s">
        <v>299</v>
      </c>
      <c r="E603" s="16" t="n">
        <f aca="false" ca="true" dt2D="false" dtr="false" t="normal">SUBTOTAL(9, F603:T603)</f>
        <v>12480023.629999999</v>
      </c>
      <c r="F603" s="17" t="n">
        <v>6151696.83</v>
      </c>
      <c r="G603" s="17" t="n">
        <v>0</v>
      </c>
      <c r="H603" s="17" t="n">
        <v>0</v>
      </c>
      <c r="I603" s="17" t="n">
        <v>0</v>
      </c>
      <c r="J603" s="17" t="n">
        <v>586245.68</v>
      </c>
      <c r="K603" s="17" t="n"/>
      <c r="L603" s="17" t="n"/>
      <c r="M603" s="17" t="n">
        <v>0</v>
      </c>
      <c r="N603" s="17" t="n"/>
      <c r="O603" s="17" t="n">
        <v>0</v>
      </c>
      <c r="P603" s="17" t="n">
        <v>0</v>
      </c>
      <c r="Q603" s="17" t="n">
        <v>5742081.12</v>
      </c>
      <c r="R603" s="17" t="n"/>
      <c r="S603" s="17" t="n"/>
      <c r="T603" s="188" t="n"/>
      <c r="U603" s="341" t="n"/>
      <c r="V603" s="241" t="n">
        <f aca="false" ca="false" dt2D="false" dtr="false" t="normal">COUNTIF(F603:Q603, "&gt;0")</f>
        <v>3</v>
      </c>
      <c r="W603" s="341" t="n"/>
      <c r="X603" s="341" t="n"/>
      <c r="Y603" s="341" t="n"/>
      <c r="Z603" s="341" t="n"/>
      <c r="AA603" s="341" t="n"/>
      <c r="AB603" s="341" t="n"/>
      <c r="AC603" s="341" t="n"/>
      <c r="AD603" s="341" t="n"/>
      <c r="AE603" s="341" t="n"/>
      <c r="AF603" s="341" t="n"/>
      <c r="AG603" s="341" t="n"/>
      <c r="AH603" s="341" t="n"/>
      <c r="AI603" s="341" t="n"/>
      <c r="AJ603" s="341" t="n"/>
      <c r="AK603" s="341" t="n"/>
      <c r="AL603" s="341" t="n"/>
      <c r="AM603" s="341" t="n"/>
      <c r="AN603" s="341" t="n"/>
      <c r="AO603" s="341" t="n"/>
      <c r="AP603" s="341" t="n"/>
      <c r="AQ603" s="341" t="n"/>
      <c r="AR603" s="341" t="n"/>
      <c r="AS603" s="341" t="n"/>
      <c r="AT603" s="341" t="n"/>
      <c r="AU603" s="341" t="n"/>
      <c r="AV603" s="341" t="n"/>
      <c r="AW603" s="341" t="n"/>
      <c r="AX603" s="341" t="n"/>
      <c r="AY603" s="341" t="n"/>
      <c r="AZ603" s="341" t="n"/>
      <c r="BA603" s="341" t="n"/>
      <c r="BB603" s="341" t="n"/>
      <c r="BC603" s="341" t="n"/>
      <c r="BD603" s="341" t="n"/>
      <c r="BE603" s="341" t="n"/>
      <c r="BF603" s="341" t="n"/>
      <c r="BG603" s="341" t="n"/>
      <c r="BH603" s="341" t="n"/>
      <c r="BI603" s="341" t="n"/>
      <c r="BJ603" s="341" t="n"/>
      <c r="BK603" s="341" t="n"/>
      <c r="BL603" s="341" t="n"/>
      <c r="BM603" s="341" t="n"/>
      <c r="BN603" s="341" t="n"/>
      <c r="BO603" s="341" t="n"/>
      <c r="BP603" s="341" t="n"/>
    </row>
    <row outlineLevel="0" r="604">
      <c r="A604" s="154" t="n">
        <f aca="false" ca="false" dt2D="false" dtr="false" t="normal">A603+1</f>
        <v>585</v>
      </c>
      <c r="B604" s="138" t="n">
        <f aca="false" ca="false" dt2D="false" dtr="false" t="normal">B603+1</f>
        <v>125</v>
      </c>
      <c r="C604" s="138" t="s">
        <v>177</v>
      </c>
      <c r="D604" s="138" t="s">
        <v>413</v>
      </c>
      <c r="E604" s="16" t="n">
        <f aca="false" ca="true" dt2D="false" dtr="false" t="normal">SUBTOTAL(9, F604:T604)</f>
        <v>1690317.6</v>
      </c>
      <c r="F604" s="17" t="n"/>
      <c r="G604" s="17" t="n"/>
      <c r="H604" s="17" t="n"/>
      <c r="I604" s="17" t="n"/>
      <c r="J604" s="17" t="n">
        <v>1690317.6</v>
      </c>
      <c r="K604" s="17" t="n"/>
      <c r="L604" s="17" t="n"/>
      <c r="M604" s="17" t="n"/>
      <c r="N604" s="17" t="n"/>
      <c r="O604" s="17" t="n"/>
      <c r="P604" s="17" t="n"/>
      <c r="Q604" s="17" t="n"/>
      <c r="R604" s="17" t="n"/>
      <c r="S604" s="17" t="n"/>
      <c r="T604" s="188" t="n"/>
      <c r="V604" s="241" t="n">
        <f aca="false" ca="false" dt2D="false" dtr="false" t="normal">COUNTIF(F604:Q604, "&gt;0")</f>
        <v>1</v>
      </c>
    </row>
    <row outlineLevel="0" r="605">
      <c r="A605" s="154" t="n">
        <f aca="false" ca="false" dt2D="false" dtr="false" t="normal">A604+1</f>
        <v>586</v>
      </c>
      <c r="B605" s="138" t="n">
        <f aca="false" ca="false" dt2D="false" dtr="false" t="normal">B604+1</f>
        <v>126</v>
      </c>
      <c r="C605" s="138" t="s">
        <v>177</v>
      </c>
      <c r="D605" s="138" t="s">
        <v>416</v>
      </c>
      <c r="E605" s="16" t="n">
        <f aca="false" ca="true" dt2D="false" dtr="false" t="normal">SUBTOTAL(9, F605:T605)</f>
        <v>48732853.01</v>
      </c>
      <c r="F605" s="17" t="n">
        <v>12033925.76</v>
      </c>
      <c r="G605" s="17" t="n"/>
      <c r="H605" s="17" t="n"/>
      <c r="I605" s="17" t="n"/>
      <c r="J605" s="17" t="n"/>
      <c r="K605" s="17" t="n"/>
      <c r="L605" s="17" t="n"/>
      <c r="M605" s="17" t="n"/>
      <c r="N605" s="17" t="n"/>
      <c r="O605" s="17" t="n"/>
      <c r="P605" s="17" t="n">
        <v>36698927.25</v>
      </c>
      <c r="Q605" s="17" t="n"/>
      <c r="R605" s="17" t="n"/>
      <c r="S605" s="17" t="n"/>
      <c r="T605" s="188" t="n"/>
      <c r="V605" s="241" t="n">
        <f aca="false" ca="false" dt2D="false" dtr="false" t="normal">COUNTIF(F605:Q605, "&gt;0")</f>
        <v>2</v>
      </c>
    </row>
    <row outlineLevel="0" r="606">
      <c r="A606" s="154" t="n">
        <f aca="false" ca="false" dt2D="false" dtr="false" t="normal">A605+1</f>
        <v>587</v>
      </c>
      <c r="B606" s="138" t="n">
        <f aca="false" ca="false" dt2D="false" dtr="false" t="normal">B605+1</f>
        <v>127</v>
      </c>
      <c r="C606" s="138" t="s">
        <v>177</v>
      </c>
      <c r="D606" s="138" t="s">
        <v>303</v>
      </c>
      <c r="E606" s="16" t="n">
        <f aca="false" ca="true" dt2D="false" dtr="false" t="normal">SUBTOTAL(9, F606:T606)</f>
        <v>21061738.34</v>
      </c>
      <c r="F606" s="17" t="n"/>
      <c r="G606" s="17" t="n"/>
      <c r="H606" s="17" t="n"/>
      <c r="I606" s="17" t="n"/>
      <c r="J606" s="17" t="n"/>
      <c r="K606" s="17" t="n"/>
      <c r="L606" s="17" t="n"/>
      <c r="M606" s="17" t="n"/>
      <c r="N606" s="17" t="n"/>
      <c r="O606" s="17" t="n">
        <v>0</v>
      </c>
      <c r="P606" s="17" t="n">
        <v>21061738.34</v>
      </c>
      <c r="Q606" s="17" t="n"/>
      <c r="R606" s="17" t="n"/>
      <c r="S606" s="17" t="n"/>
      <c r="T606" s="188" t="n"/>
      <c r="V606" s="241" t="n">
        <f aca="false" ca="false" dt2D="false" dtr="false" t="normal">COUNTIF(F606:Q606, "&gt;0")</f>
        <v>1</v>
      </c>
    </row>
    <row outlineLevel="0" r="607">
      <c r="A607" s="154" t="n">
        <f aca="false" ca="false" dt2D="false" dtr="false" t="normal">A606+1</f>
        <v>588</v>
      </c>
      <c r="B607" s="138" t="n">
        <f aca="false" ca="false" dt2D="false" dtr="false" t="normal">B606+1</f>
        <v>128</v>
      </c>
      <c r="C607" s="138" t="s">
        <v>177</v>
      </c>
      <c r="D607" s="138" t="s">
        <v>420</v>
      </c>
      <c r="E607" s="16" t="n">
        <f aca="false" ca="true" dt2D="false" dtr="false" t="normal">SUBTOTAL(9, F607:T607)</f>
        <v>31998544.48</v>
      </c>
      <c r="F607" s="17" t="n">
        <v>8148276.97</v>
      </c>
      <c r="G607" s="17" t="n">
        <v>2524696.02</v>
      </c>
      <c r="H607" s="17" t="n">
        <v>1505564.28</v>
      </c>
      <c r="I607" s="17" t="n">
        <v>2141488.27</v>
      </c>
      <c r="J607" s="17" t="n"/>
      <c r="K607" s="17" t="n"/>
      <c r="L607" s="17" t="n"/>
      <c r="M607" s="17" t="n"/>
      <c r="N607" s="17" t="n">
        <v>17678518.94</v>
      </c>
      <c r="O607" s="17" t="n"/>
      <c r="P607" s="17" t="n"/>
      <c r="Q607" s="17" t="n"/>
      <c r="R607" s="17" t="n"/>
      <c r="S607" s="17" t="n"/>
      <c r="T607" s="188" t="n"/>
      <c r="V607" s="241" t="n">
        <f aca="false" ca="false" dt2D="false" dtr="false" t="normal">COUNTIF(F607:Q607, "&gt;0")</f>
        <v>5</v>
      </c>
    </row>
    <row outlineLevel="0" r="608">
      <c r="A608" s="154" t="n">
        <f aca="false" ca="false" dt2D="false" dtr="false" t="normal">A607+1</f>
        <v>589</v>
      </c>
      <c r="B608" s="138" t="n">
        <f aca="false" ca="false" dt2D="false" dtr="false" t="normal">B607+1</f>
        <v>129</v>
      </c>
      <c r="C608" s="138" t="s">
        <v>177</v>
      </c>
      <c r="D608" s="138" t="s">
        <v>424</v>
      </c>
      <c r="E608" s="16" t="n">
        <f aca="false" ca="true" dt2D="false" dtr="false" t="normal">SUBTOTAL(9, F608:T608)</f>
        <v>19574027.46</v>
      </c>
      <c r="F608" s="17" t="n">
        <v>6171316.76</v>
      </c>
      <c r="G608" s="17" t="n">
        <v>1336962.2</v>
      </c>
      <c r="H608" s="17" t="n">
        <v>0</v>
      </c>
      <c r="I608" s="17" t="n">
        <v>2007492.5</v>
      </c>
      <c r="J608" s="17" t="n"/>
      <c r="K608" s="17" t="n"/>
      <c r="L608" s="17" t="n"/>
      <c r="M608" s="17" t="n">
        <v>0</v>
      </c>
      <c r="N608" s="17" t="n"/>
      <c r="O608" s="17" t="n">
        <v>0</v>
      </c>
      <c r="P608" s="17" t="n"/>
      <c r="Q608" s="17" t="n">
        <v>10058256</v>
      </c>
      <c r="R608" s="17" t="n"/>
      <c r="S608" s="17" t="n"/>
      <c r="T608" s="188" t="n"/>
      <c r="V608" s="241" t="n">
        <f aca="false" ca="false" dt2D="false" dtr="false" t="normal">COUNTIF(F608:Q608, "&gt;0")</f>
        <v>4</v>
      </c>
    </row>
    <row outlineLevel="0" r="609">
      <c r="A609" s="154" t="n">
        <f aca="false" ca="false" dt2D="false" dtr="false" t="normal">A608+1</f>
        <v>590</v>
      </c>
      <c r="B609" s="138" t="n">
        <f aca="false" ca="false" dt2D="false" dtr="false" t="normal">B608+1</f>
        <v>130</v>
      </c>
      <c r="C609" s="138" t="s">
        <v>177</v>
      </c>
      <c r="D609" s="138" t="s">
        <v>426</v>
      </c>
      <c r="E609" s="16" t="n">
        <f aca="false" ca="true" dt2D="false" dtr="false" t="normal">SUBTOTAL(9, F609:T609)</f>
        <v>2811451.2</v>
      </c>
      <c r="F609" s="17" t="n"/>
      <c r="G609" s="17" t="n"/>
      <c r="H609" s="17" t="n"/>
      <c r="I609" s="17" t="n"/>
      <c r="J609" s="17" t="n"/>
      <c r="K609" s="17" t="n"/>
      <c r="L609" s="17" t="n"/>
      <c r="M609" s="17" t="n"/>
      <c r="N609" s="17" t="n"/>
      <c r="O609" s="17" t="n"/>
      <c r="P609" s="17" t="n"/>
      <c r="Q609" s="17" t="n">
        <v>2811451.2</v>
      </c>
      <c r="R609" s="17" t="n"/>
      <c r="S609" s="17" t="n"/>
      <c r="T609" s="188" t="n"/>
      <c r="U609" s="341" t="n"/>
      <c r="V609" s="241" t="n">
        <f aca="false" ca="false" dt2D="false" dtr="false" t="normal">COUNTIF(F609:Q609, "&gt;0")</f>
        <v>1</v>
      </c>
      <c r="W609" s="341" t="n"/>
      <c r="X609" s="341" t="n"/>
      <c r="Y609" s="341" t="n"/>
      <c r="Z609" s="341" t="n"/>
      <c r="AA609" s="341" t="n"/>
      <c r="AB609" s="341" t="n"/>
      <c r="AC609" s="341" t="n"/>
      <c r="AD609" s="341" t="n"/>
      <c r="AE609" s="341" t="n"/>
      <c r="AF609" s="341" t="n"/>
      <c r="AG609" s="341" t="n"/>
      <c r="AH609" s="341" t="n"/>
      <c r="AI609" s="341" t="n"/>
      <c r="AJ609" s="341" t="n"/>
      <c r="AK609" s="341" t="n"/>
      <c r="AL609" s="341" t="n"/>
      <c r="AM609" s="341" t="n"/>
      <c r="AN609" s="341" t="n"/>
      <c r="AO609" s="341" t="n"/>
      <c r="AP609" s="341" t="n"/>
      <c r="AQ609" s="341" t="n"/>
      <c r="AR609" s="341" t="n"/>
      <c r="AS609" s="341" t="n"/>
      <c r="AT609" s="341" t="n"/>
      <c r="AU609" s="341" t="n"/>
      <c r="AV609" s="341" t="n"/>
      <c r="AW609" s="341" t="n"/>
      <c r="AX609" s="341" t="n"/>
      <c r="AY609" s="341" t="n"/>
      <c r="AZ609" s="341" t="n"/>
      <c r="BA609" s="341" t="n"/>
      <c r="BB609" s="341" t="n"/>
      <c r="BC609" s="341" t="n"/>
      <c r="BD609" s="341" t="n"/>
      <c r="BE609" s="341" t="n"/>
      <c r="BF609" s="341" t="n"/>
      <c r="BG609" s="341" t="n"/>
      <c r="BH609" s="341" t="n"/>
      <c r="BI609" s="341" t="n"/>
      <c r="BJ609" s="341" t="n"/>
      <c r="BK609" s="341" t="n"/>
      <c r="BL609" s="341" t="n"/>
      <c r="BM609" s="341" t="n"/>
      <c r="BN609" s="341" t="n"/>
      <c r="BO609" s="341" t="n"/>
      <c r="BP609" s="341" t="n"/>
    </row>
    <row outlineLevel="0" r="610">
      <c r="A610" s="154" t="n">
        <f aca="false" ca="false" dt2D="false" dtr="false" t="normal">A609+1</f>
        <v>591</v>
      </c>
      <c r="B610" s="138" t="n">
        <f aca="false" ca="false" dt2D="false" dtr="false" t="normal">B609+1</f>
        <v>131</v>
      </c>
      <c r="C610" s="138" t="s">
        <v>177</v>
      </c>
      <c r="D610" s="138" t="s">
        <v>429</v>
      </c>
      <c r="E610" s="16" t="n">
        <f aca="false" ca="true" dt2D="false" dtr="false" t="normal">SUBTOTAL(9, F610:T610)</f>
        <v>989236.26</v>
      </c>
      <c r="F610" s="17" t="n"/>
      <c r="G610" s="17" t="n"/>
      <c r="H610" s="17" t="n"/>
      <c r="I610" s="17" t="n"/>
      <c r="J610" s="17" t="n">
        <v>989236.26</v>
      </c>
      <c r="K610" s="17" t="n"/>
      <c r="L610" s="17" t="n"/>
      <c r="M610" s="17" t="n"/>
      <c r="N610" s="17" t="n"/>
      <c r="O610" s="17" t="n"/>
      <c r="P610" s="17" t="n"/>
      <c r="Q610" s="17" t="n"/>
      <c r="R610" s="17" t="n"/>
      <c r="S610" s="17" t="n"/>
      <c r="T610" s="188" t="n"/>
      <c r="V610" s="241" t="n">
        <f aca="false" ca="false" dt2D="false" dtr="false" t="normal">COUNTIF(F610:Q610, "&gt;0")</f>
        <v>1</v>
      </c>
    </row>
    <row outlineLevel="0" r="611">
      <c r="A611" s="154" t="n">
        <f aca="false" ca="false" dt2D="false" dtr="false" t="normal">A610+1</f>
        <v>592</v>
      </c>
      <c r="B611" s="138" t="n">
        <f aca="false" ca="false" dt2D="false" dtr="false" t="normal">B610+1</f>
        <v>132</v>
      </c>
      <c r="C611" s="138" t="s">
        <v>177</v>
      </c>
      <c r="D611" s="138" t="s">
        <v>314</v>
      </c>
      <c r="E611" s="16" t="n">
        <f aca="false" ca="true" dt2D="false" dtr="false" t="normal">SUBTOTAL(9, F611:T611)</f>
        <v>630551.78</v>
      </c>
      <c r="F611" s="17" t="n"/>
      <c r="G611" s="17" t="n"/>
      <c r="H611" s="17" t="n"/>
      <c r="I611" s="17" t="n"/>
      <c r="J611" s="17" t="n"/>
      <c r="K611" s="17" t="n"/>
      <c r="L611" s="17" t="n"/>
      <c r="M611" s="17" t="n"/>
      <c r="N611" s="17" t="n"/>
      <c r="O611" s="17" t="n"/>
      <c r="P611" s="17" t="n">
        <v>630551.78</v>
      </c>
      <c r="Q611" s="17" t="n"/>
      <c r="R611" s="17" t="n"/>
      <c r="S611" s="17" t="n"/>
      <c r="T611" s="188" t="n"/>
      <c r="U611" s="341" t="n"/>
      <c r="V611" s="241" t="n">
        <f aca="false" ca="false" dt2D="false" dtr="false" t="normal">COUNTIF(F611:Q611, "&gt;0")</f>
        <v>1</v>
      </c>
      <c r="W611" s="341" t="n"/>
      <c r="X611" s="341" t="n"/>
      <c r="Y611" s="341" t="n"/>
      <c r="Z611" s="341" t="n"/>
      <c r="AA611" s="341" t="n"/>
      <c r="AB611" s="341" t="n"/>
      <c r="AC611" s="341" t="n"/>
      <c r="AD611" s="341" t="n"/>
      <c r="AE611" s="341" t="n"/>
      <c r="AF611" s="341" t="n"/>
      <c r="AG611" s="341" t="n"/>
      <c r="AH611" s="341" t="n"/>
      <c r="AI611" s="341" t="n"/>
      <c r="AJ611" s="341" t="n"/>
      <c r="AK611" s="341" t="n"/>
      <c r="AL611" s="341" t="n"/>
      <c r="AM611" s="341" t="n"/>
      <c r="AN611" s="341" t="n"/>
      <c r="AO611" s="341" t="n"/>
      <c r="AP611" s="341" t="n"/>
      <c r="AQ611" s="341" t="n"/>
      <c r="AR611" s="341" t="n"/>
      <c r="AS611" s="341" t="n"/>
      <c r="AT611" s="341" t="n"/>
      <c r="AU611" s="341" t="n"/>
      <c r="AV611" s="341" t="n"/>
      <c r="AW611" s="341" t="n"/>
      <c r="AX611" s="341" t="n"/>
      <c r="AY611" s="341" t="n"/>
      <c r="AZ611" s="341" t="n"/>
      <c r="BA611" s="341" t="n"/>
      <c r="BB611" s="341" t="n"/>
      <c r="BC611" s="341" t="n"/>
      <c r="BD611" s="341" t="n"/>
      <c r="BE611" s="341" t="n"/>
      <c r="BF611" s="341" t="n"/>
      <c r="BG611" s="341" t="n"/>
      <c r="BH611" s="341" t="n"/>
      <c r="BI611" s="341" t="n"/>
      <c r="BJ611" s="341" t="n"/>
      <c r="BK611" s="341" t="n"/>
      <c r="BL611" s="341" t="n"/>
      <c r="BM611" s="341" t="n"/>
      <c r="BN611" s="341" t="n"/>
      <c r="BO611" s="341" t="n"/>
      <c r="BP611" s="341" t="n"/>
    </row>
    <row outlineLevel="0" r="612">
      <c r="A612" s="154" t="n">
        <f aca="false" ca="false" dt2D="false" dtr="false" t="normal">A611+1</f>
        <v>593</v>
      </c>
      <c r="B612" s="138" t="n">
        <f aca="false" ca="false" dt2D="false" dtr="false" t="normal">B611+1</f>
        <v>133</v>
      </c>
      <c r="C612" s="138" t="s">
        <v>177</v>
      </c>
      <c r="D612" s="138" t="s">
        <v>316</v>
      </c>
      <c r="E612" s="16" t="n">
        <f aca="false" ca="true" dt2D="false" dtr="false" t="normal">SUBTOTAL(9, F612:T612)</f>
        <v>2808289.43</v>
      </c>
      <c r="F612" s="17" t="n"/>
      <c r="G612" s="17" t="n"/>
      <c r="H612" s="17" t="n"/>
      <c r="I612" s="17" t="n"/>
      <c r="J612" s="17" t="n">
        <v>2808289.43</v>
      </c>
      <c r="K612" s="17" t="n"/>
      <c r="L612" s="17" t="n"/>
      <c r="M612" s="17" t="n"/>
      <c r="N612" s="17" t="n"/>
      <c r="O612" s="17" t="n"/>
      <c r="P612" s="17" t="n"/>
      <c r="Q612" s="17" t="n"/>
      <c r="R612" s="17" t="n"/>
      <c r="S612" s="17" t="n"/>
      <c r="T612" s="188" t="n"/>
      <c r="V612" s="241" t="n">
        <f aca="false" ca="false" dt2D="false" dtr="false" t="normal">COUNTIF(F612:Q612, "&gt;0")</f>
        <v>1</v>
      </c>
    </row>
    <row outlineLevel="0" r="613">
      <c r="A613" s="154" t="n">
        <f aca="false" ca="false" dt2D="false" dtr="false" t="normal">A612+1</f>
        <v>594</v>
      </c>
      <c r="B613" s="138" t="n">
        <f aca="false" ca="false" dt2D="false" dtr="false" t="normal">B612+1</f>
        <v>134</v>
      </c>
      <c r="C613" s="138" t="s">
        <v>177</v>
      </c>
      <c r="D613" s="138" t="s">
        <v>754</v>
      </c>
      <c r="E613" s="16" t="n">
        <f aca="false" ca="true" dt2D="false" dtr="false" t="normal">SUBTOTAL(9, F613:T613)</f>
        <v>34019179.71</v>
      </c>
      <c r="F613" s="17" t="n"/>
      <c r="G613" s="17" t="n"/>
      <c r="H613" s="17" t="n"/>
      <c r="I613" s="17" t="n"/>
      <c r="J613" s="17" t="n">
        <v>2752258.84</v>
      </c>
      <c r="K613" s="17" t="n"/>
      <c r="L613" s="17" t="n"/>
      <c r="M613" s="17" t="n"/>
      <c r="N613" s="17" t="n"/>
      <c r="O613" s="17" t="n"/>
      <c r="P613" s="17" t="n">
        <v>31266920.87</v>
      </c>
      <c r="Q613" s="17" t="n"/>
      <c r="R613" s="17" t="n"/>
      <c r="S613" s="17" t="n"/>
      <c r="T613" s="188" t="n"/>
      <c r="V613" s="241" t="n">
        <f aca="false" ca="false" dt2D="false" dtr="false" t="normal">COUNTIF(F613:Q613, "&gt;0")</f>
        <v>2</v>
      </c>
    </row>
    <row outlineLevel="0" r="614">
      <c r="A614" s="154" t="n">
        <f aca="false" ca="false" dt2D="false" dtr="false" t="normal">A613+1</f>
        <v>595</v>
      </c>
      <c r="B614" s="138" t="n">
        <f aca="false" ca="false" dt2D="false" dtr="false" t="normal">B613+1</f>
        <v>135</v>
      </c>
      <c r="C614" s="138" t="s">
        <v>177</v>
      </c>
      <c r="D614" s="138" t="s">
        <v>436</v>
      </c>
      <c r="E614" s="16" t="n">
        <f aca="false" ca="true" dt2D="false" dtr="false" t="normal">SUBTOTAL(9, F614:T614)</f>
        <v>20923158.34</v>
      </c>
      <c r="F614" s="17" t="n"/>
      <c r="G614" s="17" t="n"/>
      <c r="H614" s="17" t="n">
        <v>0</v>
      </c>
      <c r="I614" s="17" t="n">
        <v>0</v>
      </c>
      <c r="J614" s="17" t="n"/>
      <c r="K614" s="17" t="n"/>
      <c r="L614" s="17" t="n"/>
      <c r="M614" s="17" t="n">
        <v>0</v>
      </c>
      <c r="N614" s="17" t="n"/>
      <c r="O614" s="17" t="n">
        <v>0</v>
      </c>
      <c r="P614" s="17" t="n">
        <v>20923158.34</v>
      </c>
      <c r="Q614" s="17" t="n"/>
      <c r="R614" s="17" t="n"/>
      <c r="S614" s="17" t="n"/>
      <c r="T614" s="188" t="n"/>
      <c r="V614" s="241" t="n">
        <f aca="false" ca="false" dt2D="false" dtr="false" t="normal">COUNTIF(F614:Q614, "&gt;0")</f>
        <v>1</v>
      </c>
    </row>
    <row outlineLevel="0" r="615">
      <c r="A615" s="154" t="n">
        <f aca="false" ca="false" dt2D="false" dtr="false" t="normal">A614+1</f>
        <v>596</v>
      </c>
      <c r="B615" s="138" t="n">
        <f aca="false" ca="false" dt2D="false" dtr="false" t="normal">B614+1</f>
        <v>136</v>
      </c>
      <c r="C615" s="138" t="s">
        <v>177</v>
      </c>
      <c r="D615" s="138" t="s">
        <v>438</v>
      </c>
      <c r="E615" s="342" t="n">
        <f aca="false" ca="true" dt2D="false" dtr="false" t="normal">SUBTOTAL(9, F615:T615)</f>
        <v>13354250.780000001</v>
      </c>
      <c r="F615" s="17" t="n">
        <v>0</v>
      </c>
      <c r="G615" s="17" t="n">
        <v>1739799.32</v>
      </c>
      <c r="H615" s="17" t="n">
        <v>0</v>
      </c>
      <c r="I615" s="17" t="n">
        <v>956618.14</v>
      </c>
      <c r="J615" s="17" t="n"/>
      <c r="K615" s="17" t="n"/>
      <c r="L615" s="17" t="n"/>
      <c r="M615" s="17" t="n">
        <v>0</v>
      </c>
      <c r="N615" s="17" t="n">
        <v>0</v>
      </c>
      <c r="O615" s="17" t="n">
        <v>0</v>
      </c>
      <c r="P615" s="17" t="n">
        <v>10657833.32</v>
      </c>
      <c r="Q615" s="17" t="n"/>
      <c r="R615" s="17" t="n"/>
      <c r="S615" s="17" t="n"/>
      <c r="T615" s="188" t="n"/>
      <c r="V615" s="241" t="n">
        <f aca="false" ca="false" dt2D="false" dtr="false" t="normal">COUNTIF(F615:Q615, "&gt;0")</f>
        <v>3</v>
      </c>
    </row>
    <row outlineLevel="0" r="616">
      <c r="A616" s="154" t="n">
        <f aca="false" ca="false" dt2D="false" dtr="false" t="normal">A615+1</f>
        <v>597</v>
      </c>
      <c r="B616" s="138" t="n">
        <f aca="false" ca="false" dt2D="false" dtr="false" t="normal">B615+1</f>
        <v>137</v>
      </c>
      <c r="C616" s="138" t="s">
        <v>177</v>
      </c>
      <c r="D616" s="138" t="s">
        <v>440</v>
      </c>
      <c r="E616" s="16" t="n">
        <f aca="false" ca="true" dt2D="false" dtr="false" t="normal">SUBTOTAL(9, F616:T616)</f>
        <v>1878920.4</v>
      </c>
      <c r="F616" s="17" t="n"/>
      <c r="G616" s="17" t="n"/>
      <c r="H616" s="17" t="n"/>
      <c r="I616" s="17" t="n"/>
      <c r="J616" s="17" t="n">
        <v>1878920.4</v>
      </c>
      <c r="K616" s="17" t="n"/>
      <c r="L616" s="17" t="n"/>
      <c r="M616" s="17" t="n"/>
      <c r="N616" s="17" t="n"/>
      <c r="O616" s="17" t="n"/>
      <c r="P616" s="17" t="n"/>
      <c r="Q616" s="17" t="n"/>
      <c r="R616" s="17" t="n"/>
      <c r="S616" s="17" t="n"/>
      <c r="T616" s="188" t="n"/>
      <c r="V616" s="241" t="n">
        <f aca="false" ca="false" dt2D="false" dtr="false" t="normal">COUNTIF(F616:Q616, "&gt;0")</f>
        <v>1</v>
      </c>
    </row>
    <row outlineLevel="0" r="617">
      <c r="A617" s="154" t="n">
        <f aca="false" ca="false" dt2D="false" dtr="false" t="normal">A616+1</f>
        <v>598</v>
      </c>
      <c r="B617" s="138" t="n">
        <f aca="false" ca="false" dt2D="false" dtr="false" t="normal">B616+1</f>
        <v>138</v>
      </c>
      <c r="C617" s="138" t="s">
        <v>177</v>
      </c>
      <c r="D617" s="138" t="s">
        <v>442</v>
      </c>
      <c r="E617" s="16" t="n">
        <f aca="false" ca="true" dt2D="false" dtr="false" t="normal">SUBTOTAL(9, F617:T617)</f>
        <v>1882425.6</v>
      </c>
      <c r="F617" s="17" t="n"/>
      <c r="G617" s="17" t="n"/>
      <c r="H617" s="17" t="n"/>
      <c r="I617" s="17" t="n"/>
      <c r="J617" s="17" t="n">
        <v>1882425.6</v>
      </c>
      <c r="K617" s="17" t="n"/>
      <c r="L617" s="17" t="n"/>
      <c r="M617" s="17" t="n"/>
      <c r="N617" s="17" t="n"/>
      <c r="O617" s="17" t="n"/>
      <c r="P617" s="17" t="n"/>
      <c r="Q617" s="17" t="n"/>
      <c r="R617" s="17" t="n"/>
      <c r="S617" s="17" t="n"/>
      <c r="T617" s="188" t="n"/>
      <c r="V617" s="241" t="n">
        <f aca="false" ca="false" dt2D="false" dtr="false" t="normal">COUNTIF(F617:Q617, "&gt;0")</f>
        <v>1</v>
      </c>
    </row>
    <row outlineLevel="0" r="618">
      <c r="A618" s="154" t="n">
        <f aca="false" ca="false" dt2D="false" dtr="false" t="normal">A617+1</f>
        <v>599</v>
      </c>
      <c r="B618" s="138" t="n">
        <f aca="false" ca="false" dt2D="false" dtr="false" t="normal">B617+1</f>
        <v>139</v>
      </c>
      <c r="C618" s="138" t="s">
        <v>177</v>
      </c>
      <c r="D618" s="138" t="s">
        <v>444</v>
      </c>
      <c r="E618" s="16" t="n">
        <f aca="false" ca="true" dt2D="false" dtr="false" t="normal">SUBTOTAL(9, F618:T618)</f>
        <v>10207701.33</v>
      </c>
      <c r="F618" s="17" t="n"/>
      <c r="G618" s="17" t="n"/>
      <c r="H618" s="17" t="n"/>
      <c r="I618" s="17" t="n"/>
      <c r="J618" s="17" t="n"/>
      <c r="K618" s="17" t="n"/>
      <c r="L618" s="17" t="n"/>
      <c r="M618" s="17" t="n"/>
      <c r="N618" s="17" t="n"/>
      <c r="O618" s="17" t="n"/>
      <c r="P618" s="17" t="n">
        <v>10207701.33</v>
      </c>
      <c r="Q618" s="17" t="n"/>
      <c r="R618" s="17" t="n"/>
      <c r="S618" s="17" t="n"/>
      <c r="T618" s="188" t="n"/>
      <c r="U618" s="341" t="n"/>
      <c r="V618" s="241" t="n">
        <f aca="false" ca="false" dt2D="false" dtr="false" t="normal">COUNTIF(F618:Q618, "&gt;0")</f>
        <v>1</v>
      </c>
      <c r="W618" s="341" t="n"/>
      <c r="X618" s="341" t="n"/>
      <c r="Y618" s="341" t="n"/>
      <c r="Z618" s="341" t="n"/>
      <c r="AA618" s="341" t="n"/>
      <c r="AB618" s="341" t="n"/>
      <c r="AC618" s="341" t="n"/>
      <c r="AD618" s="341" t="n"/>
      <c r="AE618" s="341" t="n"/>
      <c r="AF618" s="341" t="n"/>
      <c r="AG618" s="341" t="n"/>
      <c r="AH618" s="341" t="n"/>
      <c r="AI618" s="341" t="n"/>
      <c r="AJ618" s="341" t="n"/>
      <c r="AK618" s="341" t="n"/>
      <c r="AL618" s="341" t="n"/>
      <c r="AM618" s="341" t="n"/>
      <c r="AN618" s="341" t="n"/>
      <c r="AO618" s="341" t="n"/>
      <c r="AP618" s="341" t="n"/>
      <c r="AQ618" s="341" t="n"/>
      <c r="AR618" s="341" t="n"/>
      <c r="AS618" s="341" t="n"/>
      <c r="AT618" s="341" t="n"/>
      <c r="AU618" s="341" t="n"/>
      <c r="AV618" s="341" t="n"/>
      <c r="AW618" s="341" t="n"/>
      <c r="AX618" s="341" t="n"/>
      <c r="AY618" s="341" t="n"/>
      <c r="AZ618" s="341" t="n"/>
      <c r="BA618" s="341" t="n"/>
      <c r="BB618" s="341" t="n"/>
      <c r="BC618" s="341" t="n"/>
      <c r="BD618" s="341" t="n"/>
      <c r="BE618" s="341" t="n"/>
      <c r="BF618" s="341" t="n"/>
      <c r="BG618" s="341" t="n"/>
      <c r="BH618" s="341" t="n"/>
      <c r="BI618" s="341" t="n"/>
      <c r="BJ618" s="341" t="n"/>
      <c r="BK618" s="341" t="n"/>
      <c r="BL618" s="341" t="n"/>
      <c r="BM618" s="341" t="n"/>
      <c r="BN618" s="341" t="n"/>
      <c r="BO618" s="341" t="n"/>
      <c r="BP618" s="341" t="n"/>
    </row>
    <row outlineLevel="0" r="619">
      <c r="A619" s="154" t="n">
        <f aca="false" ca="false" dt2D="false" dtr="false" t="normal">A618+1</f>
        <v>600</v>
      </c>
      <c r="B619" s="138" t="n">
        <f aca="false" ca="false" dt2D="false" dtr="false" t="normal">B618+1</f>
        <v>140</v>
      </c>
      <c r="C619" s="138" t="s">
        <v>177</v>
      </c>
      <c r="D619" s="138" t="s">
        <v>328</v>
      </c>
      <c r="E619" s="16" t="n">
        <f aca="false" ca="true" dt2D="false" dtr="false" t="normal">SUBTOTAL(9, F619:T619)</f>
        <v>1228299.83</v>
      </c>
      <c r="F619" s="17" t="n"/>
      <c r="G619" s="17" t="n"/>
      <c r="H619" s="17" t="n"/>
      <c r="I619" s="17" t="n"/>
      <c r="J619" s="17" t="n"/>
      <c r="K619" s="17" t="n"/>
      <c r="L619" s="17" t="n"/>
      <c r="M619" s="17" t="n">
        <v>0</v>
      </c>
      <c r="N619" s="17" t="n"/>
      <c r="O619" s="17" t="n">
        <v>0</v>
      </c>
      <c r="P619" s="17" t="n"/>
      <c r="Q619" s="17" t="n">
        <v>1228299.83</v>
      </c>
      <c r="R619" s="17" t="n"/>
      <c r="S619" s="17" t="n"/>
      <c r="T619" s="188" t="n"/>
      <c r="V619" s="241" t="n">
        <f aca="false" ca="false" dt2D="false" dtr="false" t="normal">COUNTIF(F619:Q619, "&gt;0")</f>
        <v>1</v>
      </c>
    </row>
    <row outlineLevel="0" r="620">
      <c r="A620" s="154" t="n">
        <f aca="false" ca="false" dt2D="false" dtr="false" t="normal">A619+1</f>
        <v>601</v>
      </c>
      <c r="B620" s="138" t="n">
        <f aca="false" ca="false" dt2D="false" dtr="false" t="normal">B619+1</f>
        <v>141</v>
      </c>
      <c r="C620" s="138" t="s">
        <v>177</v>
      </c>
      <c r="D620" s="138" t="s">
        <v>330</v>
      </c>
      <c r="E620" s="342" t="n">
        <f aca="false" ca="true" dt2D="false" dtr="false" t="normal">SUBTOTAL(9, F620:T620)</f>
        <v>13021573.44</v>
      </c>
      <c r="F620" s="17" t="n">
        <v>2578640.77</v>
      </c>
      <c r="G620" s="17" t="n"/>
      <c r="H620" s="17" t="n"/>
      <c r="I620" s="17" t="n"/>
      <c r="J620" s="17" t="n"/>
      <c r="K620" s="17" t="n"/>
      <c r="L620" s="17" t="n"/>
      <c r="M620" s="17" t="n">
        <v>0</v>
      </c>
      <c r="N620" s="17" t="n">
        <v>0</v>
      </c>
      <c r="O620" s="17" t="n">
        <v>0</v>
      </c>
      <c r="P620" s="17" t="n">
        <v>10442932.67</v>
      </c>
      <c r="Q620" s="17" t="n">
        <v>0</v>
      </c>
      <c r="R620" s="17" t="n"/>
      <c r="S620" s="17" t="n"/>
      <c r="T620" s="188" t="n"/>
      <c r="V620" s="241" t="n">
        <f aca="false" ca="false" dt2D="false" dtr="false" t="normal">COUNTIF(F620:Q620, "&gt;0")</f>
        <v>2</v>
      </c>
    </row>
    <row outlineLevel="0" r="621">
      <c r="A621" s="154" t="n">
        <f aca="false" ca="false" dt2D="false" dtr="false" t="normal">A620+1</f>
        <v>602</v>
      </c>
      <c r="B621" s="138" t="n">
        <f aca="false" ca="false" dt2D="false" dtr="false" t="normal">B620+1</f>
        <v>142</v>
      </c>
      <c r="C621" s="138" t="s">
        <v>177</v>
      </c>
      <c r="D621" s="138" t="s">
        <v>324</v>
      </c>
      <c r="E621" s="342" t="n">
        <f aca="false" ca="true" dt2D="false" dtr="false" t="normal">SUBTOTAL(9, F621:T621)</f>
        <v>9486269.34</v>
      </c>
      <c r="F621" s="17" t="n"/>
      <c r="G621" s="17" t="n"/>
      <c r="H621" s="17" t="n">
        <v>0</v>
      </c>
      <c r="I621" s="17" t="n"/>
      <c r="J621" s="17" t="n"/>
      <c r="K621" s="17" t="n"/>
      <c r="L621" s="17" t="n"/>
      <c r="M621" s="17" t="n">
        <v>0</v>
      </c>
      <c r="N621" s="17" t="n">
        <v>0</v>
      </c>
      <c r="O621" s="17" t="n">
        <v>0</v>
      </c>
      <c r="P621" s="17" t="n">
        <v>9486269.34</v>
      </c>
      <c r="Q621" s="17" t="n">
        <v>0</v>
      </c>
      <c r="R621" s="17" t="n"/>
      <c r="S621" s="17" t="n"/>
      <c r="T621" s="188" t="n"/>
      <c r="V621" s="241" t="n">
        <f aca="false" ca="false" dt2D="false" dtr="false" t="normal">COUNTIF(F621:Q621, "&gt;0")</f>
        <v>1</v>
      </c>
    </row>
    <row outlineLevel="0" r="622">
      <c r="A622" s="154" t="n">
        <f aca="false" ca="false" dt2D="false" dtr="false" t="normal">A621+1</f>
        <v>603</v>
      </c>
      <c r="B622" s="138" t="n">
        <f aca="false" ca="false" dt2D="false" dtr="false" t="normal">B621+1</f>
        <v>143</v>
      </c>
      <c r="C622" s="138" t="s">
        <v>177</v>
      </c>
      <c r="D622" s="138" t="s">
        <v>450</v>
      </c>
      <c r="E622" s="342" t="n">
        <f aca="false" ca="true" dt2D="false" dtr="false" t="normal">SUBTOTAL(9, F622:T622)</f>
        <v>17001494.14</v>
      </c>
      <c r="F622" s="17" t="n">
        <v>2591376.43</v>
      </c>
      <c r="G622" s="17" t="n"/>
      <c r="H622" s="17" t="n"/>
      <c r="I622" s="17" t="n"/>
      <c r="J622" s="17" t="n"/>
      <c r="K622" s="17" t="n"/>
      <c r="L622" s="17" t="n"/>
      <c r="M622" s="17" t="n">
        <v>0</v>
      </c>
      <c r="N622" s="17" t="n">
        <v>0</v>
      </c>
      <c r="O622" s="17" t="n">
        <v>0</v>
      </c>
      <c r="P622" s="17" t="n">
        <v>14410117.71</v>
      </c>
      <c r="Q622" s="17" t="n">
        <v>0</v>
      </c>
      <c r="R622" s="17" t="n"/>
      <c r="S622" s="17" t="n"/>
      <c r="T622" s="188" t="n"/>
      <c r="V622" s="241" t="n">
        <f aca="false" ca="false" dt2D="false" dtr="false" t="normal">COUNTIF(F622:Q622, "&gt;0")</f>
        <v>2</v>
      </c>
    </row>
    <row outlineLevel="0" r="623">
      <c r="A623" s="154" t="n">
        <f aca="false" ca="false" dt2D="false" dtr="false" t="normal">A622+1</f>
        <v>604</v>
      </c>
      <c r="B623" s="138" t="n">
        <f aca="false" ca="false" dt2D="false" dtr="false" t="normal">B622+1</f>
        <v>144</v>
      </c>
      <c r="C623" s="138" t="s">
        <v>177</v>
      </c>
      <c r="D623" s="138" t="s">
        <v>327</v>
      </c>
      <c r="E623" s="342" t="n">
        <f aca="false" ca="true" dt2D="false" dtr="false" t="normal">SUBTOTAL(9, F623:T623)</f>
        <v>30628868.709999997</v>
      </c>
      <c r="F623" s="17" t="n"/>
      <c r="G623" s="17" t="n"/>
      <c r="H623" s="17" t="n">
        <v>649174.99</v>
      </c>
      <c r="I623" s="17" t="n"/>
      <c r="J623" s="17" t="n"/>
      <c r="K623" s="17" t="n"/>
      <c r="L623" s="17" t="n"/>
      <c r="M623" s="17" t="n">
        <v>0</v>
      </c>
      <c r="N623" s="17" t="n">
        <v>0</v>
      </c>
      <c r="O623" s="17" t="n">
        <v>0</v>
      </c>
      <c r="P623" s="17" t="n">
        <v>29979693.72</v>
      </c>
      <c r="Q623" s="17" t="n"/>
      <c r="R623" s="17" t="n"/>
      <c r="S623" s="17" t="n"/>
      <c r="T623" s="188" t="n"/>
      <c r="V623" s="241" t="n">
        <f aca="false" ca="false" dt2D="false" dtr="false" t="normal">COUNTIF(F623:Q623, "&gt;0")</f>
        <v>2</v>
      </c>
    </row>
    <row outlineLevel="0" r="624">
      <c r="A624" s="154" t="n">
        <f aca="false" ca="false" dt2D="false" dtr="false" t="normal">A623+1</f>
        <v>605</v>
      </c>
      <c r="B624" s="138" t="n">
        <f aca="false" ca="false" dt2D="false" dtr="false" t="normal">B623+1</f>
        <v>145</v>
      </c>
      <c r="C624" s="138" t="s">
        <v>177</v>
      </c>
      <c r="D624" s="138" t="s">
        <v>453</v>
      </c>
      <c r="E624" s="342" t="n">
        <f aca="false" ca="true" dt2D="false" dtr="false" t="normal">SUBTOTAL(9, F624:T624)</f>
        <v>5455796.6</v>
      </c>
      <c r="F624" s="17" t="n">
        <v>4023823.57</v>
      </c>
      <c r="G624" s="17" t="n"/>
      <c r="H624" s="17" t="n">
        <v>1431973.03</v>
      </c>
      <c r="I624" s="17" t="n"/>
      <c r="J624" s="17" t="n">
        <v>0</v>
      </c>
      <c r="K624" s="17" t="n"/>
      <c r="L624" s="17" t="n"/>
      <c r="M624" s="17" t="n">
        <v>0</v>
      </c>
      <c r="N624" s="17" t="n"/>
      <c r="O624" s="17" t="n"/>
      <c r="P624" s="17" t="n"/>
      <c r="Q624" s="17" t="n">
        <v>0</v>
      </c>
      <c r="R624" s="17" t="n"/>
      <c r="S624" s="17" t="n"/>
      <c r="T624" s="188" t="n"/>
      <c r="V624" s="241" t="n">
        <f aca="false" ca="false" dt2D="false" dtr="false" t="normal">COUNTIF(F624:Q624, "&gt;0")</f>
        <v>2</v>
      </c>
    </row>
    <row outlineLevel="0" r="625">
      <c r="A625" s="154" t="n">
        <f aca="false" ca="false" dt2D="false" dtr="false" t="normal">A624+1</f>
        <v>606</v>
      </c>
      <c r="B625" s="138" t="n">
        <f aca="false" ca="false" dt2D="false" dtr="false" t="normal">B624+1</f>
        <v>146</v>
      </c>
      <c r="C625" s="138" t="s">
        <v>457</v>
      </c>
      <c r="D625" s="349" t="s">
        <v>458</v>
      </c>
      <c r="E625" s="342" t="n">
        <f aca="false" ca="true" dt2D="false" dtr="false" t="normal">SUBTOTAL(9, F625:T625)</f>
        <v>8778997.04</v>
      </c>
      <c r="F625" s="17" t="n"/>
      <c r="G625" s="17" t="n"/>
      <c r="H625" s="17" t="n"/>
      <c r="I625" s="17" t="n"/>
      <c r="J625" s="17" t="n"/>
      <c r="K625" s="17" t="n"/>
      <c r="L625" s="17" t="n"/>
      <c r="M625" s="17" t="n"/>
      <c r="N625" s="17" t="n"/>
      <c r="O625" s="17" t="n"/>
      <c r="P625" s="17" t="n">
        <v>8778997.04</v>
      </c>
      <c r="Q625" s="17" t="n"/>
      <c r="R625" s="17" t="n"/>
      <c r="S625" s="17" t="n"/>
      <c r="T625" s="188" t="n"/>
      <c r="V625" s="241" t="n">
        <f aca="false" ca="false" dt2D="false" dtr="false" t="normal">COUNTIF(F625:Q625, "&gt;0")</f>
        <v>1</v>
      </c>
    </row>
    <row outlineLevel="0" r="626">
      <c r="A626" s="154" t="n">
        <f aca="false" ca="false" dt2D="false" dtr="false" t="normal">A625+1</f>
        <v>607</v>
      </c>
      <c r="B626" s="138" t="n">
        <f aca="false" ca="false" dt2D="false" dtr="false" t="normal">B625+1</f>
        <v>147</v>
      </c>
      <c r="C626" s="138" t="s">
        <v>0</v>
      </c>
      <c r="D626" s="138" t="s">
        <v>463</v>
      </c>
      <c r="E626" s="342" t="n">
        <f aca="false" ca="true" dt2D="false" dtr="false" t="normal">SUBTOTAL(9, F626:T626)</f>
        <v>356593.42</v>
      </c>
      <c r="F626" s="17" t="n"/>
      <c r="G626" s="17" t="n"/>
      <c r="H626" s="17" t="n">
        <v>356593.42</v>
      </c>
      <c r="I626" s="17" t="n"/>
      <c r="J626" s="17" t="n"/>
      <c r="K626" s="17" t="n"/>
      <c r="L626" s="17" t="n"/>
      <c r="M626" s="17" t="n">
        <v>0</v>
      </c>
      <c r="N626" s="17" t="n">
        <v>0</v>
      </c>
      <c r="O626" s="17" t="n">
        <v>0</v>
      </c>
      <c r="P626" s="17" t="n">
        <v>0</v>
      </c>
      <c r="Q626" s="17" t="n">
        <v>0</v>
      </c>
      <c r="R626" s="17" t="n"/>
      <c r="S626" s="17" t="n"/>
      <c r="T626" s="188" t="n"/>
      <c r="V626" s="241" t="n">
        <f aca="false" ca="false" dt2D="false" dtr="false" t="normal">COUNTIF(F626:Q626, "&gt;0")</f>
        <v>1</v>
      </c>
    </row>
    <row outlineLevel="0" r="627">
      <c r="A627" s="154" t="n">
        <f aca="false" ca="false" dt2D="false" dtr="false" t="normal">A626+1</f>
        <v>608</v>
      </c>
      <c r="B627" s="138" t="n">
        <f aca="false" ca="false" dt2D="false" dtr="false" t="normal">B626+1</f>
        <v>148</v>
      </c>
      <c r="C627" s="138" t="s">
        <v>42</v>
      </c>
      <c r="D627" s="138" t="s">
        <v>464</v>
      </c>
      <c r="E627" s="342" t="n">
        <f aca="false" ca="true" dt2D="false" dtr="false" t="normal">SUBTOTAL(9, F627:T627)</f>
        <v>930962.3300000001</v>
      </c>
      <c r="F627" s="17" t="n"/>
      <c r="G627" s="17" t="n">
        <v>0</v>
      </c>
      <c r="H627" s="17" t="n">
        <v>639862.65</v>
      </c>
      <c r="I627" s="17" t="n">
        <v>291099.68</v>
      </c>
      <c r="J627" s="17" t="n">
        <v>0</v>
      </c>
      <c r="K627" s="17" t="n"/>
      <c r="L627" s="17" t="n"/>
      <c r="M627" s="17" t="n">
        <v>0</v>
      </c>
      <c r="N627" s="17" t="n">
        <v>0</v>
      </c>
      <c r="O627" s="17" t="n">
        <v>0</v>
      </c>
      <c r="P627" s="17" t="n">
        <v>0</v>
      </c>
      <c r="Q627" s="17" t="n">
        <v>0</v>
      </c>
      <c r="R627" s="17" t="n"/>
      <c r="S627" s="17" t="n"/>
      <c r="T627" s="188" t="n"/>
      <c r="V627" s="241" t="n">
        <f aca="false" ca="false" dt2D="false" dtr="false" t="normal">COUNTIF(F627:Q627, "&gt;0")</f>
        <v>2</v>
      </c>
    </row>
    <row outlineLevel="0" r="628">
      <c r="A628" s="154" t="n">
        <f aca="false" ca="false" dt2D="false" dtr="false" t="normal">A627+1</f>
        <v>609</v>
      </c>
      <c r="B628" s="138" t="n">
        <f aca="false" ca="false" dt2D="false" dtr="false" t="normal">B627+1</f>
        <v>149</v>
      </c>
      <c r="C628" s="138" t="s">
        <v>42</v>
      </c>
      <c r="D628" s="138" t="s">
        <v>341</v>
      </c>
      <c r="E628" s="342" t="n">
        <f aca="false" ca="true" dt2D="false" dtr="false" t="normal">SUBTOTAL(9, F628:T628)</f>
        <v>592995.98</v>
      </c>
      <c r="F628" s="17" t="n"/>
      <c r="G628" s="17" t="n"/>
      <c r="H628" s="17" t="n">
        <v>592995.98</v>
      </c>
      <c r="I628" s="17" t="n"/>
      <c r="J628" s="17" t="n">
        <v>0</v>
      </c>
      <c r="K628" s="17" t="n"/>
      <c r="L628" s="17" t="n"/>
      <c r="M628" s="17" t="n">
        <v>0</v>
      </c>
      <c r="N628" s="17" t="n">
        <v>0</v>
      </c>
      <c r="O628" s="17" t="n">
        <v>0</v>
      </c>
      <c r="P628" s="17" t="n">
        <v>0</v>
      </c>
      <c r="Q628" s="17" t="n">
        <v>0</v>
      </c>
      <c r="R628" s="17" t="n"/>
      <c r="S628" s="17" t="n"/>
      <c r="T628" s="188" t="n"/>
      <c r="V628" s="241" t="n">
        <f aca="false" ca="false" dt2D="false" dtr="false" t="normal">COUNTIF(F628:Q628, "&gt;0")</f>
        <v>1</v>
      </c>
    </row>
    <row outlineLevel="0" r="629">
      <c r="A629" s="154" t="n">
        <f aca="false" ca="false" dt2D="false" dtr="false" t="normal">A628+1</f>
        <v>610</v>
      </c>
      <c r="B629" s="138" t="n">
        <f aca="false" ca="false" dt2D="false" dtr="false" t="normal">B628+1</f>
        <v>150</v>
      </c>
      <c r="C629" s="138" t="s">
        <v>42</v>
      </c>
      <c r="D629" s="138" t="s">
        <v>65</v>
      </c>
      <c r="E629" s="16" t="n">
        <f aca="false" ca="true" dt2D="false" dtr="false" t="normal">SUBTOTAL(9, F629:T629)</f>
        <v>994275.93</v>
      </c>
      <c r="F629" s="17" t="n"/>
      <c r="G629" s="17" t="n"/>
      <c r="H629" s="17" t="n">
        <v>994275.93</v>
      </c>
      <c r="I629" s="17" t="n"/>
      <c r="J629" s="17" t="n">
        <v>0</v>
      </c>
      <c r="K629" s="17" t="n"/>
      <c r="L629" s="17" t="n"/>
      <c r="M629" s="17" t="n">
        <v>0</v>
      </c>
      <c r="N629" s="17" t="n">
        <v>0</v>
      </c>
      <c r="O629" s="17" t="n">
        <v>0</v>
      </c>
      <c r="P629" s="17" t="n">
        <v>0</v>
      </c>
      <c r="Q629" s="17" t="n">
        <v>0</v>
      </c>
      <c r="R629" s="17" t="n"/>
      <c r="S629" s="17" t="n"/>
      <c r="T629" s="188" t="n"/>
      <c r="U629" s="341" t="n"/>
      <c r="V629" s="241" t="n">
        <f aca="false" ca="false" dt2D="false" dtr="false" t="normal">COUNTIF(F629:Q629, "&gt;0")</f>
        <v>1</v>
      </c>
      <c r="W629" s="341" t="n"/>
      <c r="X629" s="341" t="n"/>
      <c r="Y629" s="341" t="n"/>
      <c r="Z629" s="341" t="n"/>
      <c r="AA629" s="341" t="n"/>
      <c r="AB629" s="341" t="n"/>
      <c r="AC629" s="341" t="n"/>
      <c r="AD629" s="341" t="n"/>
      <c r="AE629" s="341" t="n"/>
      <c r="AF629" s="341" t="n"/>
      <c r="AG629" s="341" t="n"/>
      <c r="AH629" s="341" t="n"/>
      <c r="AI629" s="341" t="n"/>
      <c r="AJ629" s="341" t="n"/>
      <c r="AK629" s="341" t="n"/>
      <c r="AL629" s="341" t="n"/>
      <c r="AM629" s="341" t="n"/>
      <c r="AN629" s="341" t="n"/>
      <c r="AO629" s="341" t="n"/>
      <c r="AP629" s="341" t="n"/>
      <c r="AQ629" s="341" t="n"/>
      <c r="AR629" s="341" t="n"/>
      <c r="AS629" s="341" t="n"/>
      <c r="AT629" s="341" t="n"/>
      <c r="AU629" s="341" t="n"/>
      <c r="AV629" s="341" t="n"/>
      <c r="AW629" s="341" t="n"/>
      <c r="AX629" s="341" t="n"/>
      <c r="AY629" s="341" t="n"/>
      <c r="AZ629" s="341" t="n"/>
      <c r="BA629" s="341" t="n"/>
      <c r="BB629" s="341" t="n"/>
      <c r="BC629" s="341" t="n"/>
      <c r="BD629" s="341" t="n"/>
      <c r="BE629" s="341" t="n"/>
      <c r="BF629" s="341" t="n"/>
      <c r="BG629" s="341" t="n"/>
      <c r="BH629" s="341" t="n"/>
      <c r="BI629" s="341" t="n"/>
      <c r="BJ629" s="341" t="n"/>
      <c r="BK629" s="341" t="n"/>
      <c r="BL629" s="341" t="n"/>
      <c r="BM629" s="341" t="n"/>
      <c r="BN629" s="341" t="n"/>
      <c r="BO629" s="341" t="n"/>
      <c r="BP629" s="341" t="n"/>
    </row>
    <row outlineLevel="0" r="630">
      <c r="A630" s="154" t="n">
        <f aca="false" ca="false" dt2D="false" dtr="false" t="normal">A629+1</f>
        <v>611</v>
      </c>
      <c r="B630" s="138" t="n">
        <f aca="false" ca="false" dt2D="false" dtr="false" t="normal">B629+1</f>
        <v>151</v>
      </c>
      <c r="C630" s="138" t="s">
        <v>467</v>
      </c>
      <c r="D630" s="138" t="s">
        <v>468</v>
      </c>
      <c r="E630" s="342" t="n">
        <f aca="false" ca="true" dt2D="false" dtr="false" t="normal">SUBTOTAL(9, F630:T630)</f>
        <v>781118.1799999999</v>
      </c>
      <c r="F630" s="17" t="n"/>
      <c r="G630" s="17" t="n">
        <v>176147.11</v>
      </c>
      <c r="H630" s="17" t="n">
        <v>322870.37</v>
      </c>
      <c r="I630" s="17" t="n">
        <v>282100.7</v>
      </c>
      <c r="J630" s="17" t="n">
        <v>0</v>
      </c>
      <c r="K630" s="17" t="n"/>
      <c r="L630" s="17" t="n"/>
      <c r="M630" s="17" t="n">
        <v>0</v>
      </c>
      <c r="N630" s="17" t="n">
        <v>0</v>
      </c>
      <c r="O630" s="17" t="n">
        <v>0</v>
      </c>
      <c r="P630" s="17" t="n">
        <v>0</v>
      </c>
      <c r="Q630" s="17" t="n">
        <v>0</v>
      </c>
      <c r="R630" s="17" t="n"/>
      <c r="S630" s="17" t="n"/>
      <c r="T630" s="188" t="n"/>
      <c r="V630" s="241" t="n">
        <f aca="false" ca="false" dt2D="false" dtr="false" t="normal">COUNTIF(F630:Q630, "&gt;0")</f>
        <v>3</v>
      </c>
    </row>
    <row outlineLevel="0" r="631">
      <c r="A631" s="154" t="n">
        <f aca="false" ca="false" dt2D="false" dtr="false" t="normal">A630+1</f>
        <v>612</v>
      </c>
      <c r="B631" s="138" t="n">
        <f aca="false" ca="false" dt2D="false" dtr="false" t="normal">B630+1</f>
        <v>152</v>
      </c>
      <c r="C631" s="138" t="s">
        <v>467</v>
      </c>
      <c r="D631" s="138" t="s">
        <v>469</v>
      </c>
      <c r="E631" s="342" t="n">
        <f aca="false" ca="true" dt2D="false" dtr="false" t="normal">SUBTOTAL(9, F631:T631)</f>
        <v>739321.72</v>
      </c>
      <c r="F631" s="17" t="n"/>
      <c r="G631" s="17" t="n">
        <v>739321.72</v>
      </c>
      <c r="H631" s="17" t="n">
        <v>0</v>
      </c>
      <c r="I631" s="17" t="n">
        <v>0</v>
      </c>
      <c r="J631" s="17" t="n">
        <v>0</v>
      </c>
      <c r="K631" s="17" t="n"/>
      <c r="L631" s="17" t="n"/>
      <c r="M631" s="17" t="n">
        <v>0</v>
      </c>
      <c r="N631" s="17" t="n"/>
      <c r="O631" s="17" t="n">
        <v>0</v>
      </c>
      <c r="P631" s="17" t="n">
        <v>0</v>
      </c>
      <c r="Q631" s="17" t="n">
        <v>0</v>
      </c>
      <c r="R631" s="17" t="n"/>
      <c r="S631" s="17" t="n"/>
      <c r="T631" s="188" t="n"/>
      <c r="V631" s="241" t="n">
        <f aca="false" ca="false" dt2D="false" dtr="false" t="normal">COUNTIF(F631:Q631, "&gt;0")</f>
        <v>1</v>
      </c>
    </row>
    <row outlineLevel="0" r="632">
      <c r="A632" s="154" t="n">
        <f aca="false" ca="false" dt2D="false" dtr="false" t="normal">A631+1</f>
        <v>613</v>
      </c>
      <c r="B632" s="138" t="n">
        <f aca="false" ca="false" dt2D="false" dtr="false" t="normal">B631+1</f>
        <v>153</v>
      </c>
      <c r="C632" s="138" t="s">
        <v>68</v>
      </c>
      <c r="D632" s="138" t="s">
        <v>470</v>
      </c>
      <c r="E632" s="342" t="n">
        <f aca="false" ca="true" dt2D="false" dtr="false" t="normal">SUBTOTAL(9, F632:T632)</f>
        <v>341993.54</v>
      </c>
      <c r="F632" s="17" t="n">
        <v>0</v>
      </c>
      <c r="G632" s="17" t="n">
        <v>0</v>
      </c>
      <c r="H632" s="17" t="n">
        <v>341993.54</v>
      </c>
      <c r="I632" s="17" t="n">
        <v>0</v>
      </c>
      <c r="J632" s="17" t="n">
        <v>0</v>
      </c>
      <c r="K632" s="17" t="n"/>
      <c r="L632" s="17" t="n"/>
      <c r="M632" s="17" t="n">
        <v>0</v>
      </c>
      <c r="N632" s="17" t="n">
        <v>0</v>
      </c>
      <c r="O632" s="17" t="n">
        <v>0</v>
      </c>
      <c r="P632" s="17" t="n">
        <v>0</v>
      </c>
      <c r="Q632" s="17" t="n">
        <v>0</v>
      </c>
      <c r="R632" s="17" t="n"/>
      <c r="S632" s="17" t="n"/>
      <c r="T632" s="188" t="n"/>
      <c r="V632" s="241" t="n">
        <f aca="false" ca="false" dt2D="false" dtr="false" t="normal">COUNTIF(F632:Q632, "&gt;0")</f>
        <v>1</v>
      </c>
    </row>
    <row outlineLevel="0" r="633">
      <c r="A633" s="154" t="n">
        <f aca="false" ca="false" dt2D="false" dtr="false" t="normal">A632+1</f>
        <v>614</v>
      </c>
      <c r="B633" s="138" t="n">
        <f aca="false" ca="false" dt2D="false" dtr="false" t="normal">B632+1</f>
        <v>154</v>
      </c>
      <c r="C633" s="138" t="s">
        <v>68</v>
      </c>
      <c r="D633" s="138" t="s">
        <v>472</v>
      </c>
      <c r="E633" s="342" t="n">
        <f aca="false" ca="true" dt2D="false" dtr="false" t="normal">SUBTOTAL(9, F633:T633)</f>
        <v>438775.96</v>
      </c>
      <c r="F633" s="17" t="n">
        <v>0</v>
      </c>
      <c r="G633" s="17" t="n">
        <v>0</v>
      </c>
      <c r="H633" s="17" t="n">
        <v>438775.96</v>
      </c>
      <c r="I633" s="17" t="n">
        <v>0</v>
      </c>
      <c r="J633" s="17" t="n">
        <v>0</v>
      </c>
      <c r="K633" s="17" t="n"/>
      <c r="L633" s="17" t="n"/>
      <c r="M633" s="17" t="n">
        <v>0</v>
      </c>
      <c r="N633" s="17" t="n">
        <v>0</v>
      </c>
      <c r="O633" s="17" t="n">
        <v>0</v>
      </c>
      <c r="P633" s="17" t="n">
        <v>0</v>
      </c>
      <c r="Q633" s="17" t="n">
        <v>0</v>
      </c>
      <c r="R633" s="17" t="n"/>
      <c r="S633" s="17" t="n"/>
      <c r="T633" s="188" t="n"/>
      <c r="V633" s="241" t="n">
        <f aca="false" ca="false" dt2D="false" dtr="false" t="normal">COUNTIF(F633:Q633, "&gt;0")</f>
        <v>1</v>
      </c>
    </row>
    <row outlineLevel="0" r="634">
      <c r="A634" s="154" t="n">
        <f aca="false" ca="false" dt2D="false" dtr="false" t="normal">A633+1</f>
        <v>615</v>
      </c>
      <c r="B634" s="138" t="n">
        <f aca="false" ca="false" dt2D="false" dtr="false" t="normal">B633+1</f>
        <v>155</v>
      </c>
      <c r="C634" s="138" t="s">
        <v>68</v>
      </c>
      <c r="D634" s="138" t="s">
        <v>73</v>
      </c>
      <c r="E634" s="16" t="n">
        <f aca="false" ca="true" dt2D="false" dtr="false" t="normal">SUBTOTAL(9, F634:T634)</f>
        <v>1652583.59</v>
      </c>
      <c r="F634" s="17" t="n">
        <v>1652583.59</v>
      </c>
      <c r="G634" s="17" t="n"/>
      <c r="H634" s="17" t="n"/>
      <c r="I634" s="17" t="n"/>
      <c r="J634" s="17" t="n">
        <v>0</v>
      </c>
      <c r="K634" s="17" t="n"/>
      <c r="L634" s="17" t="n"/>
      <c r="M634" s="17" t="n">
        <v>0</v>
      </c>
      <c r="N634" s="17" t="n"/>
      <c r="O634" s="17" t="n">
        <v>0</v>
      </c>
      <c r="P634" s="17" t="n">
        <v>0</v>
      </c>
      <c r="Q634" s="17" t="n">
        <v>0</v>
      </c>
      <c r="R634" s="17" t="n"/>
      <c r="S634" s="17" t="n"/>
      <c r="T634" s="188" t="n"/>
      <c r="V634" s="241" t="n">
        <f aca="false" ca="false" dt2D="false" dtr="false" t="normal">COUNTIF(F634:Q634, "&gt;0")</f>
        <v>1</v>
      </c>
    </row>
    <row outlineLevel="0" r="635">
      <c r="A635" s="154" t="n">
        <f aca="false" ca="false" dt2D="false" dtr="false" t="normal">A634+1</f>
        <v>616</v>
      </c>
      <c r="B635" s="138" t="n">
        <f aca="false" ca="false" dt2D="false" dtr="false" t="normal">B634+1</f>
        <v>156</v>
      </c>
      <c r="C635" s="138" t="s">
        <v>68</v>
      </c>
      <c r="D635" s="138" t="s">
        <v>474</v>
      </c>
      <c r="E635" s="342" t="n">
        <f aca="false" ca="true" dt2D="false" dtr="false" t="normal">SUBTOTAL(9, F635:T635)</f>
        <v>432298.63</v>
      </c>
      <c r="F635" s="17" t="n">
        <v>0</v>
      </c>
      <c r="G635" s="17" t="n">
        <v>0</v>
      </c>
      <c r="H635" s="17" t="n">
        <v>432298.63</v>
      </c>
      <c r="I635" s="17" t="n">
        <v>0</v>
      </c>
      <c r="J635" s="17" t="n">
        <v>0</v>
      </c>
      <c r="K635" s="17" t="n"/>
      <c r="L635" s="17" t="n"/>
      <c r="M635" s="17" t="n">
        <v>0</v>
      </c>
      <c r="N635" s="17" t="n">
        <v>0</v>
      </c>
      <c r="O635" s="17" t="n">
        <v>0</v>
      </c>
      <c r="P635" s="17" t="n">
        <v>0</v>
      </c>
      <c r="Q635" s="17" t="n">
        <v>0</v>
      </c>
      <c r="R635" s="17" t="n"/>
      <c r="S635" s="17" t="n"/>
      <c r="T635" s="188" t="n"/>
      <c r="V635" s="241" t="n">
        <f aca="false" ca="false" dt2D="false" dtr="false" t="normal">COUNTIF(F635:Q635, "&gt;0")</f>
        <v>1</v>
      </c>
    </row>
    <row outlineLevel="0" r="636">
      <c r="A636" s="154" t="n">
        <f aca="false" ca="false" dt2D="false" dtr="false" t="normal">A635+1</f>
        <v>617</v>
      </c>
      <c r="B636" s="138" t="n">
        <f aca="false" ca="false" dt2D="false" dtr="false" t="normal">B635+1</f>
        <v>157</v>
      </c>
      <c r="C636" s="138" t="s">
        <v>68</v>
      </c>
      <c r="D636" s="138" t="s">
        <v>476</v>
      </c>
      <c r="E636" s="342" t="n">
        <f aca="false" ca="true" dt2D="false" dtr="false" t="normal">SUBTOTAL(9, F636:T636)</f>
        <v>2297434.79</v>
      </c>
      <c r="F636" s="17" t="n">
        <v>0</v>
      </c>
      <c r="G636" s="17" t="n">
        <v>0</v>
      </c>
      <c r="H636" s="17" t="n"/>
      <c r="I636" s="17" t="n">
        <v>0</v>
      </c>
      <c r="J636" s="17" t="n">
        <v>0</v>
      </c>
      <c r="K636" s="17" t="n"/>
      <c r="L636" s="17" t="n"/>
      <c r="M636" s="17" t="n">
        <v>0</v>
      </c>
      <c r="N636" s="17" t="n">
        <v>0</v>
      </c>
      <c r="O636" s="17" t="n">
        <v>0</v>
      </c>
      <c r="P636" s="17" t="n">
        <v>0</v>
      </c>
      <c r="Q636" s="17" t="n">
        <v>2297434.79</v>
      </c>
      <c r="R636" s="17" t="n"/>
      <c r="S636" s="17" t="n"/>
      <c r="T636" s="188" t="n"/>
      <c r="V636" s="241" t="n">
        <f aca="false" ca="false" dt2D="false" dtr="false" t="normal">COUNTIF(F636:Q636, "&gt;0")</f>
        <v>1</v>
      </c>
    </row>
    <row outlineLevel="0" r="637">
      <c r="A637" s="154" t="n">
        <f aca="false" ca="false" dt2D="false" dtr="false" t="normal">A636+1</f>
        <v>618</v>
      </c>
      <c r="B637" s="138" t="n">
        <f aca="false" ca="false" dt2D="false" dtr="false" t="normal">B636+1</f>
        <v>158</v>
      </c>
      <c r="C637" s="138" t="s">
        <v>68</v>
      </c>
      <c r="D637" s="138" t="s">
        <v>477</v>
      </c>
      <c r="E637" s="342" t="n">
        <f aca="false" ca="true" dt2D="false" dtr="false" t="normal">SUBTOTAL(9, F637:T637)</f>
        <v>2013106.51</v>
      </c>
      <c r="F637" s="17" t="n">
        <v>0</v>
      </c>
      <c r="G637" s="17" t="n">
        <v>0</v>
      </c>
      <c r="H637" s="17" t="n">
        <v>2013106.51</v>
      </c>
      <c r="I637" s="17" t="n">
        <v>0</v>
      </c>
      <c r="J637" s="17" t="n">
        <v>0</v>
      </c>
      <c r="K637" s="17" t="n"/>
      <c r="L637" s="17" t="n"/>
      <c r="M637" s="17" t="n">
        <v>0</v>
      </c>
      <c r="N637" s="17" t="n">
        <v>0</v>
      </c>
      <c r="O637" s="17" t="n">
        <v>0</v>
      </c>
      <c r="P637" s="17" t="n">
        <v>0</v>
      </c>
      <c r="Q637" s="17" t="n">
        <v>0</v>
      </c>
      <c r="R637" s="17" t="n"/>
      <c r="S637" s="17" t="n"/>
      <c r="T637" s="188" t="n"/>
      <c r="V637" s="241" t="n">
        <f aca="false" ca="false" dt2D="false" dtr="false" t="normal">COUNTIF(F637:Q637, "&gt;0")</f>
        <v>1</v>
      </c>
    </row>
    <row outlineLevel="0" r="638">
      <c r="A638" s="154" t="n">
        <f aca="false" ca="false" dt2D="false" dtr="false" t="normal">A637+1</f>
        <v>619</v>
      </c>
      <c r="B638" s="138" t="n">
        <f aca="false" ca="false" dt2D="false" dtr="false" t="normal">B637+1</f>
        <v>159</v>
      </c>
      <c r="C638" s="138" t="s">
        <v>68</v>
      </c>
      <c r="D638" s="138" t="s">
        <v>479</v>
      </c>
      <c r="E638" s="342" t="n">
        <f aca="false" ca="true" dt2D="false" dtr="false" t="normal">SUBTOTAL(9, F638:T638)</f>
        <v>426037.94</v>
      </c>
      <c r="F638" s="17" t="n">
        <v>0</v>
      </c>
      <c r="G638" s="17" t="n">
        <v>0</v>
      </c>
      <c r="H638" s="17" t="n">
        <v>426037.94</v>
      </c>
      <c r="I638" s="17" t="n">
        <v>0</v>
      </c>
      <c r="J638" s="17" t="n">
        <v>0</v>
      </c>
      <c r="K638" s="17" t="n"/>
      <c r="L638" s="17" t="n"/>
      <c r="M638" s="17" t="n">
        <v>0</v>
      </c>
      <c r="N638" s="17" t="n">
        <v>0</v>
      </c>
      <c r="O638" s="17" t="n">
        <v>0</v>
      </c>
      <c r="P638" s="17" t="n">
        <v>0</v>
      </c>
      <c r="Q638" s="17" t="n">
        <v>0</v>
      </c>
      <c r="R638" s="17" t="n"/>
      <c r="S638" s="17" t="n"/>
      <c r="T638" s="188" t="n"/>
      <c r="V638" s="241" t="n">
        <f aca="false" ca="false" dt2D="false" dtr="false" t="normal">COUNTIF(F638:Q638, "&gt;0")</f>
        <v>1</v>
      </c>
    </row>
    <row outlineLevel="0" r="639">
      <c r="A639" s="154" t="n">
        <f aca="false" ca="false" dt2D="false" dtr="false" t="normal">A638+1</f>
        <v>620</v>
      </c>
      <c r="B639" s="138" t="n">
        <f aca="false" ca="false" dt2D="false" dtr="false" t="normal">B638+1</f>
        <v>160</v>
      </c>
      <c r="C639" s="138" t="s">
        <v>68</v>
      </c>
      <c r="D639" s="138" t="s">
        <v>480</v>
      </c>
      <c r="E639" s="342" t="n">
        <f aca="false" ca="true" dt2D="false" dtr="false" t="normal">SUBTOTAL(9, F639:T639)</f>
        <v>337207.15</v>
      </c>
      <c r="F639" s="17" t="n">
        <v>0</v>
      </c>
      <c r="G639" s="17" t="n">
        <v>0</v>
      </c>
      <c r="H639" s="17" t="n">
        <v>337207.15</v>
      </c>
      <c r="I639" s="17" t="n">
        <v>0</v>
      </c>
      <c r="J639" s="17" t="n">
        <v>0</v>
      </c>
      <c r="K639" s="17" t="n"/>
      <c r="L639" s="17" t="n"/>
      <c r="M639" s="17" t="n">
        <v>0</v>
      </c>
      <c r="N639" s="17" t="n">
        <v>0</v>
      </c>
      <c r="O639" s="17" t="n">
        <v>0</v>
      </c>
      <c r="P639" s="17" t="n">
        <v>0</v>
      </c>
      <c r="Q639" s="17" t="n">
        <v>0</v>
      </c>
      <c r="R639" s="17" t="n"/>
      <c r="S639" s="17" t="n"/>
      <c r="T639" s="188" t="n"/>
      <c r="V639" s="241" t="n">
        <f aca="false" ca="false" dt2D="false" dtr="false" t="normal">COUNTIF(F639:Q639, "&gt;0")</f>
        <v>1</v>
      </c>
    </row>
    <row outlineLevel="0" r="640">
      <c r="A640" s="154" t="n">
        <f aca="false" ca="false" dt2D="false" dtr="false" t="normal">A639+1</f>
        <v>621</v>
      </c>
      <c r="B640" s="138" t="n">
        <f aca="false" ca="false" dt2D="false" dtr="false" t="normal">B639+1</f>
        <v>161</v>
      </c>
      <c r="C640" s="138" t="s">
        <v>68</v>
      </c>
      <c r="D640" s="138" t="s">
        <v>481</v>
      </c>
      <c r="E640" s="342" t="n">
        <f aca="false" ca="true" dt2D="false" dtr="false" t="normal">SUBTOTAL(9, F640:T640)</f>
        <v>472025.63</v>
      </c>
      <c r="F640" s="17" t="n">
        <v>0</v>
      </c>
      <c r="G640" s="17" t="n">
        <v>0</v>
      </c>
      <c r="H640" s="17" t="n">
        <v>472025.63</v>
      </c>
      <c r="I640" s="17" t="n">
        <v>0</v>
      </c>
      <c r="J640" s="17" t="n">
        <v>0</v>
      </c>
      <c r="K640" s="17" t="n"/>
      <c r="L640" s="17" t="n"/>
      <c r="M640" s="17" t="n">
        <v>0</v>
      </c>
      <c r="N640" s="17" t="n">
        <v>0</v>
      </c>
      <c r="O640" s="17" t="n">
        <v>0</v>
      </c>
      <c r="P640" s="17" t="n">
        <v>0</v>
      </c>
      <c r="Q640" s="17" t="n">
        <v>0</v>
      </c>
      <c r="R640" s="17" t="n"/>
      <c r="S640" s="17" t="n"/>
      <c r="T640" s="188" t="n"/>
      <c r="V640" s="241" t="n">
        <f aca="false" ca="false" dt2D="false" dtr="false" t="normal">COUNTIF(F640:Q640, "&gt;0")</f>
        <v>1</v>
      </c>
    </row>
    <row outlineLevel="0" r="641">
      <c r="A641" s="154" t="n">
        <f aca="false" ca="false" dt2D="false" dtr="false" t="normal">A640+1</f>
        <v>622</v>
      </c>
      <c r="B641" s="138" t="n">
        <f aca="false" ca="false" dt2D="false" dtr="false" t="normal">B640+1</f>
        <v>162</v>
      </c>
      <c r="C641" s="138" t="s">
        <v>82</v>
      </c>
      <c r="D641" s="138" t="s">
        <v>482</v>
      </c>
      <c r="E641" s="16" t="n">
        <f aca="false" ca="true" dt2D="false" dtr="false" t="normal">SUBTOTAL(9, F641:T641)</f>
        <v>4711950.83</v>
      </c>
      <c r="F641" s="17" t="n">
        <v>4711950.83</v>
      </c>
      <c r="G641" s="17" t="n"/>
      <c r="H641" s="17" t="n"/>
      <c r="I641" s="17" t="n"/>
      <c r="J641" s="17" t="n">
        <v>0</v>
      </c>
      <c r="K641" s="17" t="n"/>
      <c r="L641" s="17" t="n"/>
      <c r="M641" s="17" t="n">
        <v>0</v>
      </c>
      <c r="N641" s="17" t="n">
        <v>0</v>
      </c>
      <c r="O641" s="17" t="n">
        <v>0</v>
      </c>
      <c r="P641" s="17" t="n">
        <v>0</v>
      </c>
      <c r="Q641" s="17" t="n">
        <v>0</v>
      </c>
      <c r="R641" s="17" t="n"/>
      <c r="S641" s="17" t="n"/>
      <c r="T641" s="188" t="n"/>
      <c r="V641" s="241" t="n">
        <f aca="false" ca="false" dt2D="false" dtr="false" t="normal">COUNTIF(F641:Q641, "&gt;0")</f>
        <v>1</v>
      </c>
    </row>
    <row outlineLevel="0" r="642">
      <c r="A642" s="154" t="n">
        <f aca="false" ca="false" dt2D="false" dtr="false" t="normal">A641+1</f>
        <v>623</v>
      </c>
      <c r="B642" s="138" t="n">
        <f aca="false" ca="false" dt2D="false" dtr="false" t="normal">B641+1</f>
        <v>163</v>
      </c>
      <c r="C642" s="138" t="s">
        <v>82</v>
      </c>
      <c r="D642" s="138" t="s">
        <v>483</v>
      </c>
      <c r="E642" s="16" t="n">
        <f aca="false" ca="true" dt2D="false" dtr="false" t="normal">SUBTOTAL(9, F642:T642)</f>
        <v>2252096.81</v>
      </c>
      <c r="F642" s="17" t="n">
        <v>0</v>
      </c>
      <c r="G642" s="17" t="n">
        <v>0</v>
      </c>
      <c r="H642" s="17" t="n">
        <v>2252096.81</v>
      </c>
      <c r="I642" s="17" t="n"/>
      <c r="J642" s="17" t="n">
        <v>0</v>
      </c>
      <c r="K642" s="17" t="n"/>
      <c r="L642" s="17" t="n"/>
      <c r="M642" s="17" t="n">
        <v>0</v>
      </c>
      <c r="N642" s="17" t="n">
        <v>0</v>
      </c>
      <c r="O642" s="17" t="n">
        <v>0</v>
      </c>
      <c r="P642" s="17" t="n">
        <v>0</v>
      </c>
      <c r="Q642" s="17" t="n">
        <v>0</v>
      </c>
      <c r="R642" s="17" t="n"/>
      <c r="S642" s="17" t="n"/>
      <c r="T642" s="188" t="n"/>
      <c r="U642" s="341" t="n"/>
      <c r="V642" s="241" t="n">
        <f aca="false" ca="false" dt2D="false" dtr="false" t="normal">COUNTIF(F642:Q642, "&gt;0")</f>
        <v>1</v>
      </c>
      <c r="W642" s="341" t="n"/>
      <c r="X642" s="341" t="n"/>
      <c r="Y642" s="341" t="n"/>
      <c r="Z642" s="341" t="n"/>
      <c r="AA642" s="341" t="n"/>
      <c r="AB642" s="341" t="n"/>
      <c r="AC642" s="341" t="n"/>
      <c r="AD642" s="341" t="n"/>
      <c r="AE642" s="341" t="n"/>
      <c r="AF642" s="341" t="n"/>
      <c r="AG642" s="341" t="n"/>
      <c r="AH642" s="341" t="n"/>
      <c r="AI642" s="341" t="n"/>
      <c r="AJ642" s="341" t="n"/>
      <c r="AK642" s="341" t="n"/>
      <c r="AL642" s="341" t="n"/>
      <c r="AM642" s="341" t="n"/>
      <c r="AN642" s="341" t="n"/>
      <c r="AO642" s="341" t="n"/>
      <c r="AP642" s="341" t="n"/>
      <c r="AQ642" s="341" t="n"/>
      <c r="AR642" s="341" t="n"/>
      <c r="AS642" s="341" t="n"/>
      <c r="AT642" s="341" t="n"/>
      <c r="AU642" s="341" t="n"/>
      <c r="AV642" s="341" t="n"/>
      <c r="AW642" s="341" t="n"/>
      <c r="AX642" s="341" t="n"/>
      <c r="AY642" s="341" t="n"/>
      <c r="AZ642" s="341" t="n"/>
      <c r="BA642" s="341" t="n"/>
      <c r="BB642" s="341" t="n"/>
      <c r="BC642" s="341" t="n"/>
      <c r="BD642" s="341" t="n"/>
      <c r="BE642" s="341" t="n"/>
      <c r="BF642" s="341" t="n"/>
      <c r="BG642" s="341" t="n"/>
      <c r="BH642" s="341" t="n"/>
      <c r="BI642" s="341" t="n"/>
      <c r="BJ642" s="341" t="n"/>
      <c r="BK642" s="341" t="n"/>
      <c r="BL642" s="341" t="n"/>
      <c r="BM642" s="341" t="n"/>
      <c r="BN642" s="341" t="n"/>
      <c r="BO642" s="341" t="n"/>
      <c r="BP642" s="341" t="n"/>
    </row>
    <row outlineLevel="0" r="643">
      <c r="A643" s="154" t="n">
        <f aca="false" ca="false" dt2D="false" dtr="false" t="normal">A642+1</f>
        <v>624</v>
      </c>
      <c r="B643" s="138" t="n">
        <f aca="false" ca="false" dt2D="false" dtr="false" t="normal">B642+1</f>
        <v>164</v>
      </c>
      <c r="C643" s="138" t="s">
        <v>82</v>
      </c>
      <c r="D643" s="138" t="s">
        <v>485</v>
      </c>
      <c r="E643" s="16" t="n">
        <f aca="false" ca="true" dt2D="false" dtr="false" t="normal">SUBTOTAL(9, F643:T643)</f>
        <v>887392.74</v>
      </c>
      <c r="F643" s="17" t="n">
        <v>0</v>
      </c>
      <c r="G643" s="17" t="n">
        <v>0</v>
      </c>
      <c r="H643" s="17" t="n">
        <v>887392.74</v>
      </c>
      <c r="I643" s="17" t="n">
        <v>0</v>
      </c>
      <c r="J643" s="17" t="n">
        <v>0</v>
      </c>
      <c r="K643" s="17" t="n"/>
      <c r="L643" s="17" t="n"/>
      <c r="M643" s="17" t="n">
        <v>0</v>
      </c>
      <c r="N643" s="17" t="n">
        <v>0</v>
      </c>
      <c r="O643" s="17" t="n">
        <v>0</v>
      </c>
      <c r="P643" s="17" t="n">
        <v>0</v>
      </c>
      <c r="Q643" s="17" t="n">
        <v>0</v>
      </c>
      <c r="R643" s="17" t="n"/>
      <c r="S643" s="17" t="n"/>
      <c r="T643" s="188" t="n"/>
      <c r="V643" s="241" t="n">
        <f aca="false" ca="false" dt2D="false" dtr="false" t="normal">COUNTIF(F643:Q643, "&gt;0")</f>
        <v>1</v>
      </c>
    </row>
    <row outlineLevel="0" r="644">
      <c r="A644" s="154" t="n">
        <f aca="false" ca="false" dt2D="false" dtr="false" t="normal">A643+1</f>
        <v>625</v>
      </c>
      <c r="B644" s="138" t="n">
        <f aca="false" ca="false" dt2D="false" dtr="false" t="normal">B643+1</f>
        <v>165</v>
      </c>
      <c r="C644" s="138" t="s">
        <v>82</v>
      </c>
      <c r="D644" s="138" t="s">
        <v>486</v>
      </c>
      <c r="E644" s="16" t="n">
        <f aca="false" ca="true" dt2D="false" dtr="false" t="normal">SUBTOTAL(9, F644:T644)</f>
        <v>1097208.89</v>
      </c>
      <c r="F644" s="17" t="n">
        <v>0</v>
      </c>
      <c r="G644" s="17" t="n">
        <v>0</v>
      </c>
      <c r="H644" s="17" t="n">
        <v>1097208.89</v>
      </c>
      <c r="I644" s="17" t="n">
        <v>0</v>
      </c>
      <c r="J644" s="17" t="n">
        <v>0</v>
      </c>
      <c r="K644" s="17" t="n"/>
      <c r="L644" s="17" t="n"/>
      <c r="M644" s="17" t="n">
        <v>0</v>
      </c>
      <c r="N644" s="17" t="n">
        <v>0</v>
      </c>
      <c r="O644" s="17" t="n">
        <v>0</v>
      </c>
      <c r="P644" s="17" t="n">
        <v>0</v>
      </c>
      <c r="Q644" s="17" t="n">
        <v>0</v>
      </c>
      <c r="R644" s="17" t="n"/>
      <c r="S644" s="17" t="n"/>
      <c r="T644" s="188" t="n"/>
      <c r="V644" s="241" t="n">
        <f aca="false" ca="false" dt2D="false" dtr="false" t="normal">COUNTIF(F644:Q644, "&gt;0")</f>
        <v>1</v>
      </c>
    </row>
    <row outlineLevel="0" r="645">
      <c r="A645" s="154" t="n">
        <f aca="false" ca="false" dt2D="false" dtr="false" t="normal">A644+1</f>
        <v>626</v>
      </c>
      <c r="B645" s="138" t="n">
        <f aca="false" ca="false" dt2D="false" dtr="false" t="normal">B644+1</f>
        <v>166</v>
      </c>
      <c r="C645" s="138" t="s">
        <v>82</v>
      </c>
      <c r="D645" s="138" t="s">
        <v>487</v>
      </c>
      <c r="E645" s="16" t="n">
        <f aca="false" ca="true" dt2D="false" dtr="false" t="normal">SUBTOTAL(9, F645:T645)</f>
        <v>6459939.38</v>
      </c>
      <c r="F645" s="17" t="n">
        <v>0</v>
      </c>
      <c r="G645" s="17" t="n">
        <v>0</v>
      </c>
      <c r="H645" s="17" t="n">
        <v>0</v>
      </c>
      <c r="I645" s="17" t="n">
        <v>0</v>
      </c>
      <c r="J645" s="17" t="n">
        <v>0</v>
      </c>
      <c r="K645" s="17" t="n"/>
      <c r="L645" s="17" t="n"/>
      <c r="M645" s="17" t="n">
        <v>0</v>
      </c>
      <c r="N645" s="17" t="n">
        <v>6459939.38</v>
      </c>
      <c r="O645" s="17" t="n">
        <v>0</v>
      </c>
      <c r="P645" s="17" t="n">
        <v>0</v>
      </c>
      <c r="Q645" s="17" t="n">
        <v>0</v>
      </c>
      <c r="R645" s="17" t="n"/>
      <c r="S645" s="17" t="n"/>
      <c r="T645" s="188" t="n"/>
      <c r="V645" s="241" t="n">
        <f aca="false" ca="false" dt2D="false" dtr="false" t="normal">COUNTIF(F645:Q645, "&gt;0")</f>
        <v>1</v>
      </c>
    </row>
    <row outlineLevel="0" r="646">
      <c r="A646" s="154" t="n">
        <f aca="false" ca="false" dt2D="false" dtr="false" t="normal">A645+1</f>
        <v>627</v>
      </c>
      <c r="B646" s="138" t="n">
        <f aca="false" ca="false" dt2D="false" dtr="false" t="normal">B645+1</f>
        <v>167</v>
      </c>
      <c r="C646" s="138" t="s">
        <v>82</v>
      </c>
      <c r="D646" s="138" t="s">
        <v>488</v>
      </c>
      <c r="E646" s="16" t="n">
        <f aca="false" ca="true" dt2D="false" dtr="false" t="normal">SUBTOTAL(9, F646:T646)</f>
        <v>1247379.54</v>
      </c>
      <c r="F646" s="17" t="n"/>
      <c r="G646" s="17" t="n"/>
      <c r="H646" s="17" t="n">
        <v>1247379.54</v>
      </c>
      <c r="I646" s="17" t="n">
        <v>0</v>
      </c>
      <c r="J646" s="17" t="n">
        <v>0</v>
      </c>
      <c r="K646" s="17" t="n"/>
      <c r="L646" s="17" t="n"/>
      <c r="M646" s="17" t="n">
        <v>0</v>
      </c>
      <c r="N646" s="17" t="n">
        <v>0</v>
      </c>
      <c r="O646" s="17" t="n">
        <v>0</v>
      </c>
      <c r="P646" s="17" t="n"/>
      <c r="Q646" s="17" t="n">
        <v>0</v>
      </c>
      <c r="R646" s="17" t="n"/>
      <c r="S646" s="17" t="n"/>
      <c r="T646" s="188" t="n"/>
      <c r="V646" s="241" t="n">
        <f aca="false" ca="false" dt2D="false" dtr="false" t="normal">COUNTIF(F646:Q646, "&gt;0")</f>
        <v>1</v>
      </c>
    </row>
    <row outlineLevel="0" r="647">
      <c r="A647" s="154" t="n">
        <f aca="false" ca="false" dt2D="false" dtr="false" t="normal">A646+1</f>
        <v>628</v>
      </c>
      <c r="B647" s="138" t="n">
        <f aca="false" ca="false" dt2D="false" dtr="false" t="normal">B646+1</f>
        <v>168</v>
      </c>
      <c r="C647" s="138" t="s">
        <v>82</v>
      </c>
      <c r="D647" s="138" t="s">
        <v>490</v>
      </c>
      <c r="E647" s="16" t="n">
        <f aca="false" ca="true" dt2D="false" dtr="false" t="normal">SUBTOTAL(9, F647:T647)</f>
        <v>3161258.83</v>
      </c>
      <c r="F647" s="17" t="n"/>
      <c r="G647" s="17" t="n"/>
      <c r="H647" s="17" t="n"/>
      <c r="I647" s="17" t="n">
        <v>0</v>
      </c>
      <c r="J647" s="17" t="n">
        <v>0</v>
      </c>
      <c r="K647" s="17" t="n"/>
      <c r="L647" s="17" t="n"/>
      <c r="M647" s="17" t="n">
        <v>0</v>
      </c>
      <c r="N647" s="17" t="n">
        <v>3161258.83</v>
      </c>
      <c r="O647" s="17" t="n">
        <v>0</v>
      </c>
      <c r="P647" s="17" t="n"/>
      <c r="Q647" s="17" t="n">
        <v>0</v>
      </c>
      <c r="R647" s="17" t="n"/>
      <c r="S647" s="17" t="n"/>
      <c r="T647" s="188" t="n"/>
      <c r="V647" s="241" t="n">
        <f aca="false" ca="false" dt2D="false" dtr="false" t="normal">COUNTIF(F647:Q647, "&gt;0")</f>
        <v>1</v>
      </c>
    </row>
    <row outlineLevel="0" r="648">
      <c r="A648" s="154" t="n">
        <f aca="false" ca="false" dt2D="false" dtr="false" t="normal">A647+1</f>
        <v>629</v>
      </c>
      <c r="B648" s="138" t="n">
        <f aca="false" ca="false" dt2D="false" dtr="false" t="normal">B647+1</f>
        <v>169</v>
      </c>
      <c r="C648" s="138" t="s">
        <v>82</v>
      </c>
      <c r="D648" s="138" t="s">
        <v>87</v>
      </c>
      <c r="E648" s="16" t="n">
        <f aca="false" ca="true" dt2D="false" dtr="false" t="normal">SUBTOTAL(9, F648:T648)</f>
        <v>2425802.77</v>
      </c>
      <c r="F648" s="17" t="n">
        <v>0</v>
      </c>
      <c r="G648" s="17" t="n">
        <v>0</v>
      </c>
      <c r="H648" s="17" t="n">
        <v>2425802.77</v>
      </c>
      <c r="I648" s="17" t="n"/>
      <c r="J648" s="17" t="n">
        <v>0</v>
      </c>
      <c r="K648" s="17" t="n"/>
      <c r="L648" s="17" t="n"/>
      <c r="M648" s="17" t="n">
        <v>0</v>
      </c>
      <c r="N648" s="17" t="n">
        <v>0</v>
      </c>
      <c r="O648" s="17" t="n">
        <v>0</v>
      </c>
      <c r="P648" s="17" t="n">
        <v>0</v>
      </c>
      <c r="Q648" s="17" t="n">
        <v>0</v>
      </c>
      <c r="R648" s="17" t="n"/>
      <c r="S648" s="17" t="n"/>
      <c r="T648" s="188" t="n"/>
      <c r="V648" s="241" t="n">
        <f aca="false" ca="false" dt2D="false" dtr="false" t="normal">COUNTIF(F648:Q648, "&gt;0")</f>
        <v>1</v>
      </c>
    </row>
    <row outlineLevel="0" r="649">
      <c r="A649" s="154" t="n">
        <f aca="false" ca="false" dt2D="false" dtr="false" t="normal">A648+1</f>
        <v>630</v>
      </c>
      <c r="B649" s="138" t="n">
        <f aca="false" ca="false" dt2D="false" dtr="false" t="normal">B648+1</f>
        <v>170</v>
      </c>
      <c r="C649" s="138" t="s">
        <v>82</v>
      </c>
      <c r="D649" s="138" t="s">
        <v>492</v>
      </c>
      <c r="E649" s="16" t="n">
        <f aca="false" ca="true" dt2D="false" dtr="false" t="normal">SUBTOTAL(9, F649:T649)</f>
        <v>2477308.49</v>
      </c>
      <c r="F649" s="17" t="n">
        <v>0</v>
      </c>
      <c r="G649" s="17" t="n">
        <v>0</v>
      </c>
      <c r="H649" s="17" t="n">
        <v>2477308.49</v>
      </c>
      <c r="I649" s="17" t="n">
        <v>0</v>
      </c>
      <c r="J649" s="17" t="n">
        <v>0</v>
      </c>
      <c r="K649" s="17" t="n"/>
      <c r="L649" s="17" t="n"/>
      <c r="M649" s="17" t="n">
        <v>0</v>
      </c>
      <c r="N649" s="17" t="n">
        <v>0</v>
      </c>
      <c r="O649" s="17" t="n">
        <v>0</v>
      </c>
      <c r="P649" s="17" t="n">
        <v>0</v>
      </c>
      <c r="Q649" s="17" t="n">
        <v>0</v>
      </c>
      <c r="R649" s="17" t="n"/>
      <c r="S649" s="17" t="n"/>
      <c r="T649" s="188" t="n"/>
      <c r="V649" s="241" t="n">
        <f aca="false" ca="false" dt2D="false" dtr="false" t="normal">COUNTIF(F649:Q649, "&gt;0")</f>
        <v>1</v>
      </c>
    </row>
    <row outlineLevel="0" r="650">
      <c r="A650" s="154" t="n">
        <f aca="false" ca="false" dt2D="false" dtr="false" t="normal">A649+1</f>
        <v>631</v>
      </c>
      <c r="B650" s="138" t="n">
        <f aca="false" ca="false" dt2D="false" dtr="false" t="normal">B649+1</f>
        <v>171</v>
      </c>
      <c r="C650" s="138" t="s">
        <v>356</v>
      </c>
      <c r="D650" s="138" t="s">
        <v>494</v>
      </c>
      <c r="E650" s="342" t="n">
        <f aca="false" ca="true" dt2D="false" dtr="false" t="normal">SUBTOTAL(9, F650:T650)</f>
        <v>1437591.4500000002</v>
      </c>
      <c r="F650" s="17" t="n">
        <v>0</v>
      </c>
      <c r="G650" s="17" t="n">
        <v>0</v>
      </c>
      <c r="H650" s="17" t="n">
        <v>1349826.58</v>
      </c>
      <c r="I650" s="17" t="n">
        <v>0</v>
      </c>
      <c r="J650" s="17" t="n">
        <v>0</v>
      </c>
      <c r="K650" s="17" t="n"/>
      <c r="L650" s="17" t="n"/>
      <c r="M650" s="17" t="n">
        <v>0</v>
      </c>
      <c r="N650" s="17" t="n">
        <v>0</v>
      </c>
      <c r="O650" s="17" t="n"/>
      <c r="P650" s="17" t="n">
        <v>0</v>
      </c>
      <c r="Q650" s="17" t="n">
        <v>87764.87</v>
      </c>
      <c r="R650" s="17" t="n"/>
      <c r="S650" s="17" t="n"/>
      <c r="T650" s="188" t="n"/>
      <c r="V650" s="241" t="n">
        <f aca="false" ca="false" dt2D="false" dtr="false" t="normal">COUNTIF(F650:Q650, "&gt;0")</f>
        <v>2</v>
      </c>
    </row>
    <row outlineLevel="0" r="651">
      <c r="A651" s="154" t="n">
        <f aca="false" ca="false" dt2D="false" dtr="false" t="normal">A650+1</f>
        <v>632</v>
      </c>
      <c r="B651" s="138" t="n">
        <f aca="false" ca="false" dt2D="false" dtr="false" t="normal">B650+1</f>
        <v>172</v>
      </c>
      <c r="C651" s="138" t="s">
        <v>356</v>
      </c>
      <c r="D651" s="138" t="s">
        <v>495</v>
      </c>
      <c r="E651" s="342" t="n">
        <f aca="false" ca="true" dt2D="false" dtr="false" t="normal">SUBTOTAL(9, F651:T651)</f>
        <v>22620358.73</v>
      </c>
      <c r="F651" s="17" t="n"/>
      <c r="G651" s="17" t="n">
        <v>4985424.9</v>
      </c>
      <c r="H651" s="17" t="n"/>
      <c r="I651" s="17" t="n">
        <v>1839863.46</v>
      </c>
      <c r="J651" s="17" t="n">
        <v>0</v>
      </c>
      <c r="K651" s="17" t="n"/>
      <c r="L651" s="17" t="n"/>
      <c r="M651" s="17" t="n">
        <v>0</v>
      </c>
      <c r="N651" s="17" t="n">
        <v>15795070.37</v>
      </c>
      <c r="O651" s="17" t="n">
        <v>0</v>
      </c>
      <c r="P651" s="17" t="n"/>
      <c r="Q651" s="17" t="n"/>
      <c r="R651" s="17" t="n"/>
      <c r="S651" s="17" t="n"/>
      <c r="T651" s="188" t="n"/>
      <c r="V651" s="241" t="n">
        <f aca="false" ca="false" dt2D="false" dtr="false" t="normal">COUNTIF(F651:Q651, "&gt;0")</f>
        <v>3</v>
      </c>
    </row>
    <row outlineLevel="0" r="652">
      <c r="A652" s="154" t="n">
        <f aca="false" ca="false" dt2D="false" dtr="false" t="normal">A651+1</f>
        <v>633</v>
      </c>
      <c r="B652" s="138" t="n">
        <f aca="false" ca="false" dt2D="false" dtr="false" t="normal">B651+1</f>
        <v>173</v>
      </c>
      <c r="C652" s="138" t="s">
        <v>356</v>
      </c>
      <c r="D652" s="138" t="s">
        <v>360</v>
      </c>
      <c r="E652" s="342" t="n">
        <f aca="false" ca="true" dt2D="false" dtr="false" t="normal">SUBTOTAL(9, F652:T652)</f>
        <v>11157588.46</v>
      </c>
      <c r="F652" s="17" t="n"/>
      <c r="G652" s="17" t="n"/>
      <c r="H652" s="17" t="n"/>
      <c r="I652" s="17" t="n"/>
      <c r="J652" s="17" t="n"/>
      <c r="K652" s="17" t="n"/>
      <c r="L652" s="17" t="n"/>
      <c r="M652" s="17" t="n">
        <v>0</v>
      </c>
      <c r="N652" s="17" t="n">
        <v>11157588.46</v>
      </c>
      <c r="O652" s="17" t="n">
        <v>0</v>
      </c>
      <c r="P652" s="17" t="n"/>
      <c r="Q652" s="17" t="n"/>
      <c r="R652" s="17" t="n"/>
      <c r="S652" s="17" t="n"/>
      <c r="T652" s="188" t="n"/>
      <c r="V652" s="241" t="n">
        <f aca="false" ca="false" dt2D="false" dtr="false" t="normal">COUNTIF(F652:Q652, "&gt;0")</f>
        <v>1</v>
      </c>
    </row>
    <row outlineLevel="0" r="653">
      <c r="A653" s="154" t="n">
        <f aca="false" ca="false" dt2D="false" dtr="false" t="normal">A652+1</f>
        <v>634</v>
      </c>
      <c r="B653" s="138" t="n">
        <f aca="false" ca="false" dt2D="false" dtr="false" t="normal">B652+1</f>
        <v>174</v>
      </c>
      <c r="C653" s="138" t="s">
        <v>356</v>
      </c>
      <c r="D653" s="138" t="s">
        <v>498</v>
      </c>
      <c r="E653" s="342" t="n">
        <f aca="false" ca="true" dt2D="false" dtr="false" t="normal">SUBTOTAL(9, F653:T653)</f>
        <v>3750729.11</v>
      </c>
      <c r="F653" s="17" t="n">
        <v>3750729.11</v>
      </c>
      <c r="G653" s="17" t="n"/>
      <c r="H653" s="17" t="n"/>
      <c r="I653" s="17" t="n"/>
      <c r="J653" s="17" t="n">
        <v>0</v>
      </c>
      <c r="K653" s="17" t="n"/>
      <c r="L653" s="17" t="n"/>
      <c r="M653" s="17" t="n">
        <v>0</v>
      </c>
      <c r="N653" s="17" t="n"/>
      <c r="O653" s="17" t="n">
        <v>0</v>
      </c>
      <c r="P653" s="17" t="n"/>
      <c r="Q653" s="17" t="n"/>
      <c r="R653" s="17" t="n"/>
      <c r="S653" s="17" t="n"/>
      <c r="T653" s="188" t="n"/>
      <c r="V653" s="241" t="n">
        <f aca="false" ca="false" dt2D="false" dtr="false" t="normal">COUNTIF(F653:Q653, "&gt;0")</f>
        <v>1</v>
      </c>
    </row>
    <row outlineLevel="0" r="654">
      <c r="A654" s="154" t="n">
        <f aca="false" ca="false" dt2D="false" dtr="false" t="normal">A653+1</f>
        <v>635</v>
      </c>
      <c r="B654" s="138" t="n">
        <f aca="false" ca="false" dt2D="false" dtr="false" t="normal">B653+1</f>
        <v>175</v>
      </c>
      <c r="C654" s="138" t="s">
        <v>356</v>
      </c>
      <c r="D654" s="138" t="s">
        <v>500</v>
      </c>
      <c r="E654" s="342" t="n">
        <f aca="false" ca="true" dt2D="false" dtr="false" t="normal">SUBTOTAL(9, F654:T654)</f>
        <v>7999221.25</v>
      </c>
      <c r="F654" s="17" t="n"/>
      <c r="G654" s="17" t="n"/>
      <c r="H654" s="17" t="n"/>
      <c r="I654" s="17" t="n"/>
      <c r="J654" s="17" t="n">
        <v>0</v>
      </c>
      <c r="K654" s="17" t="n"/>
      <c r="L654" s="17" t="n"/>
      <c r="M654" s="17" t="n">
        <v>0</v>
      </c>
      <c r="N654" s="17" t="n"/>
      <c r="O654" s="17" t="n">
        <v>0</v>
      </c>
      <c r="P654" s="17" t="n">
        <v>7999221.25</v>
      </c>
      <c r="Q654" s="17" t="n"/>
      <c r="R654" s="17" t="n"/>
      <c r="S654" s="17" t="n"/>
      <c r="T654" s="188" t="n"/>
      <c r="V654" s="241" t="n">
        <f aca="false" ca="false" dt2D="false" dtr="false" t="normal">COUNTIF(F654:Q654, "&gt;0")</f>
        <v>1</v>
      </c>
    </row>
    <row outlineLevel="0" r="655">
      <c r="A655" s="154" t="n">
        <f aca="false" ca="false" dt2D="false" dtr="false" t="normal">A654+1</f>
        <v>636</v>
      </c>
      <c r="B655" s="138" t="n">
        <f aca="false" ca="false" dt2D="false" dtr="false" t="normal">B654+1</f>
        <v>176</v>
      </c>
      <c r="C655" s="138" t="s">
        <v>356</v>
      </c>
      <c r="D655" s="138" t="s">
        <v>502</v>
      </c>
      <c r="E655" s="342" t="n">
        <f aca="false" ca="true" dt2D="false" dtr="false" t="normal">SUBTOTAL(9, F655:T655)</f>
        <v>8347771.7</v>
      </c>
      <c r="F655" s="17" t="n"/>
      <c r="G655" s="17" t="n"/>
      <c r="H655" s="17" t="n"/>
      <c r="I655" s="17" t="n"/>
      <c r="J655" s="17" t="n">
        <v>0</v>
      </c>
      <c r="K655" s="17" t="n"/>
      <c r="L655" s="17" t="n"/>
      <c r="M655" s="17" t="n">
        <v>0</v>
      </c>
      <c r="N655" s="17" t="n"/>
      <c r="O655" s="17" t="n">
        <v>0</v>
      </c>
      <c r="P655" s="17" t="n">
        <v>8347771.7</v>
      </c>
      <c r="Q655" s="17" t="n"/>
      <c r="R655" s="17" t="n"/>
      <c r="S655" s="17" t="n"/>
      <c r="T655" s="188" t="n"/>
      <c r="V655" s="241" t="n">
        <f aca="false" ca="false" dt2D="false" dtr="false" t="normal">COUNTIF(F655:Q655, "&gt;0")</f>
        <v>1</v>
      </c>
    </row>
    <row outlineLevel="0" r="656">
      <c r="A656" s="154" t="n">
        <f aca="false" ca="false" dt2D="false" dtr="false" t="normal">A655+1</f>
        <v>637</v>
      </c>
      <c r="B656" s="138" t="n">
        <f aca="false" ca="false" dt2D="false" dtr="false" t="normal">B655+1</f>
        <v>177</v>
      </c>
      <c r="C656" s="138" t="s">
        <v>356</v>
      </c>
      <c r="D656" s="138" t="s">
        <v>504</v>
      </c>
      <c r="E656" s="342" t="n">
        <f aca="false" ca="true" dt2D="false" dtr="false" t="normal">SUBTOTAL(9, F656:T656)</f>
        <v>18936926.61</v>
      </c>
      <c r="F656" s="17" t="n">
        <v>4930681.49</v>
      </c>
      <c r="G656" s="17" t="n">
        <v>2500963.51</v>
      </c>
      <c r="H656" s="17" t="n">
        <v>1299925.64</v>
      </c>
      <c r="I656" s="17" t="n">
        <v>946486.4</v>
      </c>
      <c r="J656" s="17" t="n">
        <v>0</v>
      </c>
      <c r="K656" s="17" t="n"/>
      <c r="L656" s="17" t="n"/>
      <c r="M656" s="17" t="n">
        <v>0</v>
      </c>
      <c r="N656" s="17" t="n">
        <v>8641835.74</v>
      </c>
      <c r="O656" s="17" t="n"/>
      <c r="P656" s="17" t="n"/>
      <c r="Q656" s="17" t="n">
        <v>617033.83</v>
      </c>
      <c r="R656" s="17" t="n"/>
      <c r="S656" s="17" t="n"/>
      <c r="T656" s="188" t="n"/>
      <c r="V656" s="241" t="n">
        <f aca="false" ca="false" dt2D="false" dtr="false" t="normal">COUNTIF(F656:Q656, "&gt;0")</f>
        <v>6</v>
      </c>
    </row>
    <row outlineLevel="0" r="657">
      <c r="A657" s="154" t="n">
        <f aca="false" ca="false" dt2D="false" dtr="false" t="normal">A656+1</f>
        <v>638</v>
      </c>
      <c r="B657" s="138" t="n">
        <f aca="false" ca="false" dt2D="false" dtr="false" t="normal">B656+1</f>
        <v>178</v>
      </c>
      <c r="C657" s="138" t="s">
        <v>356</v>
      </c>
      <c r="D657" s="138" t="s">
        <v>507</v>
      </c>
      <c r="E657" s="342" t="n">
        <f aca="false" ca="true" dt2D="false" dtr="false" t="normal">SUBTOTAL(9, F657:T657)</f>
        <v>24133734.93</v>
      </c>
      <c r="F657" s="17" t="n">
        <v>6570890.96</v>
      </c>
      <c r="G657" s="17" t="n">
        <v>4107289.9</v>
      </c>
      <c r="H657" s="17" t="n">
        <v>2761050.92</v>
      </c>
      <c r="I657" s="17" t="n">
        <v>1607542.18</v>
      </c>
      <c r="J657" s="17" t="n">
        <v>0</v>
      </c>
      <c r="K657" s="17" t="n"/>
      <c r="L657" s="17" t="n"/>
      <c r="M657" s="17" t="n">
        <v>0</v>
      </c>
      <c r="N657" s="17" t="n">
        <v>8901708.08</v>
      </c>
      <c r="O657" s="17" t="n"/>
      <c r="P657" s="17" t="n"/>
      <c r="Q657" s="17" t="n">
        <v>185252.89</v>
      </c>
      <c r="R657" s="17" t="n"/>
      <c r="S657" s="17" t="n"/>
      <c r="T657" s="188" t="n"/>
      <c r="V657" s="241" t="n">
        <f aca="false" ca="false" dt2D="false" dtr="false" t="normal">COUNTIF(F657:Q657, "&gt;0")</f>
        <v>6</v>
      </c>
    </row>
    <row outlineLevel="0" r="658">
      <c r="A658" s="154" t="n">
        <f aca="false" ca="false" dt2D="false" dtr="false" t="normal">A657+1</f>
        <v>639</v>
      </c>
      <c r="B658" s="138" t="n">
        <f aca="false" ca="false" dt2D="false" dtr="false" t="normal">B657+1</f>
        <v>179</v>
      </c>
      <c r="C658" s="138" t="s">
        <v>356</v>
      </c>
      <c r="D658" s="138" t="s">
        <v>509</v>
      </c>
      <c r="E658" s="16" t="n">
        <f aca="false" ca="true" dt2D="false" dtr="false" t="normal">SUBTOTAL(9, F658:T658)</f>
        <v>1288380.9</v>
      </c>
      <c r="F658" s="17" t="n"/>
      <c r="G658" s="17" t="n"/>
      <c r="H658" s="17" t="n">
        <v>1288380.9</v>
      </c>
      <c r="I658" s="17" t="n"/>
      <c r="J658" s="17" t="n">
        <v>0</v>
      </c>
      <c r="K658" s="17" t="n"/>
      <c r="L658" s="17" t="n"/>
      <c r="M658" s="17" t="n">
        <v>0</v>
      </c>
      <c r="N658" s="17" t="n"/>
      <c r="O658" s="17" t="n">
        <v>0</v>
      </c>
      <c r="P658" s="17" t="n"/>
      <c r="Q658" s="17" t="n"/>
      <c r="R658" s="17" t="n"/>
      <c r="S658" s="17" t="n"/>
      <c r="T658" s="188" t="n"/>
      <c r="V658" s="241" t="n">
        <f aca="false" ca="false" dt2D="false" dtr="false" t="normal">COUNTIF(F658:Q658, "&gt;0")</f>
        <v>1</v>
      </c>
    </row>
    <row outlineLevel="0" r="659">
      <c r="A659" s="154" t="n">
        <f aca="false" ca="false" dt2D="false" dtr="false" t="normal">A658+1</f>
        <v>640</v>
      </c>
      <c r="B659" s="138" t="n">
        <f aca="false" ca="false" dt2D="false" dtr="false" t="normal">B658+1</f>
        <v>180</v>
      </c>
      <c r="C659" s="138" t="s">
        <v>356</v>
      </c>
      <c r="D659" s="138" t="s">
        <v>510</v>
      </c>
      <c r="E659" s="342" t="n">
        <f aca="false" ca="true" dt2D="false" dtr="false" t="normal">SUBTOTAL(9, F659:T659)</f>
        <v>9828015.81</v>
      </c>
      <c r="F659" s="17" t="n"/>
      <c r="G659" s="17" t="n"/>
      <c r="H659" s="17" t="n"/>
      <c r="I659" s="17" t="n"/>
      <c r="J659" s="17" t="n">
        <v>0</v>
      </c>
      <c r="K659" s="17" t="n"/>
      <c r="L659" s="17" t="n"/>
      <c r="M659" s="17" t="n">
        <v>0</v>
      </c>
      <c r="N659" s="17" t="n"/>
      <c r="O659" s="17" t="n">
        <v>0</v>
      </c>
      <c r="P659" s="17" t="n">
        <v>9828015.81</v>
      </c>
      <c r="Q659" s="17" t="n"/>
      <c r="R659" s="17" t="n"/>
      <c r="S659" s="17" t="n"/>
      <c r="T659" s="188" t="n"/>
      <c r="V659" s="241" t="n">
        <f aca="false" ca="false" dt2D="false" dtr="false" t="normal">COUNTIF(F659:Q659, "&gt;0")</f>
        <v>1</v>
      </c>
    </row>
    <row outlineLevel="0" r="660">
      <c r="A660" s="154" t="n">
        <f aca="false" ca="false" dt2D="false" dtr="false" t="normal">A659+1</f>
        <v>641</v>
      </c>
      <c r="B660" s="138" t="n">
        <f aca="false" ca="false" dt2D="false" dtr="false" t="normal">B659+1</f>
        <v>181</v>
      </c>
      <c r="C660" s="138" t="s">
        <v>93</v>
      </c>
      <c r="D660" s="138" t="s">
        <v>513</v>
      </c>
      <c r="E660" s="342" t="n">
        <f aca="false" ca="true" dt2D="false" dtr="false" t="normal">SUBTOTAL(9, F660:T660)</f>
        <v>6000036.89</v>
      </c>
      <c r="F660" s="17" t="n"/>
      <c r="G660" s="17" t="n"/>
      <c r="H660" s="17" t="n"/>
      <c r="I660" s="17" t="n"/>
      <c r="J660" s="17" t="n"/>
      <c r="K660" s="17" t="n"/>
      <c r="L660" s="17" t="n"/>
      <c r="M660" s="17" t="n">
        <v>5658352.89</v>
      </c>
      <c r="N660" s="17" t="n"/>
      <c r="O660" s="17" t="n"/>
      <c r="P660" s="17" t="n"/>
      <c r="Q660" s="17" t="n"/>
      <c r="R660" s="17" t="n">
        <v>256263</v>
      </c>
      <c r="S660" s="17" t="n">
        <v>85421</v>
      </c>
      <c r="T660" s="188" t="n"/>
      <c r="V660" s="241" t="n">
        <f aca="false" ca="false" dt2D="false" dtr="false" t="normal">COUNTIF(F660:Q660, "&gt;0")</f>
        <v>1</v>
      </c>
    </row>
    <row outlineLevel="0" r="661">
      <c r="A661" s="154" t="n">
        <f aca="false" ca="false" dt2D="false" dtr="false" t="normal">A660+1</f>
        <v>642</v>
      </c>
      <c r="B661" s="138" t="n">
        <f aca="false" ca="false" dt2D="false" dtr="false" t="normal">B660+1</f>
        <v>182</v>
      </c>
      <c r="C661" s="138" t="s">
        <v>93</v>
      </c>
      <c r="D661" s="138" t="s">
        <v>514</v>
      </c>
      <c r="E661" s="342" t="n">
        <f aca="false" ca="true" dt2D="false" dtr="false" t="normal">SUBTOTAL(9, F661:T661)</f>
        <v>6498674.34</v>
      </c>
      <c r="F661" s="17" t="n"/>
      <c r="G661" s="17" t="n"/>
      <c r="H661" s="17" t="n">
        <v>3308493.9</v>
      </c>
      <c r="I661" s="17" t="n"/>
      <c r="J661" s="17" t="n"/>
      <c r="K661" s="17" t="n"/>
      <c r="L661" s="17" t="n"/>
      <c r="M661" s="17" t="n">
        <v>2848496.44</v>
      </c>
      <c r="N661" s="17" t="n"/>
      <c r="O661" s="17" t="n"/>
      <c r="P661" s="17" t="n"/>
      <c r="Q661" s="17" t="n"/>
      <c r="R661" s="17" t="n">
        <v>256263</v>
      </c>
      <c r="S661" s="17" t="n">
        <v>85421</v>
      </c>
      <c r="T661" s="188" t="n"/>
      <c r="V661" s="241" t="n">
        <f aca="false" ca="false" dt2D="false" dtr="false" t="normal">COUNTIF(F661:Q661, "&gt;0")</f>
        <v>2</v>
      </c>
    </row>
    <row outlineLevel="0" r="662">
      <c r="A662" s="154" t="n">
        <f aca="false" ca="false" dt2D="false" dtr="false" t="normal">A661+1</f>
        <v>643</v>
      </c>
      <c r="B662" s="138" t="n">
        <f aca="false" ca="false" dt2D="false" dtr="false" t="normal">B661+1</f>
        <v>183</v>
      </c>
      <c r="C662" s="138" t="s">
        <v>93</v>
      </c>
      <c r="D662" s="138" t="s">
        <v>94</v>
      </c>
      <c r="E662" s="342" t="n">
        <f aca="false" ca="true" dt2D="false" dtr="false" t="normal">SUBTOTAL(9, F662:T662)</f>
        <v>40690271.54</v>
      </c>
      <c r="F662" s="17" t="n">
        <v>15222037.56</v>
      </c>
      <c r="G662" s="17" t="n">
        <v>12234264.95</v>
      </c>
      <c r="H662" s="17" t="n"/>
      <c r="I662" s="17" t="n">
        <v>7411843.32</v>
      </c>
      <c r="J662" s="17" t="n">
        <v>0</v>
      </c>
      <c r="K662" s="17" t="n"/>
      <c r="L662" s="17" t="n"/>
      <c r="M662" s="17" t="n">
        <v>5658352.88</v>
      </c>
      <c r="N662" s="17" t="n">
        <v>0</v>
      </c>
      <c r="O662" s="17" t="n">
        <v>0</v>
      </c>
      <c r="P662" s="17" t="n"/>
      <c r="Q662" s="17" t="n">
        <v>0</v>
      </c>
      <c r="R662" s="17" t="n">
        <v>126233.29</v>
      </c>
      <c r="S662" s="17" t="n">
        <v>37539.54</v>
      </c>
      <c r="T662" s="188" t="n"/>
      <c r="U662" s="12" t="n"/>
      <c r="V662" s="241" t="n">
        <f aca="false" ca="false" dt2D="false" dtr="false" t="normal">COUNTIF(F662:Q662, "&gt;0")</f>
        <v>4</v>
      </c>
    </row>
    <row outlineLevel="0" r="663">
      <c r="A663" s="154" t="n">
        <f aca="false" ca="false" dt2D="false" dtr="false" t="normal">A662+1</f>
        <v>644</v>
      </c>
      <c r="B663" s="138" t="n">
        <f aca="false" ca="false" dt2D="false" dtr="false" t="normal">B662+1</f>
        <v>184</v>
      </c>
      <c r="C663" s="138" t="s">
        <v>93</v>
      </c>
      <c r="D663" s="138" t="s">
        <v>96</v>
      </c>
      <c r="E663" s="16" t="n">
        <f aca="false" ca="true" dt2D="false" dtr="false" t="normal">SUBTOTAL(9, F663:T663)</f>
        <v>14975164.81</v>
      </c>
      <c r="F663" s="17" t="n">
        <v>14975164.81</v>
      </c>
      <c r="G663" s="17" t="n"/>
      <c r="H663" s="17" t="n"/>
      <c r="I663" s="17" t="n"/>
      <c r="J663" s="17" t="n">
        <v>0</v>
      </c>
      <c r="K663" s="17" t="n"/>
      <c r="L663" s="17" t="n"/>
      <c r="M663" s="17" t="n">
        <v>0</v>
      </c>
      <c r="N663" s="17" t="n"/>
      <c r="O663" s="17" t="n">
        <v>0</v>
      </c>
      <c r="P663" s="17" t="n"/>
      <c r="Q663" s="17" t="n"/>
      <c r="R663" s="17" t="n"/>
      <c r="S663" s="17" t="n"/>
      <c r="T663" s="188" t="n"/>
      <c r="V663" s="241" t="n">
        <f aca="false" ca="false" dt2D="false" dtr="false" t="normal">COUNTIF(F663:Q663, "&gt;0")</f>
        <v>1</v>
      </c>
    </row>
    <row outlineLevel="0" r="664">
      <c r="A664" s="154" t="n">
        <f aca="false" ca="false" dt2D="false" dtr="false" t="normal">A663+1</f>
        <v>645</v>
      </c>
      <c r="B664" s="138" t="n">
        <f aca="false" ca="false" dt2D="false" dtr="false" t="normal">B663+1</f>
        <v>185</v>
      </c>
      <c r="C664" s="138" t="s">
        <v>93</v>
      </c>
      <c r="D664" s="138" t="s">
        <v>516</v>
      </c>
      <c r="E664" s="16" t="n">
        <f aca="false" ca="true" dt2D="false" dtr="false" t="normal">SUBTOTAL(9, F664:T664)</f>
        <v>11923021.939999998</v>
      </c>
      <c r="F664" s="17" t="n">
        <v>5093944.38</v>
      </c>
      <c r="G664" s="17" t="n">
        <v>3116108.31</v>
      </c>
      <c r="H664" s="17" t="n">
        <v>1578977.96</v>
      </c>
      <c r="I664" s="17" t="n">
        <v>2133991.29</v>
      </c>
      <c r="J664" s="17" t="n">
        <v>0</v>
      </c>
      <c r="K664" s="17" t="n"/>
      <c r="L664" s="17" t="n"/>
      <c r="M664" s="17" t="n">
        <v>0</v>
      </c>
      <c r="N664" s="17" t="n"/>
      <c r="O664" s="17" t="n">
        <v>0</v>
      </c>
      <c r="P664" s="17" t="n">
        <v>0</v>
      </c>
      <c r="Q664" s="17" t="n">
        <v>0</v>
      </c>
      <c r="R664" s="17" t="n"/>
      <c r="S664" s="17" t="n"/>
      <c r="T664" s="188" t="n"/>
      <c r="V664" s="241" t="n">
        <f aca="false" ca="false" dt2D="false" dtr="false" t="normal">COUNTIF(F664:Q664, "&gt;0")</f>
        <v>4</v>
      </c>
    </row>
    <row outlineLevel="0" r="665">
      <c r="A665" s="154" t="n">
        <f aca="false" ca="false" dt2D="false" dtr="false" t="normal">A664+1</f>
        <v>646</v>
      </c>
      <c r="B665" s="138" t="n">
        <f aca="false" ca="false" dt2D="false" dtr="false" t="normal">B664+1</f>
        <v>186</v>
      </c>
      <c r="C665" s="138" t="s">
        <v>93</v>
      </c>
      <c r="D665" s="138" t="s">
        <v>517</v>
      </c>
      <c r="E665" s="342" t="n">
        <f aca="false" ca="true" dt2D="false" dtr="false" t="normal">SUBTOTAL(9, F665:T665)</f>
        <v>2750988.65</v>
      </c>
      <c r="F665" s="17" t="n">
        <v>0</v>
      </c>
      <c r="G665" s="17" t="n">
        <v>0</v>
      </c>
      <c r="H665" s="17" t="n">
        <v>0</v>
      </c>
      <c r="I665" s="17" t="n">
        <v>0</v>
      </c>
      <c r="J665" s="17" t="n">
        <v>0</v>
      </c>
      <c r="K665" s="17" t="n"/>
      <c r="L665" s="17" t="n"/>
      <c r="M665" s="17" t="n">
        <v>0</v>
      </c>
      <c r="N665" s="17" t="n">
        <v>2750988.65</v>
      </c>
      <c r="O665" s="17" t="n">
        <v>0</v>
      </c>
      <c r="P665" s="17" t="n">
        <v>0</v>
      </c>
      <c r="Q665" s="17" t="n">
        <v>0</v>
      </c>
      <c r="R665" s="17" t="n"/>
      <c r="S665" s="17" t="n"/>
      <c r="T665" s="188" t="n"/>
      <c r="V665" s="241" t="n">
        <f aca="false" ca="false" dt2D="false" dtr="false" t="normal">COUNTIF(F665:Q665, "&gt;0")</f>
        <v>1</v>
      </c>
    </row>
    <row outlineLevel="0" r="666">
      <c r="A666" s="154" t="n">
        <f aca="false" ca="false" dt2D="false" dtr="false" t="normal">A665+1</f>
        <v>647</v>
      </c>
      <c r="B666" s="138" t="n">
        <f aca="false" ca="false" dt2D="false" dtr="false" t="normal">B665+1</f>
        <v>187</v>
      </c>
      <c r="C666" s="138" t="s">
        <v>93</v>
      </c>
      <c r="D666" s="138" t="s">
        <v>518</v>
      </c>
      <c r="E666" s="16" t="n">
        <f aca="false" ca="true" dt2D="false" dtr="false" t="normal">SUBTOTAL(9, F666:T666)</f>
        <v>2948350.34</v>
      </c>
      <c r="F666" s="17" t="n">
        <v>0</v>
      </c>
      <c r="G666" s="17" t="n">
        <v>0</v>
      </c>
      <c r="H666" s="17" t="n">
        <v>0</v>
      </c>
      <c r="I666" s="17" t="n">
        <v>0</v>
      </c>
      <c r="J666" s="17" t="n">
        <v>0</v>
      </c>
      <c r="K666" s="17" t="n"/>
      <c r="L666" s="17" t="n"/>
      <c r="M666" s="17" t="n">
        <v>0</v>
      </c>
      <c r="N666" s="17" t="n">
        <v>2948350.34</v>
      </c>
      <c r="O666" s="17" t="n">
        <v>0</v>
      </c>
      <c r="P666" s="17" t="n">
        <v>0</v>
      </c>
      <c r="Q666" s="17" t="n">
        <v>0</v>
      </c>
      <c r="R666" s="17" t="n"/>
      <c r="S666" s="17" t="n"/>
      <c r="T666" s="188" t="n"/>
      <c r="V666" s="241" t="n">
        <f aca="false" ca="false" dt2D="false" dtr="false" t="normal">COUNTIF(F666:Q666, "&gt;0")</f>
        <v>1</v>
      </c>
    </row>
    <row outlineLevel="0" r="667">
      <c r="A667" s="154" t="n">
        <f aca="false" ca="false" dt2D="false" dtr="false" t="normal">A666+1</f>
        <v>648</v>
      </c>
      <c r="B667" s="138" t="n">
        <f aca="false" ca="false" dt2D="false" dtr="false" t="normal">B666+1</f>
        <v>188</v>
      </c>
      <c r="C667" s="138" t="s">
        <v>93</v>
      </c>
      <c r="D667" s="138" t="s">
        <v>520</v>
      </c>
      <c r="E667" s="342" t="n">
        <f aca="false" ca="true" dt2D="false" dtr="false" t="normal">SUBTOTAL(9, F667:T667)</f>
        <v>4773430.73</v>
      </c>
      <c r="F667" s="17" t="n">
        <v>4773430.73</v>
      </c>
      <c r="G667" s="17" t="n"/>
      <c r="H667" s="17" t="n">
        <v>0</v>
      </c>
      <c r="I667" s="17" t="n"/>
      <c r="J667" s="17" t="n">
        <v>0</v>
      </c>
      <c r="K667" s="17" t="n"/>
      <c r="L667" s="17" t="n"/>
      <c r="M667" s="17" t="n">
        <v>0</v>
      </c>
      <c r="N667" s="17" t="n"/>
      <c r="O667" s="17" t="n"/>
      <c r="P667" s="17" t="n"/>
      <c r="Q667" s="17" t="n"/>
      <c r="R667" s="17" t="n"/>
      <c r="S667" s="17" t="n"/>
      <c r="T667" s="188" t="n"/>
      <c r="V667" s="241" t="n">
        <f aca="false" ca="false" dt2D="false" dtr="false" t="normal">COUNTIF(F667:Q667, "&gt;0")</f>
        <v>1</v>
      </c>
    </row>
    <row outlineLevel="0" r="668">
      <c r="A668" s="154" t="n">
        <f aca="false" ca="false" dt2D="false" dtr="false" t="normal">A667+1</f>
        <v>649</v>
      </c>
      <c r="B668" s="138" t="n">
        <f aca="false" ca="false" dt2D="false" dtr="false" t="normal">B667+1</f>
        <v>189</v>
      </c>
      <c r="C668" s="138" t="s">
        <v>93</v>
      </c>
      <c r="D668" s="138" t="s">
        <v>519</v>
      </c>
      <c r="E668" s="342" t="n">
        <f aca="false" ca="true" dt2D="false" dtr="false" t="normal">SUBTOTAL(9, F668:T668)</f>
        <v>1457623.55</v>
      </c>
      <c r="F668" s="17" t="n"/>
      <c r="G668" s="17" t="n">
        <v>0</v>
      </c>
      <c r="H668" s="17" t="n">
        <v>1457623.55</v>
      </c>
      <c r="I668" s="17" t="n">
        <v>0</v>
      </c>
      <c r="J668" s="17" t="n">
        <v>0</v>
      </c>
      <c r="K668" s="17" t="n"/>
      <c r="L668" s="17" t="n"/>
      <c r="M668" s="17" t="n">
        <v>0</v>
      </c>
      <c r="N668" s="17" t="n"/>
      <c r="O668" s="17" t="n">
        <v>0</v>
      </c>
      <c r="P668" s="17" t="n">
        <v>0</v>
      </c>
      <c r="Q668" s="17" t="n">
        <v>0</v>
      </c>
      <c r="R668" s="17" t="n"/>
      <c r="S668" s="17" t="n"/>
      <c r="T668" s="188" t="n"/>
      <c r="V668" s="241" t="n">
        <f aca="false" ca="false" dt2D="false" dtr="false" t="normal">COUNTIF(F668:Q668, "&gt;0")</f>
        <v>1</v>
      </c>
    </row>
    <row outlineLevel="0" r="669">
      <c r="A669" s="154" t="n">
        <f aca="false" ca="false" dt2D="false" dtr="false" t="normal">A668+1</f>
        <v>650</v>
      </c>
      <c r="B669" s="138" t="n">
        <f aca="false" ca="false" dt2D="false" dtr="false" t="normal">B668+1</f>
        <v>190</v>
      </c>
      <c r="C669" s="138" t="s">
        <v>93</v>
      </c>
      <c r="D669" s="138" t="s">
        <v>521</v>
      </c>
      <c r="E669" s="342" t="n">
        <f aca="false" ca="true" dt2D="false" dtr="false" t="normal">SUBTOTAL(9, F669:T669)</f>
        <v>1424903.2</v>
      </c>
      <c r="F669" s="17" t="n"/>
      <c r="G669" s="17" t="n"/>
      <c r="H669" s="17" t="n">
        <v>1424903.2</v>
      </c>
      <c r="I669" s="17" t="n"/>
      <c r="J669" s="17" t="n">
        <v>0</v>
      </c>
      <c r="K669" s="17" t="n"/>
      <c r="L669" s="17" t="n"/>
      <c r="M669" s="17" t="n">
        <v>0</v>
      </c>
      <c r="N669" s="17" t="n"/>
      <c r="O669" s="17" t="n">
        <v>0</v>
      </c>
      <c r="P669" s="17" t="n">
        <v>0</v>
      </c>
      <c r="Q669" s="17" t="n">
        <v>0</v>
      </c>
      <c r="R669" s="17" t="n"/>
      <c r="S669" s="17" t="n"/>
      <c r="T669" s="188" t="n"/>
      <c r="V669" s="241" t="n">
        <f aca="false" ca="false" dt2D="false" dtr="false" t="normal">COUNTIF(F669:Q669, "&gt;0")</f>
        <v>1</v>
      </c>
    </row>
    <row outlineLevel="0" r="670">
      <c r="A670" s="154" t="n">
        <f aca="false" ca="false" dt2D="false" dtr="false" t="normal">A669+1</f>
        <v>651</v>
      </c>
      <c r="B670" s="138" t="n">
        <f aca="false" ca="false" dt2D="false" dtr="false" t="normal">B669+1</f>
        <v>191</v>
      </c>
      <c r="C670" s="138" t="s">
        <v>93</v>
      </c>
      <c r="D670" s="138" t="s">
        <v>101</v>
      </c>
      <c r="E670" s="16" t="n">
        <f aca="false" ca="true" dt2D="false" dtr="false" t="normal">SUBTOTAL(9, F670:T670)</f>
        <v>2172676.31</v>
      </c>
      <c r="F670" s="17" t="n"/>
      <c r="G670" s="17" t="n"/>
      <c r="H670" s="17" t="n">
        <v>2172676.31</v>
      </c>
      <c r="I670" s="17" t="n"/>
      <c r="J670" s="17" t="n">
        <v>0</v>
      </c>
      <c r="K670" s="17" t="n"/>
      <c r="L670" s="17" t="n"/>
      <c r="M670" s="17" t="n"/>
      <c r="N670" s="17" t="n"/>
      <c r="O670" s="17" t="n">
        <v>0</v>
      </c>
      <c r="P670" s="17" t="n">
        <v>0</v>
      </c>
      <c r="Q670" s="17" t="n">
        <v>0</v>
      </c>
      <c r="R670" s="17" t="n"/>
      <c r="S670" s="17" t="n"/>
      <c r="T670" s="188" t="n"/>
      <c r="V670" s="241" t="n">
        <f aca="false" ca="false" dt2D="false" dtr="false" t="normal">COUNTIF(F670:Q670, "&gt;0")</f>
        <v>1</v>
      </c>
    </row>
    <row outlineLevel="0" r="671">
      <c r="A671" s="154" t="n">
        <f aca="false" ca="false" dt2D="false" dtr="false" t="normal">A670+1</f>
        <v>652</v>
      </c>
      <c r="B671" s="138" t="n">
        <f aca="false" ca="false" dt2D="false" dtr="false" t="normal">B670+1</f>
        <v>192</v>
      </c>
      <c r="C671" s="138" t="s">
        <v>93</v>
      </c>
      <c r="D671" s="138" t="s">
        <v>103</v>
      </c>
      <c r="E671" s="16" t="n">
        <f aca="false" ca="true" dt2D="false" dtr="false" t="normal">SUBTOTAL(9, F671:T671)</f>
        <v>8186939.359999999</v>
      </c>
      <c r="F671" s="17" t="n">
        <v>5075093.56</v>
      </c>
      <c r="G671" s="17" t="n">
        <v>3111845.8</v>
      </c>
      <c r="H671" s="17" t="n"/>
      <c r="I671" s="17" t="n"/>
      <c r="J671" s="17" t="n">
        <v>0</v>
      </c>
      <c r="K671" s="17" t="n"/>
      <c r="L671" s="17" t="n"/>
      <c r="M671" s="17" t="n">
        <v>0</v>
      </c>
      <c r="N671" s="17" t="n"/>
      <c r="O671" s="17" t="n">
        <v>0</v>
      </c>
      <c r="P671" s="17" t="n">
        <v>0</v>
      </c>
      <c r="Q671" s="17" t="n"/>
      <c r="R671" s="17" t="n"/>
      <c r="S671" s="17" t="n"/>
      <c r="T671" s="188" t="n"/>
      <c r="V671" s="241" t="n">
        <f aca="false" ca="false" dt2D="false" dtr="false" t="normal">COUNTIF(F671:Q671, "&gt;0")</f>
        <v>2</v>
      </c>
    </row>
    <row outlineLevel="0" r="672">
      <c r="A672" s="154" t="n">
        <f aca="false" ca="false" dt2D="false" dtr="false" t="normal">A671+1</f>
        <v>653</v>
      </c>
      <c r="B672" s="138" t="n">
        <f aca="false" ca="false" dt2D="false" dtr="false" t="normal">B671+1</f>
        <v>193</v>
      </c>
      <c r="C672" s="138" t="s">
        <v>93</v>
      </c>
      <c r="D672" s="138" t="s">
        <v>524</v>
      </c>
      <c r="E672" s="16" t="n">
        <f aca="false" ca="true" dt2D="false" dtr="false" t="normal">SUBTOTAL(9, F672:T672)</f>
        <v>14541738.55</v>
      </c>
      <c r="F672" s="17" t="n">
        <v>8889465.07</v>
      </c>
      <c r="G672" s="17" t="n">
        <v>5652273.48</v>
      </c>
      <c r="H672" s="17" t="n"/>
      <c r="I672" s="17" t="n"/>
      <c r="J672" s="17" t="n"/>
      <c r="K672" s="17" t="n"/>
      <c r="L672" s="17" t="n"/>
      <c r="M672" s="17" t="n">
        <v>0</v>
      </c>
      <c r="N672" s="17" t="n"/>
      <c r="O672" s="17" t="n">
        <v>0</v>
      </c>
      <c r="P672" s="17" t="n">
        <v>0</v>
      </c>
      <c r="Q672" s="17" t="n"/>
      <c r="R672" s="17" t="n"/>
      <c r="S672" s="17" t="n"/>
      <c r="T672" s="188" t="n"/>
      <c r="V672" s="241" t="n">
        <f aca="false" ca="false" dt2D="false" dtr="false" t="normal">COUNTIF(F672:Q672, "&gt;0")</f>
        <v>2</v>
      </c>
    </row>
    <row outlineLevel="0" r="673">
      <c r="A673" s="154" t="n">
        <f aca="false" ca="false" dt2D="false" dtr="false" t="normal">A672+1</f>
        <v>654</v>
      </c>
      <c r="B673" s="138" t="n">
        <f aca="false" ca="false" dt2D="false" dtr="false" t="normal">B672+1</f>
        <v>194</v>
      </c>
      <c r="C673" s="138" t="s">
        <v>93</v>
      </c>
      <c r="D673" s="138" t="s">
        <v>525</v>
      </c>
      <c r="E673" s="16" t="n">
        <f aca="false" ca="true" dt2D="false" dtr="false" t="normal">SUBTOTAL(9, F673:T673)</f>
        <v>2092853.18</v>
      </c>
      <c r="F673" s="17" t="n">
        <v>2092853.18</v>
      </c>
      <c r="G673" s="17" t="n">
        <v>0</v>
      </c>
      <c r="H673" s="17" t="n">
        <v>0</v>
      </c>
      <c r="I673" s="17" t="n">
        <v>0</v>
      </c>
      <c r="J673" s="17" t="n">
        <v>0</v>
      </c>
      <c r="K673" s="17" t="n"/>
      <c r="L673" s="17" t="n"/>
      <c r="M673" s="17" t="n">
        <v>0</v>
      </c>
      <c r="N673" s="17" t="n">
        <v>0</v>
      </c>
      <c r="O673" s="17" t="n">
        <v>0</v>
      </c>
      <c r="P673" s="17" t="n">
        <v>0</v>
      </c>
      <c r="Q673" s="17" t="n">
        <v>0</v>
      </c>
      <c r="R673" s="17" t="n"/>
      <c r="S673" s="17" t="n"/>
      <c r="T673" s="188" t="n"/>
      <c r="V673" s="241" t="n">
        <f aca="false" ca="false" dt2D="false" dtr="false" t="normal">COUNTIF(F673:Q673, "&gt;0")</f>
        <v>1</v>
      </c>
    </row>
    <row outlineLevel="0" r="674">
      <c r="A674" s="154" t="n">
        <f aca="false" ca="false" dt2D="false" dtr="false" t="normal">A673+1</f>
        <v>655</v>
      </c>
      <c r="B674" s="138" t="n">
        <f aca="false" ca="false" dt2D="false" dtr="false" t="normal">B673+1</f>
        <v>195</v>
      </c>
      <c r="C674" s="138" t="s">
        <v>93</v>
      </c>
      <c r="D674" s="138" t="s">
        <v>526</v>
      </c>
      <c r="E674" s="342" t="n">
        <f aca="false" ca="true" dt2D="false" dtr="false" t="normal">SUBTOTAL(9, F674:T674)</f>
        <v>3000018.44</v>
      </c>
      <c r="F674" s="17" t="n"/>
      <c r="G674" s="17" t="n"/>
      <c r="H674" s="17" t="n"/>
      <c r="I674" s="17" t="n"/>
      <c r="J674" s="17" t="n"/>
      <c r="K674" s="17" t="n"/>
      <c r="L674" s="17" t="n"/>
      <c r="M674" s="17" t="n">
        <v>2829176.44</v>
      </c>
      <c r="N674" s="17" t="n"/>
      <c r="O674" s="17" t="n"/>
      <c r="P674" s="17" t="n"/>
      <c r="Q674" s="17" t="n"/>
      <c r="R674" s="17" t="n">
        <v>128131.5</v>
      </c>
      <c r="S674" s="17" t="n">
        <v>42710.5</v>
      </c>
      <c r="T674" s="188" t="n"/>
      <c r="V674" s="241" t="n">
        <f aca="false" ca="false" dt2D="false" dtr="false" t="normal">COUNTIF(F674:Q674, "&gt;0")</f>
        <v>1</v>
      </c>
    </row>
    <row outlineLevel="0" r="675">
      <c r="A675" s="154" t="n">
        <f aca="false" ca="false" dt2D="false" dtr="false" t="normal">A674+1</f>
        <v>656</v>
      </c>
      <c r="B675" s="138" t="n">
        <f aca="false" ca="false" dt2D="false" dtr="false" t="normal">B674+1</f>
        <v>196</v>
      </c>
      <c r="C675" s="138" t="s">
        <v>114</v>
      </c>
      <c r="D675" s="138" t="s">
        <v>395</v>
      </c>
      <c r="E675" s="16" t="n">
        <f aca="false" ca="true" dt2D="false" dtr="false" t="normal">SUBTOTAL(9, F675:T675)</f>
        <v>20201676.86</v>
      </c>
      <c r="F675" s="17" t="n">
        <v>14980596.93</v>
      </c>
      <c r="G675" s="17" t="n">
        <v>5221079.93</v>
      </c>
      <c r="H675" s="17" t="n"/>
      <c r="I675" s="17" t="n">
        <v>0</v>
      </c>
      <c r="J675" s="17" t="n">
        <v>0</v>
      </c>
      <c r="K675" s="17" t="n"/>
      <c r="L675" s="17" t="n"/>
      <c r="M675" s="17" t="n">
        <v>0</v>
      </c>
      <c r="N675" s="17" t="n"/>
      <c r="O675" s="17" t="n">
        <v>0</v>
      </c>
      <c r="P675" s="17" t="n">
        <v>0</v>
      </c>
      <c r="Q675" s="17" t="n">
        <v>0</v>
      </c>
      <c r="R675" s="17" t="n"/>
      <c r="S675" s="17" t="n"/>
      <c r="T675" s="188" t="n"/>
      <c r="V675" s="241" t="n">
        <f aca="false" ca="false" dt2D="false" dtr="false" t="normal">COUNTIF(F675:Q675, "&gt;0")</f>
        <v>2</v>
      </c>
    </row>
    <row outlineLevel="0" r="676">
      <c r="A676" s="154" t="n">
        <f aca="false" ca="false" dt2D="false" dtr="false" t="normal">A675+1</f>
        <v>657</v>
      </c>
      <c r="B676" s="138" t="n">
        <f aca="false" ca="false" dt2D="false" dtr="false" t="normal">B675+1</f>
        <v>197</v>
      </c>
      <c r="C676" s="138" t="s">
        <v>114</v>
      </c>
      <c r="D676" s="138" t="s">
        <v>529</v>
      </c>
      <c r="E676" s="342" t="n">
        <f aca="false" ca="true" dt2D="false" dtr="false" t="normal">SUBTOTAL(9, F676:T676)</f>
        <v>13955750.7</v>
      </c>
      <c r="F676" s="17" t="n"/>
      <c r="G676" s="17" t="n"/>
      <c r="H676" s="17" t="n">
        <v>0</v>
      </c>
      <c r="I676" s="17" t="n">
        <v>0</v>
      </c>
      <c r="J676" s="17" t="n">
        <v>0</v>
      </c>
      <c r="K676" s="17" t="n"/>
      <c r="L676" s="17" t="n"/>
      <c r="M676" s="17" t="n">
        <v>0</v>
      </c>
      <c r="N676" s="17" t="n">
        <v>13955750.7</v>
      </c>
      <c r="O676" s="17" t="n">
        <v>0</v>
      </c>
      <c r="P676" s="17" t="n">
        <v>0</v>
      </c>
      <c r="Q676" s="17" t="n">
        <v>0</v>
      </c>
      <c r="R676" s="17" t="n"/>
      <c r="S676" s="17" t="n"/>
      <c r="T676" s="188" t="n"/>
      <c r="V676" s="241" t="n">
        <f aca="false" ca="false" dt2D="false" dtr="false" t="normal">COUNTIF(F676:Q676, "&gt;0")</f>
        <v>1</v>
      </c>
    </row>
    <row outlineLevel="0" r="677">
      <c r="A677" s="154" t="n">
        <f aca="false" ca="false" dt2D="false" dtr="false" t="normal">A676+1</f>
        <v>658</v>
      </c>
      <c r="B677" s="138" t="n">
        <f aca="false" ca="false" dt2D="false" dtr="false" t="normal">B676+1</f>
        <v>198</v>
      </c>
      <c r="C677" s="138" t="s">
        <v>114</v>
      </c>
      <c r="D677" s="138" t="s">
        <v>531</v>
      </c>
      <c r="E677" s="16" t="n">
        <f aca="false" ca="true" dt2D="false" dtr="false" t="normal">SUBTOTAL(9, F677:T677)</f>
        <v>12032759.41</v>
      </c>
      <c r="F677" s="17" t="n">
        <v>8418964.8</v>
      </c>
      <c r="G677" s="17" t="n">
        <v>3613794.61</v>
      </c>
      <c r="H677" s="17" t="n"/>
      <c r="I677" s="17" t="n"/>
      <c r="J677" s="17" t="n"/>
      <c r="K677" s="17" t="n"/>
      <c r="L677" s="17" t="n"/>
      <c r="M677" s="17" t="n">
        <v>0</v>
      </c>
      <c r="N677" s="17" t="n"/>
      <c r="O677" s="17" t="n">
        <v>0</v>
      </c>
      <c r="P677" s="17" t="n">
        <v>0</v>
      </c>
      <c r="Q677" s="17" t="n">
        <v>0</v>
      </c>
      <c r="R677" s="17" t="n"/>
      <c r="S677" s="17" t="n"/>
      <c r="T677" s="188" t="n"/>
      <c r="V677" s="241" t="n">
        <f aca="false" ca="false" dt2D="false" dtr="false" t="normal">COUNTIF(F677:Q677, "&gt;0")</f>
        <v>2</v>
      </c>
    </row>
    <row outlineLevel="0" r="678">
      <c r="A678" s="154" t="n">
        <f aca="false" ca="false" dt2D="false" dtr="false" t="normal">A677+1</f>
        <v>659</v>
      </c>
      <c r="B678" s="138" t="n">
        <f aca="false" ca="false" dt2D="false" dtr="false" t="normal">B677+1</f>
        <v>199</v>
      </c>
      <c r="C678" s="138" t="s">
        <v>533</v>
      </c>
      <c r="D678" s="138" t="s">
        <v>534</v>
      </c>
      <c r="E678" s="16" t="n">
        <f aca="false" ca="true" dt2D="false" dtr="false" t="normal">SUBTOTAL(9, F678:T678)</f>
        <v>8636897.67</v>
      </c>
      <c r="F678" s="17" t="n">
        <v>0</v>
      </c>
      <c r="G678" s="17" t="n">
        <v>0</v>
      </c>
      <c r="H678" s="17" t="n">
        <v>0</v>
      </c>
      <c r="I678" s="17" t="n">
        <v>0</v>
      </c>
      <c r="J678" s="17" t="n">
        <v>0</v>
      </c>
      <c r="K678" s="17" t="n"/>
      <c r="L678" s="17" t="n"/>
      <c r="M678" s="17" t="n">
        <v>0</v>
      </c>
      <c r="N678" s="17" t="n">
        <v>8636897.67</v>
      </c>
      <c r="O678" s="17" t="n">
        <v>0</v>
      </c>
      <c r="P678" s="17" t="n">
        <v>0</v>
      </c>
      <c r="Q678" s="17" t="n">
        <v>0</v>
      </c>
      <c r="R678" s="17" t="n"/>
      <c r="S678" s="17" t="n"/>
      <c r="T678" s="188" t="n"/>
      <c r="V678" s="241" t="n">
        <f aca="false" ca="false" dt2D="false" dtr="false" t="normal">COUNTIF(F678:Q678, "&gt;0")</f>
        <v>1</v>
      </c>
    </row>
    <row outlineLevel="0" r="679">
      <c r="A679" s="154" t="n">
        <f aca="false" ca="false" dt2D="false" dtr="false" t="normal">A678+1</f>
        <v>660</v>
      </c>
      <c r="B679" s="138" t="n">
        <f aca="false" ca="false" dt2D="false" dtr="false" t="normal">B678+1</f>
        <v>200</v>
      </c>
      <c r="C679" s="138" t="s">
        <v>133</v>
      </c>
      <c r="D679" s="138" t="s">
        <v>535</v>
      </c>
      <c r="E679" s="16" t="n">
        <f aca="false" ca="true" dt2D="false" dtr="false" t="normal">SUBTOTAL(9, F679:T679)</f>
        <v>3048180.55</v>
      </c>
      <c r="F679" s="17" t="n">
        <v>2166569.05</v>
      </c>
      <c r="G679" s="17" t="n">
        <v>316706.14</v>
      </c>
      <c r="H679" s="17" t="n">
        <v>564905.36</v>
      </c>
      <c r="I679" s="17" t="n">
        <v>0</v>
      </c>
      <c r="J679" s="17" t="n">
        <v>0</v>
      </c>
      <c r="K679" s="17" t="n"/>
      <c r="L679" s="17" t="n"/>
      <c r="M679" s="17" t="n">
        <v>0</v>
      </c>
      <c r="N679" s="17" t="n">
        <v>0</v>
      </c>
      <c r="O679" s="17" t="n">
        <v>0</v>
      </c>
      <c r="P679" s="17" t="n">
        <v>0</v>
      </c>
      <c r="Q679" s="17" t="n">
        <v>0</v>
      </c>
      <c r="R679" s="17" t="n"/>
      <c r="S679" s="17" t="n"/>
      <c r="T679" s="188" t="n"/>
      <c r="V679" s="241" t="n">
        <f aca="false" ca="false" dt2D="false" dtr="false" t="normal">COUNTIF(F679:Q679, "&gt;0")</f>
        <v>3</v>
      </c>
    </row>
    <row outlineLevel="0" r="680">
      <c r="A680" s="154" t="n">
        <f aca="false" ca="false" dt2D="false" dtr="false" t="normal">A679+1</f>
        <v>661</v>
      </c>
      <c r="B680" s="138" t="n">
        <f aca="false" ca="false" dt2D="false" dtr="false" t="normal">B679+1</f>
        <v>201</v>
      </c>
      <c r="C680" s="138" t="s">
        <v>133</v>
      </c>
      <c r="D680" s="138" t="s">
        <v>537</v>
      </c>
      <c r="E680" s="16" t="n">
        <f aca="false" ca="true" dt2D="false" dtr="false" t="normal">SUBTOTAL(9, F680:T680)</f>
        <v>5482011.46</v>
      </c>
      <c r="F680" s="17" t="n"/>
      <c r="G680" s="17" t="n"/>
      <c r="H680" s="17" t="n"/>
      <c r="I680" s="17" t="n"/>
      <c r="J680" s="17" t="n">
        <v>0</v>
      </c>
      <c r="K680" s="17" t="n"/>
      <c r="L680" s="17" t="n"/>
      <c r="M680" s="17" t="n">
        <v>0</v>
      </c>
      <c r="N680" s="17" t="n">
        <v>0</v>
      </c>
      <c r="O680" s="17" t="n">
        <v>0</v>
      </c>
      <c r="P680" s="17" t="n">
        <v>5482011.46</v>
      </c>
      <c r="Q680" s="17" t="n">
        <v>0</v>
      </c>
      <c r="R680" s="17" t="n"/>
      <c r="S680" s="17" t="n"/>
      <c r="T680" s="188" t="n"/>
      <c r="V680" s="241" t="n">
        <f aca="false" ca="false" dt2D="false" dtr="false" t="normal">COUNTIF(F680:Q680, "&gt;0")</f>
        <v>1</v>
      </c>
    </row>
    <row outlineLevel="0" r="681">
      <c r="A681" s="154" t="n">
        <f aca="false" ca="false" dt2D="false" dtr="false" t="normal">A680+1</f>
        <v>662</v>
      </c>
      <c r="B681" s="138" t="n">
        <f aca="false" ca="false" dt2D="false" dtr="false" t="normal">B680+1</f>
        <v>202</v>
      </c>
      <c r="C681" s="138" t="s">
        <v>133</v>
      </c>
      <c r="D681" s="138" t="s">
        <v>538</v>
      </c>
      <c r="E681" s="16" t="n">
        <f aca="false" ca="true" dt2D="false" dtr="false" t="normal">SUBTOTAL(9, F681:T681)</f>
        <v>1064770.57</v>
      </c>
      <c r="F681" s="17" t="n"/>
      <c r="G681" s="17" t="n"/>
      <c r="H681" s="17" t="n">
        <v>1064770.57</v>
      </c>
      <c r="I681" s="17" t="n"/>
      <c r="J681" s="17" t="n">
        <v>0</v>
      </c>
      <c r="K681" s="17" t="n"/>
      <c r="L681" s="17" t="n"/>
      <c r="M681" s="17" t="n">
        <v>0</v>
      </c>
      <c r="N681" s="17" t="n">
        <v>0</v>
      </c>
      <c r="O681" s="17" t="n">
        <v>0</v>
      </c>
      <c r="P681" s="17" t="n">
        <v>0</v>
      </c>
      <c r="Q681" s="17" t="n">
        <v>0</v>
      </c>
      <c r="R681" s="17" t="n"/>
      <c r="S681" s="17" t="n"/>
      <c r="T681" s="188" t="n"/>
      <c r="V681" s="241" t="n">
        <f aca="false" ca="false" dt2D="false" dtr="false" t="normal">COUNTIF(F681:Q681, "&gt;0")</f>
        <v>1</v>
      </c>
    </row>
    <row outlineLevel="0" r="682">
      <c r="A682" s="154" t="n">
        <f aca="false" ca="false" dt2D="false" dtr="false" t="normal">A681+1</f>
        <v>663</v>
      </c>
      <c r="B682" s="138" t="n">
        <f aca="false" ca="false" dt2D="false" dtr="false" t="normal">B681+1</f>
        <v>203</v>
      </c>
      <c r="C682" s="138" t="s">
        <v>133</v>
      </c>
      <c r="D682" s="138" t="s">
        <v>539</v>
      </c>
      <c r="E682" s="16" t="n">
        <f aca="false" ca="true" dt2D="false" dtr="false" t="normal">SUBTOTAL(9, F682:T682)</f>
        <v>8569952.620000001</v>
      </c>
      <c r="F682" s="17" t="n">
        <v>7400420.94</v>
      </c>
      <c r="G682" s="17" t="n">
        <v>1169531.68</v>
      </c>
      <c r="H682" s="17" t="n">
        <v>0</v>
      </c>
      <c r="I682" s="17" t="n"/>
      <c r="J682" s="17" t="n">
        <v>0</v>
      </c>
      <c r="K682" s="17" t="n"/>
      <c r="L682" s="17" t="n"/>
      <c r="M682" s="17" t="n">
        <v>0</v>
      </c>
      <c r="N682" s="17" t="n">
        <v>0</v>
      </c>
      <c r="O682" s="17" t="n">
        <v>0</v>
      </c>
      <c r="P682" s="17" t="n">
        <v>0</v>
      </c>
      <c r="Q682" s="17" t="n">
        <v>0</v>
      </c>
      <c r="R682" s="17" t="n"/>
      <c r="S682" s="17" t="n"/>
      <c r="T682" s="188" t="n"/>
      <c r="V682" s="241" t="n">
        <f aca="false" ca="false" dt2D="false" dtr="false" t="normal">COUNTIF(F682:Q682, "&gt;0")</f>
        <v>2</v>
      </c>
    </row>
    <row outlineLevel="0" r="683">
      <c r="A683" s="154" t="n">
        <f aca="false" ca="false" dt2D="false" dtr="false" t="normal">A682+1</f>
        <v>664</v>
      </c>
      <c r="B683" s="138" t="n">
        <f aca="false" ca="false" dt2D="false" dtr="false" t="normal">B682+1</f>
        <v>204</v>
      </c>
      <c r="C683" s="138" t="s">
        <v>541</v>
      </c>
      <c r="D683" s="138" t="s">
        <v>542</v>
      </c>
      <c r="E683" s="342" t="n">
        <f aca="false" ca="true" dt2D="false" dtr="false" t="normal">SUBTOTAL(9, F683:T683)</f>
        <v>1901235.6</v>
      </c>
      <c r="F683" s="17" t="n"/>
      <c r="G683" s="17" t="n"/>
      <c r="H683" s="17" t="n"/>
      <c r="I683" s="17" t="n">
        <v>1901235.6</v>
      </c>
      <c r="J683" s="17" t="n"/>
      <c r="K683" s="17" t="n"/>
      <c r="L683" s="17" t="n"/>
      <c r="M683" s="17" t="n"/>
      <c r="N683" s="17" t="n"/>
      <c r="O683" s="17" t="n"/>
      <c r="P683" s="17" t="n"/>
      <c r="Q683" s="17" t="n"/>
      <c r="R683" s="17" t="n"/>
      <c r="S683" s="17" t="n"/>
      <c r="T683" s="188" t="n"/>
      <c r="V683" s="241" t="n">
        <f aca="false" ca="false" dt2D="false" dtr="false" t="normal">COUNTIF(F683:Q683, "&gt;0")</f>
        <v>1</v>
      </c>
    </row>
    <row outlineLevel="0" r="684">
      <c r="A684" s="154" t="n">
        <f aca="false" ca="false" dt2D="false" dtr="false" t="normal">A683+1</f>
        <v>665</v>
      </c>
      <c r="B684" s="138" t="n">
        <f aca="false" ca="false" dt2D="false" dtr="false" t="normal">B683+1</f>
        <v>205</v>
      </c>
      <c r="C684" s="138" t="s">
        <v>541</v>
      </c>
      <c r="D684" s="138" t="s">
        <v>544</v>
      </c>
      <c r="E684" s="342" t="n">
        <f aca="false" ca="true" dt2D="false" dtr="false" t="normal">SUBTOTAL(9, F684:T684)</f>
        <v>2844579.84</v>
      </c>
      <c r="F684" s="17" t="n"/>
      <c r="G684" s="17" t="n"/>
      <c r="H684" s="17" t="n"/>
      <c r="I684" s="17" t="n">
        <v>2844579.84</v>
      </c>
      <c r="J684" s="17" t="n"/>
      <c r="K684" s="17" t="n"/>
      <c r="L684" s="17" t="n"/>
      <c r="M684" s="17" t="n"/>
      <c r="N684" s="17" t="n"/>
      <c r="O684" s="17" t="n"/>
      <c r="P684" s="17" t="n"/>
      <c r="Q684" s="17" t="n"/>
      <c r="R684" s="17" t="n"/>
      <c r="S684" s="17" t="n"/>
      <c r="T684" s="188" t="n"/>
      <c r="V684" s="241" t="n">
        <f aca="false" ca="false" dt2D="false" dtr="false" t="normal">COUNTIF(F684:Q684, "&gt;0")</f>
        <v>1</v>
      </c>
    </row>
    <row outlineLevel="0" r="685">
      <c r="A685" s="154" t="n">
        <f aca="false" ca="false" dt2D="false" dtr="false" t="normal">A684+1</f>
        <v>666</v>
      </c>
      <c r="B685" s="138" t="n">
        <f aca="false" ca="false" dt2D="false" dtr="false" t="normal">B684+1</f>
        <v>206</v>
      </c>
      <c r="C685" s="138" t="s">
        <v>405</v>
      </c>
      <c r="D685" s="138" t="s">
        <v>547</v>
      </c>
      <c r="E685" s="16" t="n">
        <f aca="false" ca="true" dt2D="false" dtr="false" t="normal">SUBTOTAL(9, F685:T685)</f>
        <v>6370834.5</v>
      </c>
      <c r="F685" s="17" t="n">
        <v>3095717.34</v>
      </c>
      <c r="G685" s="17" t="n">
        <v>827311.2</v>
      </c>
      <c r="H685" s="17" t="n"/>
      <c r="I685" s="17" t="n">
        <v>2447805.96</v>
      </c>
      <c r="J685" s="17" t="n">
        <v>0</v>
      </c>
      <c r="K685" s="17" t="n"/>
      <c r="L685" s="17" t="n"/>
      <c r="M685" s="17" t="n"/>
      <c r="N685" s="17" t="n"/>
      <c r="O685" s="17" t="n">
        <v>0</v>
      </c>
      <c r="P685" s="17" t="n">
        <v>0</v>
      </c>
      <c r="Q685" s="17" t="n">
        <v>0</v>
      </c>
      <c r="R685" s="17" t="n"/>
      <c r="S685" s="17" t="n"/>
      <c r="T685" s="188" t="n"/>
      <c r="V685" s="241" t="n">
        <f aca="false" ca="false" dt2D="false" dtr="false" t="normal">COUNTIF(F685:Q685, "&gt;0")</f>
        <v>3</v>
      </c>
    </row>
    <row outlineLevel="0" r="686">
      <c r="A686" s="154" t="n">
        <f aca="false" ca="false" dt2D="false" dtr="false" t="normal">A685+1</f>
        <v>667</v>
      </c>
      <c r="B686" s="138" t="n">
        <f aca="false" ca="false" dt2D="false" dtr="false" t="normal">B685+1</f>
        <v>207</v>
      </c>
      <c r="C686" s="138" t="s">
        <v>405</v>
      </c>
      <c r="D686" s="138" t="s">
        <v>408</v>
      </c>
      <c r="E686" s="16" t="n">
        <f aca="false" ca="true" dt2D="false" dtr="false" t="normal">SUBTOTAL(9, F686:T686)</f>
        <v>6183525.54</v>
      </c>
      <c r="F686" s="17" t="n">
        <v>0</v>
      </c>
      <c r="G686" s="17" t="n">
        <v>0</v>
      </c>
      <c r="H686" s="17" t="n">
        <v>0</v>
      </c>
      <c r="I686" s="17" t="n">
        <v>0</v>
      </c>
      <c r="J686" s="17" t="n">
        <v>0</v>
      </c>
      <c r="K686" s="17" t="n"/>
      <c r="L686" s="17" t="n"/>
      <c r="M686" s="17" t="n">
        <v>0</v>
      </c>
      <c r="N686" s="17" t="n"/>
      <c r="O686" s="17" t="n">
        <v>0</v>
      </c>
      <c r="P686" s="17" t="n">
        <v>0</v>
      </c>
      <c r="Q686" s="17" t="n">
        <v>6183525.54</v>
      </c>
      <c r="R686" s="17" t="n"/>
      <c r="S686" s="17" t="n"/>
      <c r="T686" s="188" t="n"/>
      <c r="V686" s="241" t="n">
        <f aca="false" ca="false" dt2D="false" dtr="false" t="normal">COUNTIF(F686:Q686, "&gt;0")</f>
        <v>1</v>
      </c>
    </row>
    <row outlineLevel="0" r="687">
      <c r="A687" s="154" t="n">
        <f aca="false" ca="false" dt2D="false" dtr="false" t="normal">A686+1</f>
        <v>668</v>
      </c>
      <c r="B687" s="138" t="n">
        <f aca="false" ca="false" dt2D="false" dtr="false" t="normal">B686+1</f>
        <v>208</v>
      </c>
      <c r="C687" s="138" t="s">
        <v>549</v>
      </c>
      <c r="D687" s="138" t="s">
        <v>550</v>
      </c>
      <c r="E687" s="16" t="n">
        <f aca="false" ca="true" dt2D="false" dtr="false" t="normal">SUBTOTAL(9, F687:T687)</f>
        <v>5015755.25</v>
      </c>
      <c r="F687" s="17" t="n">
        <v>1472677.42</v>
      </c>
      <c r="G687" s="17" t="n">
        <v>710689.9</v>
      </c>
      <c r="H687" s="17" t="n">
        <v>274938.06</v>
      </c>
      <c r="I687" s="17" t="n">
        <v>418011.7</v>
      </c>
      <c r="J687" s="17" t="n">
        <v>0</v>
      </c>
      <c r="K687" s="17" t="n"/>
      <c r="L687" s="17" t="n"/>
      <c r="M687" s="17" t="n">
        <v>0</v>
      </c>
      <c r="N687" s="17" t="n"/>
      <c r="O687" s="17" t="n">
        <v>0</v>
      </c>
      <c r="P687" s="17" t="n">
        <v>2139438.17</v>
      </c>
      <c r="Q687" s="17" t="n"/>
      <c r="R687" s="17" t="n"/>
      <c r="S687" s="17" t="n"/>
      <c r="T687" s="188" t="n"/>
      <c r="V687" s="241" t="n">
        <f aca="false" ca="false" dt2D="false" dtr="false" t="normal">COUNTIF(F687:Q687, "&gt;0")</f>
        <v>5</v>
      </c>
    </row>
    <row outlineLevel="0" r="688">
      <c r="A688" s="154" t="n">
        <f aca="false" ca="false" dt2D="false" dtr="false" t="normal">A687+1</f>
        <v>669</v>
      </c>
      <c r="B688" s="138" t="n">
        <f aca="false" ca="false" dt2D="false" dtr="false" t="normal">B687+1</f>
        <v>209</v>
      </c>
      <c r="C688" s="138" t="s">
        <v>552</v>
      </c>
      <c r="D688" s="138" t="s">
        <v>553</v>
      </c>
      <c r="E688" s="342" t="n">
        <f aca="false" ca="true" dt2D="false" dtr="false" t="normal">SUBTOTAL(9, F688:T688)</f>
        <v>1320116.35</v>
      </c>
      <c r="F688" s="17" t="n">
        <v>0</v>
      </c>
      <c r="G688" s="17" t="n">
        <v>0</v>
      </c>
      <c r="H688" s="17" t="n">
        <v>0</v>
      </c>
      <c r="I688" s="17" t="n">
        <v>0</v>
      </c>
      <c r="J688" s="17" t="n">
        <v>0</v>
      </c>
      <c r="K688" s="17" t="n"/>
      <c r="L688" s="17" t="n"/>
      <c r="M688" s="17" t="n">
        <v>0</v>
      </c>
      <c r="N688" s="17" t="n">
        <v>1320116.35</v>
      </c>
      <c r="O688" s="17" t="n">
        <v>0</v>
      </c>
      <c r="P688" s="17" t="n">
        <v>0</v>
      </c>
      <c r="Q688" s="17" t="n"/>
      <c r="R688" s="17" t="n"/>
      <c r="S688" s="17" t="n"/>
      <c r="T688" s="188" t="n"/>
      <c r="V688" s="241" t="n">
        <f aca="false" ca="false" dt2D="false" dtr="false" t="normal">COUNTIF(F688:Q688, "&gt;0")</f>
        <v>1</v>
      </c>
    </row>
    <row outlineLevel="0" r="689">
      <c r="A689" s="154" t="n">
        <f aca="false" ca="false" dt2D="false" dtr="false" t="normal">A688+1</f>
        <v>670</v>
      </c>
      <c r="B689" s="138" t="n">
        <f aca="false" ca="false" dt2D="false" dtr="false" t="normal">B688+1</f>
        <v>210</v>
      </c>
      <c r="C689" s="138" t="s">
        <v>552</v>
      </c>
      <c r="D689" s="138" t="s">
        <v>556</v>
      </c>
      <c r="E689" s="16" t="n">
        <f aca="false" ca="true" dt2D="false" dtr="false" t="normal">SUBTOTAL(9, F689:T689)</f>
        <v>5596483.33</v>
      </c>
      <c r="F689" s="17" t="n">
        <v>710185.51</v>
      </c>
      <c r="G689" s="17" t="n">
        <v>0</v>
      </c>
      <c r="H689" s="17" t="n">
        <v>0</v>
      </c>
      <c r="I689" s="17" t="n">
        <v>391579.08</v>
      </c>
      <c r="J689" s="17" t="n">
        <v>0</v>
      </c>
      <c r="K689" s="17" t="n"/>
      <c r="L689" s="17" t="n"/>
      <c r="M689" s="17" t="n">
        <v>0</v>
      </c>
      <c r="N689" s="17" t="n">
        <v>1367704.78</v>
      </c>
      <c r="O689" s="17" t="n">
        <v>0</v>
      </c>
      <c r="P689" s="17" t="n">
        <v>3127013.96</v>
      </c>
      <c r="Q689" s="17" t="n">
        <v>0</v>
      </c>
      <c r="R689" s="17" t="n"/>
      <c r="S689" s="17" t="n"/>
      <c r="T689" s="188" t="n"/>
      <c r="V689" s="241" t="n">
        <f aca="false" ca="false" dt2D="false" dtr="false" t="normal">COUNTIF(F689:Q689, "&gt;0")</f>
        <v>4</v>
      </c>
    </row>
    <row outlineLevel="0" r="690">
      <c r="A690" s="154" t="n">
        <f aca="false" ca="false" dt2D="false" dtr="false" t="normal">A689+1</f>
        <v>671</v>
      </c>
      <c r="B690" s="138" t="n">
        <f aca="false" ca="false" dt2D="false" dtr="false" t="normal">B689+1</f>
        <v>211</v>
      </c>
      <c r="C690" s="138" t="s">
        <v>552</v>
      </c>
      <c r="D690" s="138" t="s">
        <v>557</v>
      </c>
      <c r="E690" s="342" t="n">
        <f aca="false" ca="true" dt2D="false" dtr="false" t="normal">SUBTOTAL(9, F690:T690)</f>
        <v>333999.73</v>
      </c>
      <c r="F690" s="17" t="n">
        <v>0</v>
      </c>
      <c r="G690" s="17" t="n">
        <v>0</v>
      </c>
      <c r="H690" s="17" t="n"/>
      <c r="I690" s="17" t="n">
        <v>0</v>
      </c>
      <c r="J690" s="17" t="n">
        <v>0</v>
      </c>
      <c r="K690" s="17" t="n"/>
      <c r="L690" s="17" t="n"/>
      <c r="M690" s="17" t="n">
        <v>0</v>
      </c>
      <c r="N690" s="17" t="n">
        <v>0</v>
      </c>
      <c r="O690" s="17" t="n">
        <v>0</v>
      </c>
      <c r="P690" s="17" t="n">
        <v>333999.73</v>
      </c>
      <c r="Q690" s="17" t="n">
        <v>0</v>
      </c>
      <c r="R690" s="17" t="n"/>
      <c r="S690" s="17" t="n"/>
      <c r="T690" s="188" t="n"/>
      <c r="V690" s="241" t="n">
        <f aca="false" ca="false" dt2D="false" dtr="false" t="normal">COUNTIF(F690:Q690, "&gt;0")</f>
        <v>1</v>
      </c>
    </row>
    <row outlineLevel="0" r="691">
      <c r="A691" s="154" t="n">
        <f aca="false" ca="false" dt2D="false" dtr="false" t="normal">A690+1</f>
        <v>672</v>
      </c>
      <c r="B691" s="138" t="n">
        <f aca="false" ca="false" dt2D="false" dtr="false" t="normal">B690+1</f>
        <v>212</v>
      </c>
      <c r="C691" s="138" t="s">
        <v>552</v>
      </c>
      <c r="D691" s="138" t="s">
        <v>558</v>
      </c>
      <c r="E691" s="342" t="n">
        <f aca="false" ca="true" dt2D="false" dtr="false" t="normal">SUBTOTAL(9, F691:T691)</f>
        <v>6025508.04</v>
      </c>
      <c r="F691" s="17" t="n"/>
      <c r="G691" s="17" t="n">
        <v>0</v>
      </c>
      <c r="H691" s="17" t="n"/>
      <c r="I691" s="17" t="n"/>
      <c r="J691" s="17" t="n">
        <v>0</v>
      </c>
      <c r="K691" s="17" t="n"/>
      <c r="L691" s="17" t="n"/>
      <c r="M691" s="17" t="n">
        <v>0</v>
      </c>
      <c r="N691" s="17" t="n"/>
      <c r="O691" s="17" t="n">
        <v>0</v>
      </c>
      <c r="P691" s="17" t="n">
        <v>6025508.04</v>
      </c>
      <c r="Q691" s="17" t="n"/>
      <c r="R691" s="17" t="n"/>
      <c r="S691" s="17" t="n"/>
      <c r="T691" s="188" t="n"/>
      <c r="V691" s="241" t="n">
        <f aca="false" ca="false" dt2D="false" dtr="false" t="normal">COUNTIF(F691:Q691, "&gt;0")</f>
        <v>1</v>
      </c>
    </row>
    <row outlineLevel="0" r="692">
      <c r="A692" s="154" t="n">
        <f aca="false" ca="false" dt2D="false" dtr="false" t="normal">A691+1</f>
        <v>673</v>
      </c>
      <c r="B692" s="138" t="n">
        <f aca="false" ca="false" dt2D="false" dtr="false" t="normal">B691+1</f>
        <v>213</v>
      </c>
      <c r="C692" s="138" t="s">
        <v>552</v>
      </c>
      <c r="D692" s="138" t="s">
        <v>559</v>
      </c>
      <c r="E692" s="342" t="n">
        <f aca="false" ca="true" dt2D="false" dtr="false" t="normal">SUBTOTAL(9, F692:T692)</f>
        <v>5444265.84</v>
      </c>
      <c r="F692" s="17" t="n">
        <v>643642.56</v>
      </c>
      <c r="G692" s="17" t="n">
        <v>0</v>
      </c>
      <c r="H692" s="17" t="n">
        <v>0</v>
      </c>
      <c r="I692" s="17" t="n"/>
      <c r="J692" s="17" t="n">
        <v>0</v>
      </c>
      <c r="K692" s="17" t="n"/>
      <c r="L692" s="17" t="n"/>
      <c r="M692" s="17" t="n">
        <v>0</v>
      </c>
      <c r="N692" s="17" t="n">
        <v>1495444.76</v>
      </c>
      <c r="O692" s="17" t="n">
        <v>0</v>
      </c>
      <c r="P692" s="17" t="n">
        <v>3305178.52</v>
      </c>
      <c r="Q692" s="17" t="n"/>
      <c r="R692" s="17" t="n"/>
      <c r="S692" s="17" t="n"/>
      <c r="T692" s="188" t="n"/>
      <c r="V692" s="241" t="n">
        <f aca="false" ca="false" dt2D="false" dtr="false" t="normal">COUNTIF(F692:Q692, "&gt;0")</f>
        <v>3</v>
      </c>
    </row>
    <row outlineLevel="0" r="693">
      <c r="A693" s="154" t="n">
        <f aca="false" ca="false" dt2D="false" dtr="false" t="normal">A692+1</f>
        <v>674</v>
      </c>
      <c r="B693" s="138" t="n">
        <f aca="false" ca="false" dt2D="false" dtr="false" t="normal">B692+1</f>
        <v>214</v>
      </c>
      <c r="C693" s="138" t="s">
        <v>552</v>
      </c>
      <c r="D693" s="138" t="s">
        <v>561</v>
      </c>
      <c r="E693" s="16" t="n">
        <f aca="false" ca="true" dt2D="false" dtr="false" t="normal">SUBTOTAL(9, F693:T693)</f>
        <v>4831521.54</v>
      </c>
      <c r="F693" s="17" t="n">
        <v>712780.99</v>
      </c>
      <c r="G693" s="17" t="n">
        <v>0</v>
      </c>
      <c r="H693" s="17" t="n">
        <v>0</v>
      </c>
      <c r="I693" s="17" t="n"/>
      <c r="J693" s="17" t="n">
        <v>0</v>
      </c>
      <c r="K693" s="17" t="n"/>
      <c r="L693" s="17" t="n"/>
      <c r="M693" s="17" t="n">
        <v>0</v>
      </c>
      <c r="N693" s="17" t="n">
        <v>1012916.36</v>
      </c>
      <c r="O693" s="17" t="n">
        <v>0</v>
      </c>
      <c r="P693" s="17" t="n">
        <v>3105824.19</v>
      </c>
      <c r="Q693" s="17" t="n"/>
      <c r="R693" s="17" t="n"/>
      <c r="S693" s="17" t="n"/>
      <c r="T693" s="188" t="n"/>
      <c r="V693" s="241" t="n">
        <f aca="false" ca="false" dt2D="false" dtr="false" t="normal">COUNTIF(F693:Q693, "&gt;0")</f>
        <v>3</v>
      </c>
    </row>
    <row outlineLevel="0" r="694">
      <c r="A694" s="154" t="n">
        <f aca="false" ca="false" dt2D="false" dtr="false" t="normal">A693+1</f>
        <v>675</v>
      </c>
      <c r="B694" s="138" t="n">
        <f aca="false" ca="false" dt2D="false" dtr="false" t="normal">B693+1</f>
        <v>215</v>
      </c>
      <c r="C694" s="138" t="s">
        <v>141</v>
      </c>
      <c r="D694" s="138" t="s">
        <v>562</v>
      </c>
      <c r="E694" s="342" t="n">
        <f aca="false" ca="true" dt2D="false" dtr="false" t="normal">SUBTOTAL(9, F694:T694)</f>
        <v>1986359.66</v>
      </c>
      <c r="F694" s="17" t="n">
        <v>0</v>
      </c>
      <c r="G694" s="17" t="n">
        <v>0</v>
      </c>
      <c r="H694" s="17" t="n">
        <v>0</v>
      </c>
      <c r="I694" s="17" t="n">
        <v>0</v>
      </c>
      <c r="J694" s="17" t="n">
        <v>1986359.66</v>
      </c>
      <c r="K694" s="17" t="n"/>
      <c r="L694" s="17" t="n"/>
      <c r="M694" s="17" t="n">
        <v>0</v>
      </c>
      <c r="N694" s="17" t="n">
        <v>0</v>
      </c>
      <c r="O694" s="17" t="n">
        <v>0</v>
      </c>
      <c r="P694" s="17" t="n">
        <v>0</v>
      </c>
      <c r="Q694" s="17" t="n">
        <v>0</v>
      </c>
      <c r="R694" s="17" t="n"/>
      <c r="S694" s="17" t="n"/>
      <c r="T694" s="188" t="n"/>
      <c r="V694" s="241" t="n">
        <f aca="false" ca="false" dt2D="false" dtr="false" t="normal">COUNTIF(F694:Q694, "&gt;0")</f>
        <v>1</v>
      </c>
    </row>
    <row outlineLevel="0" r="695">
      <c r="A695" s="154" t="n">
        <f aca="false" ca="false" dt2D="false" dtr="false" t="normal">A694+1</f>
        <v>676</v>
      </c>
      <c r="B695" s="138" t="n">
        <f aca="false" ca="false" dt2D="false" dtr="false" t="normal">B694+1</f>
        <v>216</v>
      </c>
      <c r="C695" s="138" t="s">
        <v>141</v>
      </c>
      <c r="D695" s="138" t="s">
        <v>563</v>
      </c>
      <c r="E695" s="342" t="n">
        <f aca="false" ca="true" dt2D="false" dtr="false" t="normal">SUBTOTAL(9, F695:T695)</f>
        <v>2702611.31</v>
      </c>
      <c r="F695" s="17" t="n">
        <v>0</v>
      </c>
      <c r="G695" s="17" t="n">
        <v>0</v>
      </c>
      <c r="H695" s="17" t="n">
        <v>0</v>
      </c>
      <c r="I695" s="17" t="n">
        <v>0</v>
      </c>
      <c r="J695" s="17" t="n">
        <v>2702611.31</v>
      </c>
      <c r="K695" s="17" t="n"/>
      <c r="L695" s="17" t="n"/>
      <c r="M695" s="17" t="n">
        <v>0</v>
      </c>
      <c r="N695" s="17" t="n">
        <v>0</v>
      </c>
      <c r="O695" s="17" t="n">
        <v>0</v>
      </c>
      <c r="P695" s="17" t="n">
        <v>0</v>
      </c>
      <c r="Q695" s="17" t="n">
        <v>0</v>
      </c>
      <c r="R695" s="17" t="n"/>
      <c r="S695" s="17" t="n"/>
      <c r="T695" s="188" t="n"/>
      <c r="V695" s="241" t="n">
        <f aca="false" ca="false" dt2D="false" dtr="false" t="normal">COUNTIF(F695:Q695, "&gt;0")</f>
        <v>1</v>
      </c>
    </row>
    <row outlineLevel="0" r="696">
      <c r="A696" s="154" t="n">
        <f aca="false" ca="false" dt2D="false" dtr="false" t="normal">A695+1</f>
        <v>677</v>
      </c>
      <c r="B696" s="138" t="n">
        <f aca="false" ca="false" dt2D="false" dtr="false" t="normal">B695+1</f>
        <v>217</v>
      </c>
      <c r="C696" s="138" t="s">
        <v>141</v>
      </c>
      <c r="D696" s="138" t="s">
        <v>564</v>
      </c>
      <c r="E696" s="342" t="n">
        <f aca="false" ca="true" dt2D="false" dtr="false" t="normal">SUBTOTAL(9, F696:T696)</f>
        <v>2298025.28</v>
      </c>
      <c r="F696" s="17" t="n">
        <v>0</v>
      </c>
      <c r="G696" s="17" t="n">
        <v>0</v>
      </c>
      <c r="H696" s="17" t="n">
        <v>0</v>
      </c>
      <c r="I696" s="17" t="n">
        <v>0</v>
      </c>
      <c r="J696" s="17" t="n">
        <v>2298025.28</v>
      </c>
      <c r="K696" s="17" t="n"/>
      <c r="L696" s="17" t="n"/>
      <c r="M696" s="17" t="n">
        <v>0</v>
      </c>
      <c r="N696" s="17" t="n">
        <v>0</v>
      </c>
      <c r="O696" s="17" t="n">
        <v>0</v>
      </c>
      <c r="P696" s="17" t="n">
        <v>0</v>
      </c>
      <c r="Q696" s="17" t="n">
        <v>0</v>
      </c>
      <c r="R696" s="17" t="n"/>
      <c r="S696" s="17" t="n"/>
      <c r="T696" s="188" t="n"/>
      <c r="V696" s="241" t="n">
        <f aca="false" ca="false" dt2D="false" dtr="false" t="normal">COUNTIF(F696:Q696, "&gt;0")</f>
        <v>1</v>
      </c>
    </row>
    <row outlineLevel="0" r="697">
      <c r="A697" s="154" t="n">
        <f aca="false" ca="false" dt2D="false" dtr="false" t="normal">A696+1</f>
        <v>678</v>
      </c>
      <c r="B697" s="138" t="n">
        <f aca="false" ca="false" dt2D="false" dtr="false" t="normal">B696+1</f>
        <v>218</v>
      </c>
      <c r="C697" s="138" t="s">
        <v>566</v>
      </c>
      <c r="D697" s="138" t="s">
        <v>567</v>
      </c>
      <c r="E697" s="342" t="n">
        <f aca="false" ca="true" dt2D="false" dtr="false" t="normal">SUBTOTAL(9, F697:T697)</f>
        <v>4166916.4</v>
      </c>
      <c r="F697" s="17" t="n">
        <v>959344.45</v>
      </c>
      <c r="G697" s="17" t="n"/>
      <c r="H697" s="17" t="n">
        <v>229438</v>
      </c>
      <c r="I697" s="17" t="n">
        <v>0</v>
      </c>
      <c r="J697" s="17" t="n">
        <v>0</v>
      </c>
      <c r="K697" s="17" t="n"/>
      <c r="L697" s="17" t="n"/>
      <c r="M697" s="17" t="n">
        <v>0</v>
      </c>
      <c r="N697" s="17" t="n"/>
      <c r="O697" s="17" t="n">
        <v>0</v>
      </c>
      <c r="P697" s="17" t="n">
        <v>1542542.95</v>
      </c>
      <c r="Q697" s="17" t="n">
        <v>1435591</v>
      </c>
      <c r="R697" s="17" t="n"/>
      <c r="S697" s="17" t="n"/>
      <c r="T697" s="188" t="n"/>
      <c r="V697" s="241" t="n">
        <f aca="false" ca="false" dt2D="false" dtr="false" t="normal">COUNTIF(F697:Q697, "&gt;0")</f>
        <v>4</v>
      </c>
    </row>
    <row outlineLevel="0" r="698">
      <c r="A698" s="154" t="n">
        <f aca="false" ca="false" dt2D="false" dtr="false" t="normal">A697+1</f>
        <v>679</v>
      </c>
      <c r="B698" s="138" t="n">
        <f aca="false" ca="false" dt2D="false" dtr="false" t="normal">B697+1</f>
        <v>219</v>
      </c>
      <c r="C698" s="138" t="s">
        <v>177</v>
      </c>
      <c r="D698" s="138" t="s">
        <v>568</v>
      </c>
      <c r="E698" s="342" t="n">
        <f aca="false" ca="true" dt2D="false" dtr="false" t="normal">SUBTOTAL(9, F698:T698)</f>
        <v>564707.89</v>
      </c>
      <c r="F698" s="17" t="n"/>
      <c r="G698" s="17" t="n"/>
      <c r="H698" s="17" t="n"/>
      <c r="I698" s="17" t="n"/>
      <c r="J698" s="17" t="n"/>
      <c r="K698" s="17" t="n"/>
      <c r="L698" s="17" t="n"/>
      <c r="M698" s="17" t="n"/>
      <c r="N698" s="17" t="n">
        <v>564707.89</v>
      </c>
      <c r="O698" s="17" t="n"/>
      <c r="P698" s="17" t="n"/>
      <c r="Q698" s="17" t="n"/>
      <c r="R698" s="17" t="n"/>
      <c r="S698" s="17" t="n"/>
      <c r="T698" s="188" t="n"/>
    </row>
    <row outlineLevel="0" r="699">
      <c r="A699" s="154" t="n">
        <f aca="false" ca="false" dt2D="false" dtr="false" t="normal">A698+1</f>
        <v>680</v>
      </c>
      <c r="B699" s="138" t="n">
        <f aca="false" ca="false" dt2D="false" dtr="false" t="normal">B698+1</f>
        <v>220</v>
      </c>
      <c r="C699" s="138" t="s">
        <v>177</v>
      </c>
      <c r="D699" s="138" t="s">
        <v>569</v>
      </c>
      <c r="E699" s="16" t="n">
        <f aca="false" ca="true" dt2D="false" dtr="false" t="normal">SUBTOTAL(9, F699:T699)</f>
        <v>166862.48</v>
      </c>
      <c r="F699" s="17" t="n"/>
      <c r="G699" s="17" t="n">
        <v>0</v>
      </c>
      <c r="H699" s="17" t="n">
        <v>112569.58</v>
      </c>
      <c r="I699" s="17" t="n">
        <v>0</v>
      </c>
      <c r="J699" s="17" t="n">
        <v>0</v>
      </c>
      <c r="K699" s="17" t="n"/>
      <c r="L699" s="17" t="n"/>
      <c r="M699" s="17" t="n">
        <v>0</v>
      </c>
      <c r="N699" s="17" t="n">
        <v>54292.9</v>
      </c>
      <c r="O699" s="17" t="n">
        <v>0</v>
      </c>
      <c r="P699" s="17" t="n">
        <v>0</v>
      </c>
      <c r="Q699" s="17" t="n">
        <v>0</v>
      </c>
      <c r="R699" s="17" t="n"/>
      <c r="S699" s="17" t="n"/>
      <c r="T699" s="188" t="n"/>
      <c r="V699" s="241" t="n">
        <f aca="false" ca="false" dt2D="false" dtr="false" t="normal">COUNTIF(F699:Q699, "&gt;0")</f>
        <v>2</v>
      </c>
    </row>
    <row customFormat="true" customHeight="true" ht="21" outlineLevel="0" r="700" s="166">
      <c r="A700" s="239" t="n"/>
      <c r="B700" s="239" t="n"/>
      <c r="C700" s="239" t="n"/>
      <c r="D700" s="350" t="s">
        <v>75</v>
      </c>
      <c r="E700" s="239" t="n">
        <v>5419367.75</v>
      </c>
      <c r="F700" s="239" t="n">
        <f aca="false" ca="false" dt2D="false" dtr="false" t="normal">F701+F702</f>
        <v>0</v>
      </c>
      <c r="G700" s="239" t="n">
        <f aca="false" ca="false" dt2D="false" dtr="false" t="normal">G701+G702</f>
        <v>0</v>
      </c>
      <c r="H700" s="239" t="n">
        <f aca="false" ca="false" dt2D="false" dtr="false" t="normal">H701+H702</f>
        <v>0</v>
      </c>
      <c r="I700" s="239" t="n">
        <f aca="false" ca="false" dt2D="false" dtr="false" t="normal">I701+I702</f>
        <v>0</v>
      </c>
      <c r="J700" s="239" t="n">
        <f aca="false" ca="false" dt2D="false" dtr="false" t="normal">J701+J702</f>
        <v>0</v>
      </c>
      <c r="K700" s="239" t="n">
        <f aca="false" ca="false" dt2D="false" dtr="false" t="normal">K701+K702</f>
        <v>0</v>
      </c>
      <c r="L700" s="239" t="n">
        <f aca="false" ca="false" dt2D="false" dtr="false" t="normal">L701+L702</f>
        <v>0</v>
      </c>
      <c r="M700" s="239" t="n">
        <f aca="false" ca="false" dt2D="false" dtr="false" t="normal">M701+M702</f>
        <v>0</v>
      </c>
      <c r="N700" s="239" t="n">
        <f aca="false" ca="false" dt2D="false" dtr="false" t="normal">N701+N702</f>
        <v>0</v>
      </c>
      <c r="O700" s="239" t="n">
        <f aca="false" ca="false" dt2D="false" dtr="false" t="normal">O701+O702</f>
        <v>0</v>
      </c>
      <c r="P700" s="239" t="n">
        <f aca="false" ca="false" dt2D="false" dtr="false" t="normal">P701+P702</f>
        <v>0</v>
      </c>
      <c r="Q700" s="239" t="n">
        <f aca="false" ca="false" dt2D="false" dtr="false" t="normal">Q701+Q702</f>
        <v>0</v>
      </c>
      <c r="R700" s="239" t="n">
        <f aca="false" ca="false" dt2D="false" dtr="false" t="normal">R701+R702</f>
        <v>0</v>
      </c>
      <c r="S700" s="239" t="n">
        <f aca="false" ca="false" dt2D="false" dtr="false" t="normal">S701+S702</f>
        <v>0</v>
      </c>
      <c r="T700" s="239" t="n">
        <f aca="false" ca="false" dt2D="false" dtr="false" t="normal">T701+T702</f>
        <v>0</v>
      </c>
      <c r="U700" s="1" t="n"/>
      <c r="V700" s="183" t="n"/>
      <c r="W700" s="1" t="n"/>
      <c r="X700" s="1" t="n"/>
      <c r="Y700" s="1" t="n"/>
      <c r="Z700" s="1" t="n"/>
      <c r="AA700" s="1" t="n"/>
      <c r="AB700" s="1" t="n"/>
      <c r="AC700" s="1" t="n"/>
      <c r="AD700" s="1" t="n"/>
      <c r="AE700" s="1" t="n"/>
      <c r="AF700" s="1" t="n"/>
      <c r="AG700" s="1" t="n"/>
      <c r="AH700" s="1" t="n"/>
      <c r="AI700" s="1" t="n"/>
      <c r="AJ700" s="1" t="n"/>
      <c r="AK700" s="1" t="n"/>
      <c r="AL700" s="1" t="n"/>
      <c r="AM700" s="1" t="n"/>
      <c r="AN700" s="1" t="n"/>
      <c r="AO700" s="1" t="n"/>
      <c r="AP700" s="1" t="n"/>
      <c r="AQ700" s="1" t="n"/>
      <c r="AR700" s="1" t="n"/>
      <c r="AS700" s="1" t="n"/>
      <c r="AT700" s="1" t="n"/>
      <c r="AU700" s="1" t="n"/>
      <c r="AV700" s="1" t="n"/>
      <c r="AW700" s="1" t="n"/>
      <c r="AX700" s="1" t="n"/>
      <c r="AY700" s="1" t="n"/>
      <c r="AZ700" s="1" t="n"/>
      <c r="BA700" s="1" t="n"/>
      <c r="BB700" s="1" t="n"/>
      <c r="BC700" s="1" t="n"/>
      <c r="BD700" s="1" t="n"/>
      <c r="BE700" s="1" t="n"/>
      <c r="BF700" s="1" t="n"/>
      <c r="BG700" s="1" t="n"/>
      <c r="BH700" s="1" t="n"/>
      <c r="BI700" s="1" t="n"/>
      <c r="BJ700" s="1" t="n"/>
      <c r="BK700" s="1" t="n"/>
      <c r="BL700" s="1" t="n"/>
      <c r="BM700" s="1" t="n"/>
      <c r="BN700" s="1" t="n"/>
      <c r="BO700" s="1" t="n"/>
      <c r="BP700" s="1" t="n"/>
    </row>
    <row outlineLevel="0" r="701">
      <c r="A701" s="331" t="s">
        <v>76</v>
      </c>
      <c r="B701" s="6" t="s">
        <v>76</v>
      </c>
      <c r="C701" s="138" t="s">
        <v>457</v>
      </c>
      <c r="D701" s="349" t="s">
        <v>571</v>
      </c>
      <c r="E701" s="203" t="n">
        <v>3901065.96</v>
      </c>
      <c r="F701" s="17" t="n"/>
      <c r="G701" s="18" t="n"/>
      <c r="H701" s="18" t="n"/>
      <c r="I701" s="18" t="n"/>
      <c r="J701" s="18" t="n"/>
      <c r="K701" s="18" t="n"/>
      <c r="L701" s="17" t="n"/>
      <c r="M701" s="18" t="n"/>
      <c r="N701" s="18" t="n"/>
      <c r="O701" s="18" t="n"/>
      <c r="P701" s="18" t="n"/>
      <c r="Q701" s="18" t="n"/>
      <c r="R701" s="18" t="n"/>
      <c r="S701" s="189" t="n"/>
      <c r="T701" s="185" t="n"/>
      <c r="V701" s="186" t="n">
        <f aca="false" ca="false" dt2D="false" dtr="false" t="normal">COUNTIF(F701:Q701, "&gt;0")</f>
        <v>0</v>
      </c>
    </row>
    <row outlineLevel="0" r="702">
      <c r="A702" s="331" t="s">
        <v>76</v>
      </c>
      <c r="B702" s="6" t="s">
        <v>76</v>
      </c>
      <c r="C702" s="138" t="s">
        <v>457</v>
      </c>
      <c r="D702" s="349" t="s">
        <v>458</v>
      </c>
      <c r="E702" s="203" t="n">
        <v>1518301.79</v>
      </c>
      <c r="F702" s="17" t="n"/>
      <c r="G702" s="18" t="n"/>
      <c r="H702" s="18" t="n"/>
      <c r="I702" s="18" t="n"/>
      <c r="J702" s="18" t="n"/>
      <c r="K702" s="18" t="n"/>
      <c r="L702" s="17" t="n"/>
      <c r="M702" s="18" t="n"/>
      <c r="N702" s="18" t="n"/>
      <c r="O702" s="18" t="n"/>
      <c r="P702" s="18" t="n"/>
      <c r="Q702" s="18" t="n"/>
      <c r="R702" s="18" t="n"/>
      <c r="S702" s="189" t="n"/>
      <c r="T702" s="185" t="n"/>
      <c r="V702" s="186" t="n">
        <f aca="false" ca="false" dt2D="false" dtr="false" t="normal">COUNTIF(F702:Q702, "&gt;0")</f>
        <v>0</v>
      </c>
    </row>
    <row outlineLevel="0" r="703">
      <c r="A703" s="339" t="n"/>
      <c r="B703" s="232" t="n"/>
      <c r="C703" s="340" t="n"/>
      <c r="D703" s="176" t="s">
        <v>756</v>
      </c>
      <c r="E703" s="239" t="n">
        <f aca="false" ca="false" dt2D="false" dtr="false" t="normal">SUM(E704:E822)</f>
        <v>762478998.8333098</v>
      </c>
      <c r="F703" s="239" t="n">
        <f aca="false" ca="false" dt2D="false" dtr="false" t="normal">SUM(F743)</f>
        <v>0</v>
      </c>
      <c r="G703" s="239" t="n">
        <f aca="false" ca="false" dt2D="false" dtr="false" t="normal">SUM(G743)</f>
        <v>0</v>
      </c>
      <c r="H703" s="239" t="n">
        <f aca="false" ca="false" dt2D="false" dtr="false" t="normal">SUM(H743)</f>
        <v>1303632.49</v>
      </c>
      <c r="I703" s="239" t="n">
        <f aca="false" ca="false" dt2D="false" dtr="false" t="normal">SUM(I743)</f>
        <v>0</v>
      </c>
      <c r="J703" s="239" t="n">
        <f aca="false" ca="false" dt2D="false" dtr="false" t="normal">SUM(J743)</f>
        <v>0</v>
      </c>
      <c r="K703" s="239" t="n">
        <f aca="false" ca="false" dt2D="false" dtr="false" t="normal">SUM(K743)</f>
        <v>0</v>
      </c>
      <c r="L703" s="239" t="n">
        <f aca="false" ca="false" dt2D="false" dtr="false" t="normal">SUM(L743)</f>
        <v>0</v>
      </c>
      <c r="M703" s="239" t="n">
        <f aca="false" ca="false" dt2D="false" dtr="false" t="normal">SUM(M743)</f>
        <v>0</v>
      </c>
      <c r="N703" s="239" t="n">
        <f aca="false" ca="false" dt2D="false" dtr="false" t="normal">SUM(N743)</f>
        <v>0</v>
      </c>
      <c r="O703" s="239" t="n">
        <f aca="false" ca="false" dt2D="false" dtr="false" t="normal">SUM(O743)</f>
        <v>0</v>
      </c>
      <c r="P703" s="239" t="n">
        <f aca="false" ca="false" dt2D="false" dtr="false" t="normal">SUM(P743)</f>
        <v>0</v>
      </c>
      <c r="Q703" s="239" t="n">
        <f aca="false" ca="false" dt2D="false" dtr="false" t="normal">SUM(Q743)</f>
        <v>0</v>
      </c>
      <c r="R703" s="239" t="n">
        <f aca="false" ca="false" dt2D="false" dtr="false" t="normal">SUM(R743)</f>
        <v>0</v>
      </c>
      <c r="S703" s="239" t="n">
        <f aca="false" ca="false" dt2D="false" dtr="false" t="normal">SUM(S743)</f>
        <v>0</v>
      </c>
      <c r="T703" s="239" t="n">
        <f aca="false" ca="false" dt2D="false" dtr="false" t="normal">SUM(T743)</f>
        <v>0</v>
      </c>
      <c r="V703" s="186" t="n"/>
    </row>
    <row outlineLevel="0" r="704">
      <c r="A704" s="154" t="n">
        <f aca="false" ca="false" dt2D="false" dtr="false" t="normal">A699+1</f>
        <v>681</v>
      </c>
      <c r="B704" s="138" t="s">
        <v>76</v>
      </c>
      <c r="C704" s="138" t="s">
        <v>147</v>
      </c>
      <c r="D704" s="138" t="s">
        <v>155</v>
      </c>
      <c r="E704" s="16" t="n">
        <f aca="false" ca="true" dt2D="false" dtr="false" t="normal">SUBTOTAL(9, F704:T704)</f>
        <v>18884780.159999996</v>
      </c>
      <c r="F704" s="17" t="n">
        <v>2320624.28</v>
      </c>
      <c r="G704" s="17" t="n">
        <v>1208886.87</v>
      </c>
      <c r="H704" s="17" t="n"/>
      <c r="I704" s="17" t="n"/>
      <c r="J704" s="17" t="n">
        <v>0</v>
      </c>
      <c r="K704" s="17" t="n"/>
      <c r="L704" s="17" t="n"/>
      <c r="M704" s="17" t="n">
        <v>0</v>
      </c>
      <c r="N704" s="17" t="n">
        <v>4272787.71</v>
      </c>
      <c r="O704" s="17" t="n">
        <v>4924704.85</v>
      </c>
      <c r="P704" s="17" t="n">
        <v>5939807.05</v>
      </c>
      <c r="Q704" s="17" t="n"/>
      <c r="R704" s="17" t="n"/>
      <c r="S704" s="17" t="n"/>
      <c r="T704" s="188" t="n">
        <v>217969.4</v>
      </c>
      <c r="V704" s="241" t="n">
        <f aca="false" ca="false" dt2D="false" dtr="false" t="normal">COUNTIF(F704:Q704, "&gt;0")</f>
        <v>5</v>
      </c>
    </row>
    <row outlineLevel="0" r="705">
      <c r="A705" s="154" t="n">
        <f aca="false" ca="false" dt2D="false" dtr="false" t="normal">+A704+1</f>
        <v>682</v>
      </c>
      <c r="B705" s="138" t="n">
        <f aca="false" ca="false" dt2D="false" dtr="false" t="normal">B699+1</f>
        <v>221</v>
      </c>
      <c r="C705" s="138" t="s">
        <v>97</v>
      </c>
      <c r="D705" s="138" t="s">
        <v>100</v>
      </c>
      <c r="E705" s="16" t="n">
        <f aca="false" ca="true" dt2D="false" dtr="false" t="normal">SUBTOTAL(9, F705:T705)</f>
        <v>10805607.370000001</v>
      </c>
      <c r="F705" s="17" t="n">
        <v>6755517.92</v>
      </c>
      <c r="G705" s="17" t="n"/>
      <c r="H705" s="17" t="n"/>
      <c r="I705" s="17" t="n">
        <v>4050089.45</v>
      </c>
      <c r="J705" s="17" t="n">
        <v>0</v>
      </c>
      <c r="K705" s="17" t="n"/>
      <c r="L705" s="17" t="n"/>
      <c r="M705" s="17" t="n">
        <v>0</v>
      </c>
      <c r="N705" s="17" t="n">
        <v>0</v>
      </c>
      <c r="O705" s="17" t="n">
        <v>0</v>
      </c>
      <c r="P705" s="17" t="n">
        <v>0</v>
      </c>
      <c r="Q705" s="17" t="n"/>
      <c r="R705" s="17" t="n"/>
      <c r="S705" s="17" t="n"/>
      <c r="T705" s="188" t="n"/>
      <c r="V705" s="241" t="n">
        <f aca="false" ca="false" dt2D="false" dtr="false" t="normal">COUNTIF(F705:Q705, "&gt;0")</f>
        <v>2</v>
      </c>
    </row>
    <row outlineLevel="0" r="706">
      <c r="A706" s="154" t="n">
        <f aca="false" ca="false" dt2D="false" dtr="false" t="normal">+A705+1</f>
        <v>683</v>
      </c>
      <c r="B706" s="138" t="n">
        <f aca="false" ca="false" dt2D="false" dtr="false" t="normal">B705+1</f>
        <v>222</v>
      </c>
      <c r="C706" s="138" t="s">
        <v>104</v>
      </c>
      <c r="D706" s="138" t="s">
        <v>578</v>
      </c>
      <c r="E706" s="16" t="n">
        <f aca="false" ca="true" dt2D="false" dtr="false" t="normal">SUBTOTAL(9, F706:T706)</f>
        <v>2622854.51</v>
      </c>
      <c r="F706" s="17" t="n">
        <v>0</v>
      </c>
      <c r="G706" s="17" t="n">
        <v>0</v>
      </c>
      <c r="H706" s="17" t="n">
        <v>0</v>
      </c>
      <c r="I706" s="17" t="n">
        <v>0</v>
      </c>
      <c r="J706" s="17" t="n">
        <v>0</v>
      </c>
      <c r="K706" s="17" t="n"/>
      <c r="L706" s="17" t="n"/>
      <c r="M706" s="17" t="n">
        <v>0</v>
      </c>
      <c r="N706" s="17" t="n">
        <v>2622854.51</v>
      </c>
      <c r="O706" s="17" t="n">
        <v>0</v>
      </c>
      <c r="P706" s="17" t="n">
        <v>0</v>
      </c>
      <c r="Q706" s="17" t="n">
        <v>0</v>
      </c>
      <c r="R706" s="17" t="n"/>
      <c r="S706" s="17" t="n"/>
      <c r="T706" s="188" t="n"/>
      <c r="V706" s="241" t="n">
        <f aca="false" ca="false" dt2D="false" dtr="false" t="normal">COUNTIF(F706:Q706, "&gt;0")</f>
        <v>1</v>
      </c>
    </row>
    <row outlineLevel="0" r="707">
      <c r="A707" s="154" t="n">
        <f aca="false" ca="false" dt2D="false" dtr="false" t="normal">+A706+1</f>
        <v>684</v>
      </c>
      <c r="B707" s="138" t="s">
        <v>76</v>
      </c>
      <c r="C707" s="138" t="s">
        <v>104</v>
      </c>
      <c r="D707" s="138" t="s">
        <v>246</v>
      </c>
      <c r="E707" s="16" t="n">
        <f aca="false" ca="true" dt2D="false" dtr="false" t="normal">SUBTOTAL(9, F707:T707)</f>
        <v>2460076.97</v>
      </c>
      <c r="F707" s="17" t="n"/>
      <c r="G707" s="17" t="n"/>
      <c r="H707" s="17" t="n">
        <v>0</v>
      </c>
      <c r="I707" s="17" t="n">
        <v>0</v>
      </c>
      <c r="J707" s="17" t="n">
        <v>0</v>
      </c>
      <c r="K707" s="17" t="n"/>
      <c r="L707" s="17" t="n">
        <v>0</v>
      </c>
      <c r="M707" s="17" t="n"/>
      <c r="N707" s="17" t="n">
        <v>2460076.97</v>
      </c>
      <c r="O707" s="17" t="n"/>
      <c r="P707" s="17" t="n">
        <v>0</v>
      </c>
      <c r="Q707" s="17" t="n">
        <v>0</v>
      </c>
      <c r="R707" s="17" t="n"/>
      <c r="S707" s="17" t="n"/>
      <c r="T707" s="188" t="n"/>
      <c r="V707" s="241" t="n">
        <f aca="false" ca="false" dt2D="false" dtr="false" t="normal">COUNTIF(F707:Q707, "&gt;0")</f>
        <v>1</v>
      </c>
    </row>
    <row outlineLevel="0" r="708">
      <c r="A708" s="154" t="n">
        <f aca="false" ca="false" dt2D="false" dtr="false" t="normal">+A707+1</f>
        <v>685</v>
      </c>
      <c r="B708" s="138" t="n">
        <f aca="false" ca="false" dt2D="false" dtr="false" t="normal">+B706+1</f>
        <v>223</v>
      </c>
      <c r="C708" s="138" t="s">
        <v>104</v>
      </c>
      <c r="D708" s="138" t="s">
        <v>128</v>
      </c>
      <c r="E708" s="16" t="n">
        <f aca="false" ca="true" dt2D="false" dtr="false" t="normal">SUBTOTAL(9, F708:T708)</f>
        <v>4022669.56</v>
      </c>
      <c r="F708" s="17" t="n"/>
      <c r="G708" s="17" t="n"/>
      <c r="H708" s="17" t="n"/>
      <c r="I708" s="17" t="n"/>
      <c r="J708" s="17" t="n">
        <v>0</v>
      </c>
      <c r="K708" s="17" t="n"/>
      <c r="L708" s="17" t="n"/>
      <c r="M708" s="17" t="n">
        <v>0</v>
      </c>
      <c r="N708" s="17" t="n">
        <v>0</v>
      </c>
      <c r="O708" s="17" t="n">
        <v>3968655.74</v>
      </c>
      <c r="P708" s="17" t="n">
        <v>0</v>
      </c>
      <c r="Q708" s="17" t="n">
        <v>0</v>
      </c>
      <c r="R708" s="17" t="n"/>
      <c r="S708" s="17" t="n"/>
      <c r="T708" s="188" t="n">
        <v>54013.82</v>
      </c>
      <c r="V708" s="241" t="n">
        <f aca="false" ca="false" dt2D="false" dtr="false" t="normal">COUNTIF(F708:Q708, "&gt;0")</f>
        <v>1</v>
      </c>
    </row>
    <row outlineLevel="0" r="709">
      <c r="A709" s="154" t="n">
        <f aca="false" ca="false" dt2D="false" dtr="false" t="normal">+A708+1</f>
        <v>686</v>
      </c>
      <c r="B709" s="138" t="s">
        <v>76</v>
      </c>
      <c r="C709" s="138" t="s">
        <v>104</v>
      </c>
      <c r="D709" s="138" t="s">
        <v>266</v>
      </c>
      <c r="E709" s="16" t="n">
        <f aca="false" ca="true" dt2D="false" dtr="false" t="normal">SUBTOTAL(9, F709:T709)</f>
        <v>6516218</v>
      </c>
      <c r="F709" s="17" t="n">
        <v>6483838.38</v>
      </c>
      <c r="G709" s="17" t="n">
        <v>0</v>
      </c>
      <c r="H709" s="17" t="n">
        <v>0</v>
      </c>
      <c r="I709" s="17" t="n"/>
      <c r="J709" s="17" t="n">
        <v>0</v>
      </c>
      <c r="K709" s="17" t="n"/>
      <c r="L709" s="17" t="n"/>
      <c r="M709" s="17" t="n">
        <v>0</v>
      </c>
      <c r="N709" s="17" t="n">
        <v>0</v>
      </c>
      <c r="O709" s="17" t="n"/>
      <c r="P709" s="17" t="n">
        <v>0</v>
      </c>
      <c r="Q709" s="17" t="n">
        <v>0</v>
      </c>
      <c r="R709" s="17" t="n"/>
      <c r="S709" s="17" t="n"/>
      <c r="T709" s="188" t="n">
        <v>32379.62</v>
      </c>
      <c r="V709" s="241" t="n">
        <f aca="false" ca="false" dt2D="false" dtr="false" t="normal">COUNTIF(F709:Q709, "&gt;0")</f>
        <v>1</v>
      </c>
    </row>
    <row outlineLevel="0" r="710">
      <c r="A710" s="154" t="n">
        <f aca="false" ca="false" dt2D="false" dtr="false" t="normal">+A709+1</f>
        <v>687</v>
      </c>
      <c r="B710" s="138" t="n">
        <f aca="false" ca="false" dt2D="false" dtr="false" t="normal">B708+1</f>
        <v>224</v>
      </c>
      <c r="C710" s="138" t="s">
        <v>104</v>
      </c>
      <c r="D710" s="138" t="s">
        <v>581</v>
      </c>
      <c r="E710" s="16" t="n">
        <f aca="false" ca="true" dt2D="false" dtr="false" t="normal">SUBTOTAL(9, F710:T710)</f>
        <v>9248464.34</v>
      </c>
      <c r="F710" s="17" t="n">
        <v>0</v>
      </c>
      <c r="G710" s="17" t="n">
        <v>0</v>
      </c>
      <c r="H710" s="17" t="n">
        <v>0</v>
      </c>
      <c r="I710" s="17" t="n">
        <v>0</v>
      </c>
      <c r="J710" s="17" t="n">
        <v>0</v>
      </c>
      <c r="K710" s="17" t="n"/>
      <c r="L710" s="17" t="n"/>
      <c r="M710" s="17" t="n">
        <v>0</v>
      </c>
      <c r="N710" s="17" t="n">
        <v>9169688.35</v>
      </c>
      <c r="O710" s="17" t="n">
        <v>0</v>
      </c>
      <c r="P710" s="17" t="n">
        <v>0</v>
      </c>
      <c r="Q710" s="17" t="n">
        <v>0</v>
      </c>
      <c r="R710" s="17" t="n"/>
      <c r="S710" s="17" t="n"/>
      <c r="T710" s="188" t="n">
        <v>78775.99</v>
      </c>
      <c r="V710" s="241" t="n">
        <f aca="false" ca="false" dt2D="false" dtr="false" t="normal">COUNTIF(F710:Q710, "&gt;0")</f>
        <v>1</v>
      </c>
    </row>
    <row outlineLevel="0" r="711">
      <c r="A711" s="154" t="n">
        <f aca="false" ca="false" dt2D="false" dtr="false" t="normal">+A710+1</f>
        <v>688</v>
      </c>
      <c r="B711" s="138" t="s">
        <v>76</v>
      </c>
      <c r="C711" s="138" t="s">
        <v>104</v>
      </c>
      <c r="D711" s="138" t="s">
        <v>282</v>
      </c>
      <c r="E711" s="16" t="n">
        <f aca="false" ca="true" dt2D="false" dtr="false" t="normal">SUBTOTAL(9, F711:T711)</f>
        <v>5103601.54</v>
      </c>
      <c r="F711" s="17" t="n">
        <v>0</v>
      </c>
      <c r="G711" s="17" t="n">
        <v>0</v>
      </c>
      <c r="H711" s="17" t="n">
        <v>0</v>
      </c>
      <c r="I711" s="17" t="n">
        <v>0</v>
      </c>
      <c r="J711" s="17" t="n">
        <v>0</v>
      </c>
      <c r="K711" s="17" t="n"/>
      <c r="L711" s="17" t="n"/>
      <c r="M711" s="17" t="n">
        <v>0</v>
      </c>
      <c r="N711" s="17" t="n">
        <v>5103601.54</v>
      </c>
      <c r="O711" s="17" t="n">
        <v>0</v>
      </c>
      <c r="P711" s="17" t="n"/>
      <c r="Q711" s="17" t="n">
        <v>0</v>
      </c>
      <c r="R711" s="17" t="n"/>
      <c r="S711" s="17" t="n"/>
      <c r="T711" s="188" t="n"/>
      <c r="V711" s="241" t="n">
        <f aca="false" ca="false" dt2D="false" dtr="false" t="normal">COUNTIF(F711:Q711, "&gt;0")</f>
        <v>1</v>
      </c>
    </row>
    <row outlineLevel="0" r="712">
      <c r="A712" s="154" t="n">
        <f aca="false" ca="false" dt2D="false" dtr="false" t="normal">+A711+1</f>
        <v>689</v>
      </c>
      <c r="B712" s="138" t="n">
        <f aca="false" ca="false" dt2D="false" dtr="false" t="normal">B710+1</f>
        <v>225</v>
      </c>
      <c r="C712" s="138" t="s">
        <v>104</v>
      </c>
      <c r="D712" s="138" t="s">
        <v>582</v>
      </c>
      <c r="E712" s="16" t="n">
        <f aca="false" ca="true" dt2D="false" dtr="false" t="normal">SUBTOTAL(9, F712:T712)</f>
        <v>10768790.21</v>
      </c>
      <c r="F712" s="17" t="n">
        <v>0</v>
      </c>
      <c r="G712" s="17" t="n">
        <v>0</v>
      </c>
      <c r="H712" s="17" t="n">
        <v>0</v>
      </c>
      <c r="I712" s="17" t="n">
        <v>0</v>
      </c>
      <c r="J712" s="17" t="n">
        <v>0</v>
      </c>
      <c r="K712" s="17" t="n"/>
      <c r="L712" s="17" t="n"/>
      <c r="M712" s="17" t="n">
        <v>0</v>
      </c>
      <c r="N712" s="17" t="n">
        <v>0</v>
      </c>
      <c r="O712" s="17" t="n">
        <v>0</v>
      </c>
      <c r="P712" s="17" t="n">
        <v>10768790.21</v>
      </c>
      <c r="Q712" s="17" t="n">
        <v>0</v>
      </c>
      <c r="R712" s="17" t="n"/>
      <c r="S712" s="17" t="n"/>
      <c r="T712" s="188" t="n"/>
      <c r="V712" s="241" t="n">
        <f aca="false" ca="false" dt2D="false" dtr="false" t="normal">COUNTIF(F712:Q712, "&gt;0")</f>
        <v>1</v>
      </c>
    </row>
    <row outlineLevel="0" r="713">
      <c r="A713" s="154" t="n">
        <f aca="false" ca="false" dt2D="false" dtr="false" t="normal">+A712+1</f>
        <v>690</v>
      </c>
      <c r="B713" s="138" t="s">
        <v>76</v>
      </c>
      <c r="C713" s="138" t="s">
        <v>177</v>
      </c>
      <c r="D713" s="138" t="s">
        <v>220</v>
      </c>
      <c r="E713" s="16" t="n">
        <f aca="false" ca="true" dt2D="false" dtr="false" t="normal">SUBTOTAL(9, F713:T713)</f>
        <v>6402530.38</v>
      </c>
      <c r="F713" s="17" t="n">
        <v>6402530.38</v>
      </c>
      <c r="G713" s="17" t="n"/>
      <c r="H713" s="17" t="n"/>
      <c r="I713" s="17" t="n"/>
      <c r="J713" s="17" t="n">
        <v>0</v>
      </c>
      <c r="K713" s="17" t="n"/>
      <c r="L713" s="17" t="n"/>
      <c r="M713" s="17" t="n">
        <v>0</v>
      </c>
      <c r="N713" s="17" t="n"/>
      <c r="O713" s="17" t="n">
        <v>0</v>
      </c>
      <c r="P713" s="17" t="n"/>
      <c r="Q713" s="17" t="n">
        <v>0</v>
      </c>
      <c r="R713" s="17" t="n"/>
      <c r="S713" s="17" t="n"/>
      <c r="T713" s="188" t="n"/>
      <c r="V713" s="241" t="n">
        <f aca="false" ca="false" dt2D="false" dtr="false" t="normal">COUNTIF(F713:Q713, "&gt;0")</f>
        <v>1</v>
      </c>
    </row>
    <row outlineLevel="0" r="714">
      <c r="A714" s="154" t="n">
        <f aca="false" ca="false" dt2D="false" dtr="false" t="normal">+A713+1</f>
        <v>691</v>
      </c>
      <c r="B714" s="138" t="s">
        <v>76</v>
      </c>
      <c r="C714" s="138" t="s">
        <v>177</v>
      </c>
      <c r="D714" s="138" t="s">
        <v>224</v>
      </c>
      <c r="E714" s="16" t="n">
        <f aca="false" ca="true" dt2D="false" dtr="false" t="normal">SUBTOTAL(9, F714:T714)</f>
        <v>4667209.49</v>
      </c>
      <c r="F714" s="17" t="n">
        <v>4667209.49</v>
      </c>
      <c r="G714" s="17" t="n">
        <v>0</v>
      </c>
      <c r="H714" s="17" t="n"/>
      <c r="I714" s="17" t="n"/>
      <c r="J714" s="17" t="n"/>
      <c r="K714" s="17" t="n"/>
      <c r="L714" s="17" t="n"/>
      <c r="M714" s="17" t="n">
        <v>0</v>
      </c>
      <c r="N714" s="17" t="n"/>
      <c r="O714" s="17" t="n">
        <v>0</v>
      </c>
      <c r="P714" s="17" t="n"/>
      <c r="Q714" s="17" t="n">
        <v>0</v>
      </c>
      <c r="R714" s="17" t="n"/>
      <c r="S714" s="17" t="n"/>
      <c r="T714" s="188" t="n"/>
      <c r="U714" s="341" t="n"/>
      <c r="V714" s="241" t="n">
        <f aca="false" ca="false" dt2D="false" dtr="false" t="normal">COUNTIF(F714:Q714, "&gt;0")</f>
        <v>1</v>
      </c>
      <c r="W714" s="341" t="n"/>
      <c r="X714" s="341" t="n"/>
      <c r="Y714" s="341" t="n"/>
      <c r="Z714" s="341" t="n"/>
      <c r="AA714" s="341" t="n"/>
      <c r="AB714" s="341" t="n"/>
      <c r="AC714" s="341" t="n"/>
      <c r="AD714" s="341" t="n"/>
      <c r="AE714" s="341" t="n"/>
      <c r="AF714" s="341" t="n"/>
      <c r="AG714" s="341" t="n"/>
      <c r="AH714" s="341" t="n"/>
      <c r="AI714" s="341" t="n"/>
      <c r="AJ714" s="341" t="n"/>
      <c r="AK714" s="341" t="n"/>
      <c r="AL714" s="341" t="n"/>
      <c r="AM714" s="341" t="n"/>
      <c r="AN714" s="341" t="n"/>
      <c r="AO714" s="341" t="n"/>
      <c r="AP714" s="341" t="n"/>
      <c r="AQ714" s="341" t="n"/>
      <c r="AR714" s="341" t="n"/>
      <c r="AS714" s="341" t="n"/>
      <c r="AT714" s="341" t="n"/>
      <c r="AU714" s="341" t="n"/>
      <c r="AV714" s="341" t="n"/>
      <c r="AW714" s="341" t="n"/>
      <c r="AX714" s="341" t="n"/>
      <c r="AY714" s="341" t="n"/>
      <c r="AZ714" s="341" t="n"/>
      <c r="BA714" s="341" t="n"/>
      <c r="BB714" s="341" t="n"/>
      <c r="BC714" s="341" t="n"/>
      <c r="BD714" s="341" t="n"/>
      <c r="BE714" s="341" t="n"/>
      <c r="BF714" s="341" t="n"/>
      <c r="BG714" s="341" t="n"/>
      <c r="BH714" s="341" t="n"/>
      <c r="BI714" s="341" t="n"/>
      <c r="BJ714" s="341" t="n"/>
      <c r="BK714" s="341" t="n"/>
      <c r="BL714" s="341" t="n"/>
      <c r="BM714" s="341" t="n"/>
      <c r="BN714" s="341" t="n"/>
      <c r="BO714" s="341" t="n"/>
      <c r="BP714" s="341" t="n"/>
    </row>
    <row outlineLevel="0" r="715">
      <c r="A715" s="154" t="n">
        <f aca="false" ca="false" dt2D="false" dtr="false" t="normal">+A714+1</f>
        <v>692</v>
      </c>
      <c r="B715" s="138" t="n">
        <f aca="false" ca="false" dt2D="false" dtr="false" t="normal">B712+1</f>
        <v>226</v>
      </c>
      <c r="C715" s="138" t="s">
        <v>177</v>
      </c>
      <c r="D715" s="138" t="s">
        <v>584</v>
      </c>
      <c r="E715" s="16" t="n">
        <f aca="false" ca="true" dt2D="false" dtr="false" t="normal">SUBTOTAL(9, F715:T715)</f>
        <v>2518265.15</v>
      </c>
      <c r="F715" s="17" t="n"/>
      <c r="G715" s="17" t="n">
        <v>2518265.15</v>
      </c>
      <c r="H715" s="17" t="n"/>
      <c r="I715" s="17" t="n"/>
      <c r="J715" s="17" t="n"/>
      <c r="K715" s="17" t="n"/>
      <c r="L715" s="17" t="n"/>
      <c r="M715" s="17" t="n"/>
      <c r="N715" s="17" t="n"/>
      <c r="O715" s="17" t="n"/>
      <c r="P715" s="17" t="n"/>
      <c r="Q715" s="17" t="n"/>
      <c r="R715" s="17" t="n"/>
      <c r="S715" s="17" t="n"/>
      <c r="T715" s="188" t="n"/>
      <c r="U715" s="341" t="n"/>
      <c r="V715" s="241" t="n">
        <f aca="false" ca="false" dt2D="false" dtr="false" t="normal">COUNTIF(F715:Q715, "&gt;0")</f>
        <v>1</v>
      </c>
      <c r="W715" s="341" t="n"/>
      <c r="X715" s="341" t="n"/>
      <c r="Y715" s="341" t="n"/>
      <c r="Z715" s="341" t="n"/>
      <c r="AA715" s="341" t="n"/>
      <c r="AB715" s="341" t="n"/>
      <c r="AC715" s="341" t="n"/>
      <c r="AD715" s="341" t="n"/>
      <c r="AE715" s="341" t="n"/>
      <c r="AF715" s="341" t="n"/>
      <c r="AG715" s="341" t="n"/>
      <c r="AH715" s="341" t="n"/>
      <c r="AI715" s="341" t="n"/>
      <c r="AJ715" s="341" t="n"/>
      <c r="AK715" s="341" t="n"/>
      <c r="AL715" s="341" t="n"/>
      <c r="AM715" s="341" t="n"/>
      <c r="AN715" s="341" t="n"/>
      <c r="AO715" s="341" t="n"/>
      <c r="AP715" s="341" t="n"/>
      <c r="AQ715" s="341" t="n"/>
      <c r="AR715" s="341" t="n"/>
      <c r="AS715" s="341" t="n"/>
      <c r="AT715" s="341" t="n"/>
      <c r="AU715" s="341" t="n"/>
      <c r="AV715" s="341" t="n"/>
      <c r="AW715" s="341" t="n"/>
      <c r="AX715" s="341" t="n"/>
      <c r="AY715" s="341" t="n"/>
      <c r="AZ715" s="341" t="n"/>
      <c r="BA715" s="341" t="n"/>
      <c r="BB715" s="341" t="n"/>
      <c r="BC715" s="341" t="n"/>
      <c r="BD715" s="341" t="n"/>
      <c r="BE715" s="341" t="n"/>
      <c r="BF715" s="341" t="n"/>
      <c r="BG715" s="341" t="n"/>
      <c r="BH715" s="341" t="n"/>
      <c r="BI715" s="341" t="n"/>
      <c r="BJ715" s="341" t="n"/>
      <c r="BK715" s="341" t="n"/>
      <c r="BL715" s="341" t="n"/>
      <c r="BM715" s="341" t="n"/>
      <c r="BN715" s="341" t="n"/>
      <c r="BO715" s="341" t="n"/>
      <c r="BP715" s="341" t="n"/>
    </row>
    <row outlineLevel="0" r="716">
      <c r="A716" s="154" t="n">
        <f aca="false" ca="false" dt2D="false" dtr="false" t="normal">+A715+1</f>
        <v>693</v>
      </c>
      <c r="B716" s="138" t="n">
        <f aca="false" ca="false" dt2D="false" dtr="false" t="normal">B715+1</f>
        <v>227</v>
      </c>
      <c r="C716" s="138" t="s">
        <v>177</v>
      </c>
      <c r="D716" s="138" t="s">
        <v>586</v>
      </c>
      <c r="E716" s="16" t="n">
        <f aca="false" ca="true" dt2D="false" dtr="false" t="normal">SUBTOTAL(9, F716:T716)</f>
        <v>2308731.31</v>
      </c>
      <c r="F716" s="17" t="n"/>
      <c r="G716" s="17" t="n">
        <v>2308731.31</v>
      </c>
      <c r="H716" s="17" t="n"/>
      <c r="I716" s="17" t="n"/>
      <c r="J716" s="17" t="n"/>
      <c r="K716" s="17" t="n"/>
      <c r="L716" s="17" t="n"/>
      <c r="M716" s="17" t="n"/>
      <c r="N716" s="17" t="n"/>
      <c r="O716" s="17" t="n"/>
      <c r="P716" s="17" t="n"/>
      <c r="Q716" s="17" t="n"/>
      <c r="R716" s="17" t="n"/>
      <c r="S716" s="17" t="n"/>
      <c r="T716" s="188" t="n"/>
      <c r="U716" s="341" t="n"/>
      <c r="V716" s="241" t="n">
        <f aca="false" ca="false" dt2D="false" dtr="false" t="normal">COUNTIF(F716:Q716, "&gt;0")</f>
        <v>1</v>
      </c>
      <c r="W716" s="341" t="n"/>
      <c r="X716" s="341" t="n"/>
      <c r="Y716" s="341" t="n"/>
      <c r="Z716" s="341" t="n"/>
      <c r="AA716" s="341" t="n"/>
      <c r="AB716" s="341" t="n"/>
      <c r="AC716" s="341" t="n"/>
      <c r="AD716" s="341" t="n"/>
      <c r="AE716" s="341" t="n"/>
      <c r="AF716" s="341" t="n"/>
      <c r="AG716" s="341" t="n"/>
      <c r="AH716" s="341" t="n"/>
      <c r="AI716" s="341" t="n"/>
      <c r="AJ716" s="341" t="n"/>
      <c r="AK716" s="341" t="n"/>
      <c r="AL716" s="341" t="n"/>
      <c r="AM716" s="341" t="n"/>
      <c r="AN716" s="341" t="n"/>
      <c r="AO716" s="341" t="n"/>
      <c r="AP716" s="341" t="n"/>
      <c r="AQ716" s="341" t="n"/>
      <c r="AR716" s="341" t="n"/>
      <c r="AS716" s="341" t="n"/>
      <c r="AT716" s="341" t="n"/>
      <c r="AU716" s="341" t="n"/>
      <c r="AV716" s="341" t="n"/>
      <c r="AW716" s="341" t="n"/>
      <c r="AX716" s="341" t="n"/>
      <c r="AY716" s="341" t="n"/>
      <c r="AZ716" s="341" t="n"/>
      <c r="BA716" s="341" t="n"/>
      <c r="BB716" s="341" t="n"/>
      <c r="BC716" s="341" t="n"/>
      <c r="BD716" s="341" t="n"/>
      <c r="BE716" s="341" t="n"/>
      <c r="BF716" s="341" t="n"/>
      <c r="BG716" s="341" t="n"/>
      <c r="BH716" s="341" t="n"/>
      <c r="BI716" s="341" t="n"/>
      <c r="BJ716" s="341" t="n"/>
      <c r="BK716" s="341" t="n"/>
      <c r="BL716" s="341" t="n"/>
      <c r="BM716" s="341" t="n"/>
      <c r="BN716" s="341" t="n"/>
      <c r="BO716" s="341" t="n"/>
      <c r="BP716" s="341" t="n"/>
    </row>
    <row outlineLevel="0" r="717">
      <c r="A717" s="154" t="n">
        <f aca="false" ca="false" dt2D="false" dtr="false" t="normal">+A716+1</f>
        <v>694</v>
      </c>
      <c r="B717" s="138" t="s">
        <v>76</v>
      </c>
      <c r="C717" s="138" t="s">
        <v>177</v>
      </c>
      <c r="D717" s="138" t="s">
        <v>346</v>
      </c>
      <c r="E717" s="16" t="n">
        <f aca="false" ca="true" dt2D="false" dtr="false" t="normal">SUBTOTAL(9, F717:T717)</f>
        <v>2813800.8</v>
      </c>
      <c r="F717" s="17" t="n">
        <v>2813800.8</v>
      </c>
      <c r="G717" s="17" t="n"/>
      <c r="H717" s="17" t="n"/>
      <c r="I717" s="17" t="n"/>
      <c r="J717" s="17" t="n"/>
      <c r="K717" s="17" t="n"/>
      <c r="L717" s="17" t="n"/>
      <c r="M717" s="17" t="n">
        <v>0</v>
      </c>
      <c r="N717" s="17" t="n"/>
      <c r="O717" s="17" t="n">
        <v>0</v>
      </c>
      <c r="P717" s="17" t="n"/>
      <c r="Q717" s="17" t="n"/>
      <c r="R717" s="17" t="n"/>
      <c r="S717" s="17" t="n"/>
      <c r="T717" s="188" t="n"/>
      <c r="V717" s="241" t="n">
        <f aca="false" ca="false" dt2D="false" dtr="false" t="normal">COUNTIF(F717:Q717, "&gt;0")</f>
        <v>1</v>
      </c>
    </row>
    <row outlineLevel="0" r="718">
      <c r="A718" s="154" t="n">
        <f aca="false" ca="false" dt2D="false" dtr="false" t="normal">+A717+1</f>
        <v>695</v>
      </c>
      <c r="B718" s="138" t="n">
        <f aca="false" ca="false" dt2D="false" dtr="false" t="normal">+B716+1</f>
        <v>228</v>
      </c>
      <c r="C718" s="138" t="s">
        <v>177</v>
      </c>
      <c r="D718" s="138" t="s">
        <v>589</v>
      </c>
      <c r="E718" s="16" t="n">
        <f aca="false" ca="true" dt2D="false" dtr="false" t="normal">SUBTOTAL(9, F718:T718)</f>
        <v>4694252.12</v>
      </c>
      <c r="F718" s="17" t="n">
        <v>4656460.68</v>
      </c>
      <c r="G718" s="17" t="n">
        <v>0</v>
      </c>
      <c r="H718" s="17" t="n">
        <v>0</v>
      </c>
      <c r="I718" s="17" t="n">
        <v>0</v>
      </c>
      <c r="J718" s="17" t="n">
        <v>0</v>
      </c>
      <c r="K718" s="17" t="n"/>
      <c r="L718" s="17" t="n"/>
      <c r="M718" s="17" t="n">
        <v>0</v>
      </c>
      <c r="N718" s="17" t="n"/>
      <c r="O718" s="17" t="n">
        <v>0</v>
      </c>
      <c r="P718" s="17" t="n"/>
      <c r="Q718" s="17" t="n">
        <v>0</v>
      </c>
      <c r="R718" s="17" t="n"/>
      <c r="S718" s="17" t="n"/>
      <c r="T718" s="188" t="n">
        <v>37791.44</v>
      </c>
      <c r="V718" s="241" t="n">
        <f aca="false" ca="false" dt2D="false" dtr="false" t="normal">COUNTIF(F718:Q718, "&gt;0")</f>
        <v>1</v>
      </c>
    </row>
    <row outlineLevel="0" r="719">
      <c r="A719" s="154" t="n">
        <f aca="false" ca="false" dt2D="false" dtr="false" t="normal">+A718+1</f>
        <v>696</v>
      </c>
      <c r="B719" s="138" t="s">
        <v>76</v>
      </c>
      <c r="C719" s="138" t="s">
        <v>177</v>
      </c>
      <c r="D719" s="138" t="s">
        <v>358</v>
      </c>
      <c r="E719" s="16" t="n">
        <f aca="false" ca="true" dt2D="false" dtr="false" t="normal">SUBTOTAL(9, F719:T719)</f>
        <v>24818398.01</v>
      </c>
      <c r="F719" s="17" t="n">
        <v>0</v>
      </c>
      <c r="G719" s="17" t="n"/>
      <c r="H719" s="17" t="n"/>
      <c r="I719" s="17" t="n"/>
      <c r="J719" s="17" t="n"/>
      <c r="K719" s="17" t="n"/>
      <c r="L719" s="17" t="n"/>
      <c r="M719" s="17" t="n">
        <v>0</v>
      </c>
      <c r="N719" s="17" t="n">
        <v>0</v>
      </c>
      <c r="O719" s="17" t="n">
        <v>0</v>
      </c>
      <c r="P719" s="17" t="n">
        <v>24818398.01</v>
      </c>
      <c r="Q719" s="17" t="n">
        <v>0</v>
      </c>
      <c r="R719" s="17" t="n"/>
      <c r="S719" s="17" t="n"/>
      <c r="T719" s="188" t="n"/>
      <c r="V719" s="241" t="n">
        <f aca="false" ca="false" dt2D="false" dtr="false" t="normal">COUNTIF(F719:Q719, "&gt;0")</f>
        <v>1</v>
      </c>
    </row>
    <row outlineLevel="0" r="720">
      <c r="A720" s="154" t="n">
        <f aca="false" ca="false" dt2D="false" dtr="false" t="normal">+A719+1</f>
        <v>697</v>
      </c>
      <c r="B720" s="138" t="n">
        <f aca="false" ca="false" dt2D="false" dtr="false" t="normal">B718+1</f>
        <v>229</v>
      </c>
      <c r="C720" s="138" t="s">
        <v>177</v>
      </c>
      <c r="D720" s="138" t="s">
        <v>551</v>
      </c>
      <c r="E720" s="16" t="n">
        <f aca="false" ca="true" dt2D="false" dtr="false" t="normal">SUBTOTAL(9, F720:T720)</f>
        <v>1429584.02</v>
      </c>
      <c r="F720" s="17" t="n"/>
      <c r="G720" s="17" t="n"/>
      <c r="H720" s="17" t="n"/>
      <c r="I720" s="17" t="n"/>
      <c r="J720" s="17" t="n">
        <v>1429584.02</v>
      </c>
      <c r="K720" s="17" t="n"/>
      <c r="L720" s="17" t="n">
        <v>0</v>
      </c>
      <c r="M720" s="17" t="n">
        <v>0</v>
      </c>
      <c r="N720" s="17" t="n"/>
      <c r="O720" s="17" t="n">
        <v>0</v>
      </c>
      <c r="P720" s="17" t="n"/>
      <c r="Q720" s="17" t="n"/>
      <c r="R720" s="17" t="n"/>
      <c r="S720" s="17" t="n"/>
      <c r="T720" s="188" t="n"/>
      <c r="V720" s="241" t="n">
        <f aca="false" ca="false" dt2D="false" dtr="false" t="normal">COUNTIF(F720:Q720, "&gt;0")</f>
        <v>1</v>
      </c>
    </row>
    <row outlineLevel="0" r="721">
      <c r="A721" s="154" t="n">
        <f aca="false" ca="false" dt2D="false" dtr="false" t="normal">+A720+1</f>
        <v>698</v>
      </c>
      <c r="B721" s="138" t="n">
        <f aca="false" ca="false" dt2D="false" dtr="false" t="normal">B720+1</f>
        <v>230</v>
      </c>
      <c r="C721" s="138" t="s">
        <v>177</v>
      </c>
      <c r="D721" s="138" t="s">
        <v>268</v>
      </c>
      <c r="E721" s="16" t="n">
        <f aca="false" ca="true" dt2D="false" dtr="false" t="normal">SUBTOTAL(9, F721:T721)</f>
        <v>1265830.5</v>
      </c>
      <c r="F721" s="17" t="n"/>
      <c r="G721" s="17" t="n">
        <v>773824.99</v>
      </c>
      <c r="H721" s="17" t="n"/>
      <c r="I721" s="17" t="n">
        <v>492005.51</v>
      </c>
      <c r="J721" s="17" t="n"/>
      <c r="K721" s="17" t="n"/>
      <c r="L721" s="17" t="n"/>
      <c r="M721" s="17" t="n">
        <v>0</v>
      </c>
      <c r="N721" s="17" t="n"/>
      <c r="O721" s="17" t="n">
        <v>0</v>
      </c>
      <c r="P721" s="17" t="n">
        <v>0</v>
      </c>
      <c r="Q721" s="17" t="n">
        <v>0</v>
      </c>
      <c r="R721" s="17" t="n"/>
      <c r="S721" s="17" t="n"/>
      <c r="T721" s="188" t="n"/>
      <c r="U721" s="341" t="n"/>
      <c r="V721" s="241" t="n">
        <f aca="false" ca="false" dt2D="false" dtr="false" t="normal">COUNTIF(F721:Q721, "&gt;0")</f>
        <v>2</v>
      </c>
      <c r="W721" s="341" t="n"/>
      <c r="X721" s="341" t="n"/>
      <c r="Y721" s="341" t="n"/>
      <c r="Z721" s="341" t="n"/>
      <c r="AA721" s="341" t="n"/>
      <c r="AB721" s="341" t="n"/>
      <c r="AC721" s="341" t="n"/>
      <c r="AD721" s="341" t="n"/>
      <c r="AE721" s="341" t="n"/>
      <c r="AF721" s="341" t="n"/>
      <c r="AG721" s="341" t="n"/>
      <c r="AH721" s="341" t="n"/>
      <c r="AI721" s="341" t="n"/>
      <c r="AJ721" s="341" t="n"/>
      <c r="AK721" s="341" t="n"/>
      <c r="AL721" s="341" t="n"/>
      <c r="AM721" s="341" t="n"/>
      <c r="AN721" s="341" t="n"/>
      <c r="AO721" s="341" t="n"/>
      <c r="AP721" s="341" t="n"/>
      <c r="AQ721" s="341" t="n"/>
      <c r="AR721" s="341" t="n"/>
      <c r="AS721" s="341" t="n"/>
      <c r="AT721" s="341" t="n"/>
      <c r="AU721" s="341" t="n"/>
      <c r="AV721" s="341" t="n"/>
      <c r="AW721" s="341" t="n"/>
      <c r="AX721" s="341" t="n"/>
      <c r="AY721" s="341" t="n"/>
      <c r="AZ721" s="341" t="n"/>
      <c r="BA721" s="341" t="n"/>
      <c r="BB721" s="341" t="n"/>
      <c r="BC721" s="341" t="n"/>
      <c r="BD721" s="341" t="n"/>
      <c r="BE721" s="341" t="n"/>
      <c r="BF721" s="341" t="n"/>
      <c r="BG721" s="341" t="n"/>
      <c r="BH721" s="341" t="n"/>
      <c r="BI721" s="341" t="n"/>
      <c r="BJ721" s="341" t="n"/>
      <c r="BK721" s="341" t="n"/>
      <c r="BL721" s="341" t="n"/>
      <c r="BM721" s="341" t="n"/>
      <c r="BN721" s="341" t="n"/>
      <c r="BO721" s="341" t="n"/>
      <c r="BP721" s="341" t="n"/>
    </row>
    <row outlineLevel="0" r="722">
      <c r="A722" s="154" t="n">
        <f aca="false" ca="false" dt2D="false" dtr="false" t="normal">+A721+1</f>
        <v>699</v>
      </c>
      <c r="B722" s="138" t="s">
        <v>76</v>
      </c>
      <c r="C722" s="138" t="s">
        <v>177</v>
      </c>
      <c r="D722" s="138" t="s">
        <v>394</v>
      </c>
      <c r="E722" s="16" t="n">
        <f aca="false" ca="true" dt2D="false" dtr="false" t="normal">SUBTOTAL(9, F722:T722)</f>
        <v>18727527.81</v>
      </c>
      <c r="F722" s="17" t="n">
        <v>9534404.98</v>
      </c>
      <c r="G722" s="17" t="n">
        <v>5463949.45</v>
      </c>
      <c r="H722" s="17" t="n"/>
      <c r="I722" s="17" t="n">
        <v>3729173.38</v>
      </c>
      <c r="J722" s="17" t="n"/>
      <c r="K722" s="17" t="n"/>
      <c r="L722" s="17" t="n"/>
      <c r="M722" s="17" t="n"/>
      <c r="N722" s="17" t="n"/>
      <c r="O722" s="17" t="n">
        <v>0</v>
      </c>
      <c r="P722" s="17" t="n"/>
      <c r="Q722" s="17" t="n"/>
      <c r="R722" s="17" t="n"/>
      <c r="S722" s="17" t="n"/>
      <c r="T722" s="188" t="n"/>
      <c r="V722" s="241" t="n">
        <f aca="false" ca="false" dt2D="false" dtr="false" t="normal">COUNTIF(F722:Q722, "&gt;0")</f>
        <v>3</v>
      </c>
    </row>
    <row outlineLevel="0" r="723">
      <c r="A723" s="154" t="n">
        <f aca="false" ca="false" dt2D="false" dtr="false" t="normal">+A722+1</f>
        <v>700</v>
      </c>
      <c r="B723" s="138" t="n">
        <f aca="false" ca="false" dt2D="false" dtr="false" t="normal">B721+1</f>
        <v>231</v>
      </c>
      <c r="C723" s="138" t="s">
        <v>177</v>
      </c>
      <c r="D723" s="138" t="s">
        <v>587</v>
      </c>
      <c r="E723" s="16" t="n">
        <f aca="false" ca="true" dt2D="false" dtr="false" t="normal">SUBTOTAL(9, F723:T723)</f>
        <v>1864807.79</v>
      </c>
      <c r="F723" s="17" t="n">
        <v>0</v>
      </c>
      <c r="G723" s="17" t="n">
        <v>0</v>
      </c>
      <c r="H723" s="17" t="n">
        <v>1864807.79</v>
      </c>
      <c r="I723" s="17" t="n">
        <v>0</v>
      </c>
      <c r="J723" s="17" t="n">
        <v>0</v>
      </c>
      <c r="K723" s="17" t="n"/>
      <c r="L723" s="17" t="n"/>
      <c r="M723" s="17" t="n">
        <v>0</v>
      </c>
      <c r="N723" s="17" t="n"/>
      <c r="O723" s="17" t="n">
        <v>0</v>
      </c>
      <c r="P723" s="17" t="n"/>
      <c r="Q723" s="17" t="n">
        <v>0</v>
      </c>
      <c r="R723" s="17" t="n"/>
      <c r="S723" s="17" t="n"/>
      <c r="T723" s="188" t="n"/>
      <c r="U723" s="341" t="n"/>
      <c r="V723" s="241" t="n">
        <f aca="false" ca="false" dt2D="false" dtr="false" t="normal">COUNTIF(F723:Q723, "&gt;0")</f>
        <v>1</v>
      </c>
      <c r="W723" s="341" t="n"/>
      <c r="X723" s="341" t="n"/>
      <c r="Y723" s="341" t="n"/>
      <c r="Z723" s="341" t="n"/>
      <c r="AA723" s="341" t="n"/>
      <c r="AB723" s="341" t="n"/>
      <c r="AC723" s="341" t="n"/>
      <c r="AD723" s="341" t="n"/>
      <c r="AE723" s="341" t="n"/>
      <c r="AF723" s="341" t="n"/>
      <c r="AG723" s="341" t="n"/>
      <c r="AH723" s="341" t="n"/>
      <c r="AI723" s="341" t="n"/>
      <c r="AJ723" s="341" t="n"/>
      <c r="AK723" s="341" t="n"/>
      <c r="AL723" s="341" t="n"/>
      <c r="AM723" s="341" t="n"/>
      <c r="AN723" s="341" t="n"/>
      <c r="AO723" s="341" t="n"/>
      <c r="AP723" s="341" t="n"/>
      <c r="AQ723" s="341" t="n"/>
      <c r="AR723" s="341" t="n"/>
      <c r="AS723" s="341" t="n"/>
      <c r="AT723" s="341" t="n"/>
      <c r="AU723" s="341" t="n"/>
      <c r="AV723" s="341" t="n"/>
      <c r="AW723" s="341" t="n"/>
      <c r="AX723" s="341" t="n"/>
      <c r="AY723" s="341" t="n"/>
      <c r="AZ723" s="341" t="n"/>
      <c r="BA723" s="341" t="n"/>
      <c r="BB723" s="341" t="n"/>
      <c r="BC723" s="341" t="n"/>
      <c r="BD723" s="341" t="n"/>
      <c r="BE723" s="341" t="n"/>
      <c r="BF723" s="341" t="n"/>
      <c r="BG723" s="341" t="n"/>
      <c r="BH723" s="341" t="n"/>
      <c r="BI723" s="341" t="n"/>
      <c r="BJ723" s="341" t="n"/>
      <c r="BK723" s="341" t="n"/>
      <c r="BL723" s="341" t="n"/>
      <c r="BM723" s="341" t="n"/>
      <c r="BN723" s="341" t="n"/>
      <c r="BO723" s="341" t="n"/>
      <c r="BP723" s="341" t="n"/>
    </row>
    <row outlineLevel="0" r="724">
      <c r="A724" s="154" t="n">
        <f aca="false" ca="false" dt2D="false" dtr="false" t="normal">+A723+1</f>
        <v>701</v>
      </c>
      <c r="B724" s="138" t="s">
        <v>76</v>
      </c>
      <c r="C724" s="138" t="s">
        <v>177</v>
      </c>
      <c r="D724" s="138" t="s">
        <v>303</v>
      </c>
      <c r="E724" s="16" t="n">
        <f aca="false" ca="true" dt2D="false" dtr="false" t="normal">SUBTOTAL(9, F724:T724)</f>
        <v>1245773.46</v>
      </c>
      <c r="F724" s="17" t="n"/>
      <c r="G724" s="17" t="n">
        <v>1245773.46</v>
      </c>
      <c r="H724" s="17" t="n"/>
      <c r="I724" s="17" t="n"/>
      <c r="J724" s="17" t="n"/>
      <c r="K724" s="17" t="n"/>
      <c r="L724" s="17" t="n"/>
      <c r="M724" s="17" t="n"/>
      <c r="N724" s="17" t="n"/>
      <c r="O724" s="17" t="n">
        <v>0</v>
      </c>
      <c r="P724" s="17" t="n"/>
      <c r="Q724" s="17" t="n"/>
      <c r="R724" s="17" t="n"/>
      <c r="S724" s="17" t="n"/>
      <c r="T724" s="188" t="n"/>
      <c r="V724" s="241" t="n">
        <f aca="false" ca="false" dt2D="false" dtr="false" t="normal">COUNTIF(F724:Q724, "&gt;0")</f>
        <v>1</v>
      </c>
    </row>
    <row outlineLevel="0" r="725">
      <c r="A725" s="154" t="n">
        <f aca="false" ca="false" dt2D="false" dtr="false" t="normal">+A724+1</f>
        <v>702</v>
      </c>
      <c r="B725" s="138" t="n">
        <f aca="false" ca="false" dt2D="false" dtr="false" t="normal">B723+1</f>
        <v>232</v>
      </c>
      <c r="C725" s="138" t="s">
        <v>177</v>
      </c>
      <c r="D725" s="138" t="s">
        <v>591</v>
      </c>
      <c r="E725" s="16" t="n">
        <f aca="false" ca="true" dt2D="false" dtr="false" t="normal">SUBTOTAL(9, F725:T725)</f>
        <v>1676753.94</v>
      </c>
      <c r="F725" s="17" t="n"/>
      <c r="G725" s="17" t="n"/>
      <c r="H725" s="17" t="n">
        <v>1676753.94</v>
      </c>
      <c r="I725" s="17" t="n"/>
      <c r="J725" s="17" t="n"/>
      <c r="K725" s="17" t="n"/>
      <c r="L725" s="17" t="n"/>
      <c r="M725" s="17" t="n"/>
      <c r="N725" s="17" t="n"/>
      <c r="O725" s="17" t="n"/>
      <c r="P725" s="17" t="n"/>
      <c r="Q725" s="17" t="n">
        <v>0</v>
      </c>
      <c r="R725" s="17" t="n"/>
      <c r="S725" s="17" t="n"/>
      <c r="T725" s="188" t="n"/>
      <c r="U725" s="341" t="n"/>
      <c r="V725" s="241" t="n">
        <f aca="false" ca="false" dt2D="false" dtr="false" t="normal">COUNTIF(F725:Q725, "&gt;0")</f>
        <v>1</v>
      </c>
      <c r="W725" s="341" t="n"/>
      <c r="X725" s="341" t="n"/>
      <c r="Y725" s="341" t="n"/>
      <c r="Z725" s="341" t="n"/>
      <c r="AA725" s="341" t="n"/>
      <c r="AB725" s="341" t="n"/>
      <c r="AC725" s="341" t="n"/>
      <c r="AD725" s="341" t="n"/>
      <c r="AE725" s="341" t="n"/>
      <c r="AF725" s="341" t="n"/>
      <c r="AG725" s="341" t="n"/>
      <c r="AH725" s="341" t="n"/>
      <c r="AI725" s="341" t="n"/>
      <c r="AJ725" s="341" t="n"/>
      <c r="AK725" s="341" t="n"/>
      <c r="AL725" s="341" t="n"/>
      <c r="AM725" s="341" t="n"/>
      <c r="AN725" s="341" t="n"/>
      <c r="AO725" s="341" t="n"/>
      <c r="AP725" s="341" t="n"/>
      <c r="AQ725" s="341" t="n"/>
      <c r="AR725" s="341" t="n"/>
      <c r="AS725" s="341" t="n"/>
      <c r="AT725" s="341" t="n"/>
      <c r="AU725" s="341" t="n"/>
      <c r="AV725" s="341" t="n"/>
      <c r="AW725" s="341" t="n"/>
      <c r="AX725" s="341" t="n"/>
      <c r="AY725" s="341" t="n"/>
      <c r="AZ725" s="341" t="n"/>
      <c r="BA725" s="341" t="n"/>
      <c r="BB725" s="341" t="n"/>
      <c r="BC725" s="341" t="n"/>
      <c r="BD725" s="341" t="n"/>
      <c r="BE725" s="341" t="n"/>
      <c r="BF725" s="341" t="n"/>
      <c r="BG725" s="341" t="n"/>
      <c r="BH725" s="341" t="n"/>
      <c r="BI725" s="341" t="n"/>
      <c r="BJ725" s="341" t="n"/>
      <c r="BK725" s="341" t="n"/>
      <c r="BL725" s="341" t="n"/>
      <c r="BM725" s="341" t="n"/>
      <c r="BN725" s="341" t="n"/>
      <c r="BO725" s="341" t="n"/>
      <c r="BP725" s="341" t="n"/>
    </row>
    <row outlineLevel="0" r="726">
      <c r="A726" s="154" t="n">
        <f aca="false" ca="false" dt2D="false" dtr="false" t="normal">+A725+1</f>
        <v>703</v>
      </c>
      <c r="B726" s="138" t="s">
        <v>76</v>
      </c>
      <c r="C726" s="138" t="s">
        <v>177</v>
      </c>
      <c r="D726" s="138" t="s">
        <v>316</v>
      </c>
      <c r="E726" s="16" t="n">
        <f aca="false" ca="true" dt2D="false" dtr="false" t="normal">SUBTOTAL(9, F726:T726)</f>
        <v>18725946.22</v>
      </c>
      <c r="F726" s="17" t="n">
        <v>8642752.76</v>
      </c>
      <c r="G726" s="17" t="n">
        <v>3166684.8</v>
      </c>
      <c r="H726" s="17" t="n">
        <v>2702263.7</v>
      </c>
      <c r="I726" s="17" t="n">
        <v>4214244.96</v>
      </c>
      <c r="J726" s="17" t="n"/>
      <c r="K726" s="17" t="n"/>
      <c r="L726" s="17" t="n"/>
      <c r="M726" s="17" t="n"/>
      <c r="N726" s="17" t="n"/>
      <c r="O726" s="17" t="n"/>
      <c r="P726" s="17" t="n"/>
      <c r="Q726" s="17" t="n"/>
      <c r="R726" s="17" t="n"/>
      <c r="S726" s="17" t="n"/>
      <c r="T726" s="188" t="n"/>
      <c r="V726" s="241" t="n">
        <f aca="false" ca="false" dt2D="false" dtr="false" t="normal">COUNTIF(F726:Q726, "&gt;0")</f>
        <v>4</v>
      </c>
    </row>
    <row outlineLevel="0" r="727">
      <c r="A727" s="154" t="n">
        <f aca="false" ca="false" dt2D="false" dtr="false" t="normal">+A726+1</f>
        <v>704</v>
      </c>
      <c r="B727" s="138" t="s">
        <v>76</v>
      </c>
      <c r="C727" s="138" t="s">
        <v>177</v>
      </c>
      <c r="D727" s="138" t="s">
        <v>754</v>
      </c>
      <c r="E727" s="16" t="n">
        <f aca="false" ca="true" dt2D="false" dtr="false" t="normal">SUBTOTAL(9, F727:T727)</f>
        <v>18777068.41</v>
      </c>
      <c r="F727" s="17" t="n">
        <v>8489249.92</v>
      </c>
      <c r="G727" s="17" t="n">
        <v>3460760.4</v>
      </c>
      <c r="H727" s="17" t="n">
        <v>2702263.7</v>
      </c>
      <c r="I727" s="17" t="n">
        <v>4124794.39</v>
      </c>
      <c r="J727" s="17" t="n"/>
      <c r="K727" s="17" t="n"/>
      <c r="L727" s="17" t="n"/>
      <c r="M727" s="17" t="n"/>
      <c r="N727" s="17" t="n"/>
      <c r="O727" s="17" t="n"/>
      <c r="P727" s="17" t="n"/>
      <c r="Q727" s="17" t="n"/>
      <c r="R727" s="17" t="n"/>
      <c r="S727" s="17" t="n"/>
      <c r="T727" s="188" t="n"/>
      <c r="V727" s="241" t="n">
        <f aca="false" ca="false" dt2D="false" dtr="false" t="normal">COUNTIF(F727:Q727, "&gt;0")</f>
        <v>4</v>
      </c>
    </row>
    <row outlineLevel="0" r="728">
      <c r="A728" s="154" t="n">
        <f aca="false" ca="false" dt2D="false" dtr="false" t="normal">+A727+1</f>
        <v>705</v>
      </c>
      <c r="B728" s="138" t="s">
        <v>76</v>
      </c>
      <c r="C728" s="138" t="s">
        <v>177</v>
      </c>
      <c r="D728" s="138" t="s">
        <v>328</v>
      </c>
      <c r="E728" s="16" t="n">
        <f aca="false" ca="true" dt2D="false" dtr="false" t="normal">SUBTOTAL(9, F728:T728)</f>
        <v>7650833.649999999</v>
      </c>
      <c r="F728" s="17" t="n"/>
      <c r="G728" s="17" t="n">
        <v>5039032.72</v>
      </c>
      <c r="H728" s="17" t="n"/>
      <c r="I728" s="17" t="n">
        <v>2545605.9</v>
      </c>
      <c r="J728" s="17" t="n"/>
      <c r="K728" s="17" t="n"/>
      <c r="L728" s="17" t="n"/>
      <c r="M728" s="17" t="n">
        <v>0</v>
      </c>
      <c r="N728" s="17" t="n"/>
      <c r="O728" s="17" t="n">
        <v>0</v>
      </c>
      <c r="P728" s="17" t="n"/>
      <c r="Q728" s="17" t="n"/>
      <c r="R728" s="17" t="n"/>
      <c r="S728" s="17" t="n"/>
      <c r="T728" s="188" t="n">
        <v>66195.03</v>
      </c>
      <c r="V728" s="241" t="n">
        <f aca="false" ca="false" dt2D="false" dtr="false" t="normal">COUNTIF(F728:Q728, "&gt;0")</f>
        <v>2</v>
      </c>
    </row>
    <row outlineLevel="0" r="729">
      <c r="A729" s="154" t="n">
        <f aca="false" ca="false" dt2D="false" dtr="false" t="normal">+A728+1</f>
        <v>706</v>
      </c>
      <c r="B729" s="138" t="n">
        <f aca="false" ca="false" dt2D="false" dtr="false" t="normal">B725+1</f>
        <v>233</v>
      </c>
      <c r="C729" s="138" t="s">
        <v>177</v>
      </c>
      <c r="D729" s="138" t="s">
        <v>329</v>
      </c>
      <c r="E729" s="16" t="n">
        <f aca="false" ca="true" dt2D="false" dtr="false" t="normal">SUBTOTAL(9, F729:T729)</f>
        <v>1950514.3</v>
      </c>
      <c r="F729" s="17" t="n"/>
      <c r="G729" s="17" t="n">
        <v>1950514.3</v>
      </c>
      <c r="H729" s="17" t="n"/>
      <c r="I729" s="17" t="n"/>
      <c r="J729" s="17" t="n"/>
      <c r="K729" s="17" t="n"/>
      <c r="L729" s="17" t="n"/>
      <c r="M729" s="17" t="n"/>
      <c r="N729" s="17" t="n"/>
      <c r="O729" s="17" t="n"/>
      <c r="P729" s="17" t="n"/>
      <c r="Q729" s="17" t="n"/>
      <c r="R729" s="17" t="n"/>
      <c r="S729" s="17" t="n"/>
      <c r="T729" s="188" t="n"/>
      <c r="V729" s="241" t="n">
        <f aca="false" ca="false" dt2D="false" dtr="false" t="normal">COUNTIF(F729:Q729, "&gt;0")</f>
        <v>1</v>
      </c>
    </row>
    <row outlineLevel="0" r="730">
      <c r="A730" s="154" t="n">
        <f aca="false" ca="false" dt2D="false" dtr="false" t="normal">+A729+1</f>
        <v>707</v>
      </c>
      <c r="B730" s="138" t="s">
        <v>76</v>
      </c>
      <c r="C730" s="138" t="s">
        <v>177</v>
      </c>
      <c r="D730" s="138" t="s">
        <v>330</v>
      </c>
      <c r="E730" s="342" t="n">
        <f aca="false" ca="true" dt2D="false" dtr="false" t="normal">SUBTOTAL(9, F730:T730)</f>
        <v>1397547.49</v>
      </c>
      <c r="F730" s="17" t="n"/>
      <c r="G730" s="17" t="n">
        <v>1397547.49</v>
      </c>
      <c r="H730" s="17" t="n"/>
      <c r="I730" s="17" t="n"/>
      <c r="J730" s="17" t="n"/>
      <c r="K730" s="17" t="n"/>
      <c r="L730" s="17" t="n"/>
      <c r="M730" s="17" t="n">
        <v>0</v>
      </c>
      <c r="N730" s="17" t="n">
        <v>0</v>
      </c>
      <c r="O730" s="17" t="n">
        <v>0</v>
      </c>
      <c r="P730" s="17" t="n"/>
      <c r="Q730" s="17" t="n">
        <v>0</v>
      </c>
      <c r="R730" s="17" t="n"/>
      <c r="S730" s="17" t="n"/>
      <c r="T730" s="188" t="n"/>
      <c r="V730" s="241" t="n">
        <f aca="false" ca="false" dt2D="false" dtr="false" t="normal">COUNTIF(F730:Q730, "&gt;0")</f>
        <v>1</v>
      </c>
    </row>
    <row outlineLevel="0" r="731">
      <c r="A731" s="154" t="n">
        <f aca="false" ca="false" dt2D="false" dtr="false" t="normal">+A730+1</f>
        <v>708</v>
      </c>
      <c r="B731" s="138" t="s">
        <v>76</v>
      </c>
      <c r="C731" s="138" t="s">
        <v>177</v>
      </c>
      <c r="D731" s="138" t="s">
        <v>324</v>
      </c>
      <c r="E731" s="342" t="n">
        <f aca="false" ca="true" dt2D="false" dtr="false" t="normal">SUBTOTAL(9, F731:T731)</f>
        <v>2108794.91</v>
      </c>
      <c r="F731" s="17" t="n"/>
      <c r="G731" s="17" t="n">
        <v>1063489.17</v>
      </c>
      <c r="H731" s="17" t="n">
        <v>0</v>
      </c>
      <c r="I731" s="17" t="n">
        <v>1045305.74</v>
      </c>
      <c r="J731" s="17" t="n"/>
      <c r="K731" s="17" t="n"/>
      <c r="L731" s="17" t="n"/>
      <c r="M731" s="17" t="n">
        <v>0</v>
      </c>
      <c r="N731" s="17" t="n">
        <v>0</v>
      </c>
      <c r="O731" s="17" t="n">
        <v>0</v>
      </c>
      <c r="P731" s="17" t="n"/>
      <c r="Q731" s="17" t="n">
        <v>0</v>
      </c>
      <c r="R731" s="17" t="n"/>
      <c r="S731" s="17" t="n"/>
      <c r="T731" s="188" t="n"/>
      <c r="V731" s="241" t="n">
        <f aca="false" ca="false" dt2D="false" dtr="false" t="normal">COUNTIF(F731:Q731, "&gt;0")</f>
        <v>2</v>
      </c>
    </row>
    <row outlineLevel="0" r="732">
      <c r="A732" s="154" t="n">
        <f aca="false" ca="false" dt2D="false" dtr="false" t="normal">+A731+1</f>
        <v>709</v>
      </c>
      <c r="B732" s="138" t="s">
        <v>76</v>
      </c>
      <c r="C732" s="138" t="s">
        <v>177</v>
      </c>
      <c r="D732" s="138" t="s">
        <v>450</v>
      </c>
      <c r="E732" s="342" t="n">
        <f aca="false" ca="true" dt2D="false" dtr="false" t="normal">SUBTOTAL(9, F732:T732)</f>
        <v>2371403.8</v>
      </c>
      <c r="F732" s="17" t="n"/>
      <c r="G732" s="17" t="n">
        <v>1063489.17</v>
      </c>
      <c r="H732" s="17" t="n"/>
      <c r="I732" s="17" t="n">
        <v>1307914.63</v>
      </c>
      <c r="J732" s="17" t="n"/>
      <c r="K732" s="17" t="n"/>
      <c r="L732" s="17" t="n"/>
      <c r="M732" s="17" t="n">
        <v>0</v>
      </c>
      <c r="N732" s="17" t="n">
        <v>0</v>
      </c>
      <c r="O732" s="17" t="n">
        <v>0</v>
      </c>
      <c r="P732" s="17" t="n"/>
      <c r="Q732" s="17" t="n">
        <v>0</v>
      </c>
      <c r="R732" s="17" t="n"/>
      <c r="S732" s="17" t="n"/>
      <c r="T732" s="188" t="n"/>
      <c r="V732" s="241" t="n">
        <f aca="false" ca="false" dt2D="false" dtr="false" t="normal">COUNTIF(F732:Q732, "&gt;0")</f>
        <v>2</v>
      </c>
    </row>
    <row outlineLevel="0" r="733">
      <c r="A733" s="154" t="n">
        <f aca="false" ca="false" dt2D="false" dtr="false" t="normal">+A732+1</f>
        <v>710</v>
      </c>
      <c r="B733" s="138" t="s">
        <v>76</v>
      </c>
      <c r="C733" s="138" t="s">
        <v>177</v>
      </c>
      <c r="D733" s="138" t="s">
        <v>453</v>
      </c>
      <c r="E733" s="342" t="n">
        <f aca="false" ca="true" dt2D="false" dtr="false" t="normal">SUBTOTAL(9, F733:T733)</f>
        <v>3630748.2</v>
      </c>
      <c r="F733" s="17" t="n"/>
      <c r="G733" s="17" t="n">
        <v>1974259.12</v>
      </c>
      <c r="H733" s="17" t="n"/>
      <c r="I733" s="17" t="n">
        <v>1656489.08</v>
      </c>
      <c r="J733" s="17" t="n">
        <v>0</v>
      </c>
      <c r="K733" s="17" t="n"/>
      <c r="L733" s="17" t="n"/>
      <c r="M733" s="17" t="n">
        <v>0</v>
      </c>
      <c r="N733" s="17" t="n"/>
      <c r="O733" s="17" t="n"/>
      <c r="P733" s="17" t="n"/>
      <c r="Q733" s="17" t="n">
        <v>0</v>
      </c>
      <c r="R733" s="17" t="n"/>
      <c r="S733" s="17" t="n"/>
      <c r="T733" s="188" t="n"/>
      <c r="V733" s="241" t="n">
        <f aca="false" ca="false" dt2D="false" dtr="false" t="normal">COUNTIF(F733:Q733, "&gt;0")</f>
        <v>2</v>
      </c>
    </row>
    <row outlineLevel="0" r="734">
      <c r="A734" s="154" t="n">
        <f aca="false" ca="false" dt2D="false" dtr="false" t="normal">+A733+1</f>
        <v>711</v>
      </c>
      <c r="B734" s="138" t="n">
        <f aca="false" ca="false" dt2D="false" dtr="false" t="normal">B729+1</f>
        <v>234</v>
      </c>
      <c r="C734" s="138" t="s">
        <v>82</v>
      </c>
      <c r="D734" s="138" t="s">
        <v>594</v>
      </c>
      <c r="E734" s="16" t="n">
        <f aca="false" ca="true" dt2D="false" dtr="false" t="normal">SUBTOTAL(9, F734:T734)</f>
        <v>520542.46</v>
      </c>
      <c r="F734" s="17" t="n"/>
      <c r="G734" s="17" t="n"/>
      <c r="H734" s="17" t="n"/>
      <c r="I734" s="17" t="n">
        <v>520542.46</v>
      </c>
      <c r="J734" s="17" t="n"/>
      <c r="K734" s="17" t="n"/>
      <c r="L734" s="17" t="n"/>
      <c r="M734" s="17" t="n"/>
      <c r="N734" s="17" t="n"/>
      <c r="O734" s="17" t="n"/>
      <c r="P734" s="17" t="n"/>
      <c r="Q734" s="17" t="n"/>
      <c r="R734" s="17" t="n"/>
      <c r="S734" s="17" t="n"/>
      <c r="T734" s="188" t="n"/>
      <c r="U734" s="341" t="n"/>
      <c r="V734" s="241" t="n">
        <f aca="false" ca="false" dt2D="false" dtr="false" t="normal">COUNTIF(F734:Q734, "&gt;0")</f>
        <v>1</v>
      </c>
      <c r="W734" s="341" t="n"/>
      <c r="X734" s="341" t="n"/>
      <c r="Y734" s="341" t="n"/>
      <c r="Z734" s="341" t="n"/>
      <c r="AA734" s="341" t="n"/>
      <c r="AB734" s="341" t="n"/>
      <c r="AC734" s="341" t="n"/>
      <c r="AD734" s="341" t="n"/>
      <c r="AE734" s="341" t="n"/>
      <c r="AF734" s="341" t="n"/>
      <c r="AG734" s="341" t="n"/>
      <c r="AH734" s="341" t="n"/>
      <c r="AI734" s="341" t="n"/>
      <c r="AJ734" s="341" t="n"/>
      <c r="AK734" s="341" t="n"/>
      <c r="AL734" s="341" t="n"/>
      <c r="AM734" s="341" t="n"/>
      <c r="AN734" s="341" t="n"/>
      <c r="AO734" s="341" t="n"/>
      <c r="AP734" s="341" t="n"/>
      <c r="AQ734" s="341" t="n"/>
      <c r="AR734" s="341" t="n"/>
      <c r="AS734" s="341" t="n"/>
      <c r="AT734" s="341" t="n"/>
      <c r="AU734" s="341" t="n"/>
      <c r="AV734" s="341" t="n"/>
      <c r="AW734" s="341" t="n"/>
      <c r="AX734" s="341" t="n"/>
      <c r="AY734" s="341" t="n"/>
      <c r="AZ734" s="341" t="n"/>
      <c r="BA734" s="341" t="n"/>
      <c r="BB734" s="341" t="n"/>
      <c r="BC734" s="341" t="n"/>
      <c r="BD734" s="341" t="n"/>
      <c r="BE734" s="341" t="n"/>
      <c r="BF734" s="341" t="n"/>
      <c r="BG734" s="341" t="n"/>
      <c r="BH734" s="341" t="n"/>
      <c r="BI734" s="341" t="n"/>
      <c r="BJ734" s="341" t="n"/>
      <c r="BK734" s="341" t="n"/>
      <c r="BL734" s="341" t="n"/>
      <c r="BM734" s="341" t="n"/>
      <c r="BN734" s="341" t="n"/>
      <c r="BO734" s="341" t="n"/>
      <c r="BP734" s="341" t="n"/>
    </row>
    <row outlineLevel="0" r="735">
      <c r="A735" s="154" t="n">
        <f aca="false" ca="false" dt2D="false" dtr="false" t="normal">+A734+1</f>
        <v>712</v>
      </c>
      <c r="B735" s="138" t="n">
        <f aca="false" ca="false" dt2D="false" dtr="false" t="normal">B734+1</f>
        <v>235</v>
      </c>
      <c r="C735" s="138" t="s">
        <v>82</v>
      </c>
      <c r="D735" s="138" t="s">
        <v>596</v>
      </c>
      <c r="E735" s="16" t="n">
        <f aca="false" ca="true" dt2D="false" dtr="false" t="normal">SUBTOTAL(9, F735:T735)</f>
        <v>1421363.24</v>
      </c>
      <c r="F735" s="17" t="n"/>
      <c r="G735" s="17" t="n"/>
      <c r="H735" s="17" t="n">
        <v>1421363.24</v>
      </c>
      <c r="I735" s="17" t="n">
        <v>0</v>
      </c>
      <c r="J735" s="17" t="n">
        <v>0</v>
      </c>
      <c r="K735" s="17" t="n"/>
      <c r="L735" s="17" t="n"/>
      <c r="M735" s="17" t="n">
        <v>0</v>
      </c>
      <c r="N735" s="17" t="n">
        <v>0</v>
      </c>
      <c r="O735" s="17" t="n">
        <v>0</v>
      </c>
      <c r="P735" s="17" t="n">
        <v>0</v>
      </c>
      <c r="Q735" s="17" t="n">
        <v>0</v>
      </c>
      <c r="R735" s="17" t="n"/>
      <c r="S735" s="17" t="n"/>
      <c r="T735" s="188" t="n"/>
      <c r="V735" s="241" t="n">
        <f aca="false" ca="false" dt2D="false" dtr="false" t="normal">COUNTIF(F735:Q735, "&gt;0")</f>
        <v>1</v>
      </c>
    </row>
    <row outlineLevel="0" r="736">
      <c r="A736" s="154" t="n">
        <f aca="false" ca="false" dt2D="false" dtr="false" t="normal">+A735+1</f>
        <v>713</v>
      </c>
      <c r="B736" s="138" t="n">
        <f aca="false" ca="false" dt2D="false" dtr="false" t="normal">B735+1</f>
        <v>236</v>
      </c>
      <c r="C736" s="138" t="s">
        <v>82</v>
      </c>
      <c r="D736" s="138" t="s">
        <v>598</v>
      </c>
      <c r="E736" s="16" t="n">
        <f aca="false" ca="true" dt2D="false" dtr="false" t="normal">SUBTOTAL(9, F736:T736)</f>
        <v>1293781.6</v>
      </c>
      <c r="F736" s="17" t="n"/>
      <c r="G736" s="17" t="n"/>
      <c r="H736" s="17" t="n">
        <v>1293781.6</v>
      </c>
      <c r="I736" s="17" t="n">
        <v>0</v>
      </c>
      <c r="J736" s="17" t="n">
        <v>0</v>
      </c>
      <c r="K736" s="17" t="n"/>
      <c r="L736" s="17" t="n"/>
      <c r="M736" s="17" t="n">
        <v>0</v>
      </c>
      <c r="N736" s="17" t="n">
        <v>0</v>
      </c>
      <c r="O736" s="17" t="n">
        <v>0</v>
      </c>
      <c r="P736" s="17" t="n">
        <v>0</v>
      </c>
      <c r="Q736" s="17" t="n">
        <v>0</v>
      </c>
      <c r="R736" s="17" t="n"/>
      <c r="S736" s="17" t="n"/>
      <c r="T736" s="188" t="n"/>
      <c r="V736" s="241" t="n">
        <f aca="false" ca="false" dt2D="false" dtr="false" t="normal">COUNTIF(F736:Q736, "&gt;0")</f>
        <v>1</v>
      </c>
    </row>
    <row outlineLevel="0" r="737">
      <c r="A737" s="154" t="n">
        <f aca="false" ca="false" dt2D="false" dtr="false" t="normal">+A736+1</f>
        <v>714</v>
      </c>
      <c r="B737" s="138" t="s">
        <v>76</v>
      </c>
      <c r="C737" s="138" t="s">
        <v>82</v>
      </c>
      <c r="D737" s="138" t="s">
        <v>483</v>
      </c>
      <c r="E737" s="16" t="n">
        <f aca="false" ca="true" dt2D="false" dtr="false" t="normal">SUBTOTAL(9, F737:T737)</f>
        <v>1598147.38</v>
      </c>
      <c r="F737" s="17" t="n">
        <v>0</v>
      </c>
      <c r="G737" s="17" t="n">
        <v>0</v>
      </c>
      <c r="H737" s="17" t="n"/>
      <c r="I737" s="17" t="n">
        <v>1598147.38</v>
      </c>
      <c r="J737" s="17" t="n">
        <v>0</v>
      </c>
      <c r="K737" s="17" t="n"/>
      <c r="L737" s="17" t="n"/>
      <c r="M737" s="17" t="n">
        <v>0</v>
      </c>
      <c r="N737" s="17" t="n">
        <v>0</v>
      </c>
      <c r="O737" s="17" t="n">
        <v>0</v>
      </c>
      <c r="P737" s="17" t="n">
        <v>0</v>
      </c>
      <c r="Q737" s="17" t="n">
        <v>0</v>
      </c>
      <c r="R737" s="17" t="n"/>
      <c r="S737" s="17" t="n"/>
      <c r="T737" s="188" t="n"/>
      <c r="U737" s="341" t="n"/>
      <c r="V737" s="241" t="n">
        <f aca="false" ca="false" dt2D="false" dtr="false" t="normal">COUNTIF(F737:Q737, "&gt;0")</f>
        <v>1</v>
      </c>
      <c r="W737" s="341" t="n"/>
      <c r="X737" s="341" t="n"/>
      <c r="Y737" s="341" t="n"/>
      <c r="Z737" s="341" t="n"/>
      <c r="AA737" s="341" t="n"/>
      <c r="AB737" s="341" t="n"/>
      <c r="AC737" s="341" t="n"/>
      <c r="AD737" s="341" t="n"/>
      <c r="AE737" s="341" t="n"/>
      <c r="AF737" s="341" t="n"/>
      <c r="AG737" s="341" t="n"/>
      <c r="AH737" s="341" t="n"/>
      <c r="AI737" s="341" t="n"/>
      <c r="AJ737" s="341" t="n"/>
      <c r="AK737" s="341" t="n"/>
      <c r="AL737" s="341" t="n"/>
      <c r="AM737" s="341" t="n"/>
      <c r="AN737" s="341" t="n"/>
      <c r="AO737" s="341" t="n"/>
      <c r="AP737" s="341" t="n"/>
      <c r="AQ737" s="341" t="n"/>
      <c r="AR737" s="341" t="n"/>
      <c r="AS737" s="341" t="n"/>
      <c r="AT737" s="341" t="n"/>
      <c r="AU737" s="341" t="n"/>
      <c r="AV737" s="341" t="n"/>
      <c r="AW737" s="341" t="n"/>
      <c r="AX737" s="341" t="n"/>
      <c r="AY737" s="341" t="n"/>
      <c r="AZ737" s="341" t="n"/>
      <c r="BA737" s="341" t="n"/>
      <c r="BB737" s="341" t="n"/>
      <c r="BC737" s="341" t="n"/>
      <c r="BD737" s="341" t="n"/>
      <c r="BE737" s="341" t="n"/>
      <c r="BF737" s="341" t="n"/>
      <c r="BG737" s="341" t="n"/>
      <c r="BH737" s="341" t="n"/>
      <c r="BI737" s="341" t="n"/>
      <c r="BJ737" s="341" t="n"/>
      <c r="BK737" s="341" t="n"/>
      <c r="BL737" s="341" t="n"/>
      <c r="BM737" s="341" t="n"/>
      <c r="BN737" s="341" t="n"/>
      <c r="BO737" s="341" t="n"/>
      <c r="BP737" s="341" t="n"/>
    </row>
    <row outlineLevel="0" r="738">
      <c r="A738" s="154" t="n">
        <f aca="false" ca="false" dt2D="false" dtr="false" t="normal">+A737+1</f>
        <v>715</v>
      </c>
      <c r="B738" s="138" t="s">
        <v>76</v>
      </c>
      <c r="C738" s="138" t="s">
        <v>82</v>
      </c>
      <c r="D738" s="138" t="s">
        <v>490</v>
      </c>
      <c r="E738" s="16" t="n">
        <f aca="false" ca="true" dt2D="false" dtr="false" t="normal">SUBTOTAL(9, F738:T738)</f>
        <v>1245617.88</v>
      </c>
      <c r="F738" s="17" t="n"/>
      <c r="G738" s="17" t="n"/>
      <c r="H738" s="17" t="n">
        <v>1245617.88</v>
      </c>
      <c r="I738" s="17" t="n">
        <v>0</v>
      </c>
      <c r="J738" s="17" t="n">
        <v>0</v>
      </c>
      <c r="K738" s="17" t="n"/>
      <c r="L738" s="17" t="n"/>
      <c r="M738" s="17" t="n">
        <v>0</v>
      </c>
      <c r="N738" s="17" t="n"/>
      <c r="O738" s="17" t="n">
        <v>0</v>
      </c>
      <c r="P738" s="17" t="n"/>
      <c r="Q738" s="17" t="n">
        <v>0</v>
      </c>
      <c r="R738" s="17" t="n"/>
      <c r="S738" s="17" t="n"/>
      <c r="T738" s="188" t="n"/>
      <c r="V738" s="241" t="n">
        <f aca="false" ca="false" dt2D="false" dtr="false" t="normal">COUNTIF(F738:Q738, "&gt;0")</f>
        <v>1</v>
      </c>
    </row>
    <row outlineLevel="0" r="739">
      <c r="A739" s="154" t="n">
        <f aca="false" ca="false" dt2D="false" dtr="false" t="normal">+A738+1</f>
        <v>716</v>
      </c>
      <c r="B739" s="138" t="n">
        <f aca="false" ca="false" dt2D="false" dtr="false" t="normal">B736+1</f>
        <v>237</v>
      </c>
      <c r="C739" s="138" t="s">
        <v>82</v>
      </c>
      <c r="D739" s="138" t="s">
        <v>603</v>
      </c>
      <c r="E739" s="16" t="n">
        <f aca="false" ca="true" dt2D="false" dtr="false" t="normal">SUBTOTAL(9, F739:T739)</f>
        <v>640276.6</v>
      </c>
      <c r="F739" s="17" t="n"/>
      <c r="G739" s="17" t="n"/>
      <c r="H739" s="17" t="n"/>
      <c r="I739" s="17" t="n">
        <v>640276.6</v>
      </c>
      <c r="J739" s="17" t="n"/>
      <c r="K739" s="17" t="n"/>
      <c r="L739" s="17" t="n"/>
      <c r="M739" s="17" t="n"/>
      <c r="N739" s="17" t="n"/>
      <c r="O739" s="17" t="n"/>
      <c r="P739" s="17" t="n"/>
      <c r="Q739" s="17" t="n"/>
      <c r="R739" s="17" t="n"/>
      <c r="S739" s="17" t="n"/>
      <c r="T739" s="188" t="n"/>
      <c r="V739" s="241" t="n">
        <f aca="false" ca="false" dt2D="false" dtr="false" t="normal">COUNTIF(F739:Q739, "&gt;0")</f>
        <v>1</v>
      </c>
    </row>
    <row outlineLevel="0" r="740">
      <c r="A740" s="154" t="n">
        <f aca="false" ca="false" dt2D="false" dtr="false" t="normal">+A739+1</f>
        <v>717</v>
      </c>
      <c r="B740" s="138" t="n">
        <f aca="false" ca="false" dt2D="false" dtr="false" t="normal">B739+1</f>
        <v>238</v>
      </c>
      <c r="C740" s="138" t="s">
        <v>82</v>
      </c>
      <c r="D740" s="138" t="s">
        <v>605</v>
      </c>
      <c r="E740" s="16" t="n">
        <f aca="false" ca="true" dt2D="false" dtr="false" t="normal">SUBTOTAL(9, F740:T740)</f>
        <v>2435971.49</v>
      </c>
      <c r="F740" s="17" t="n">
        <v>0</v>
      </c>
      <c r="G740" s="17" t="n">
        <v>0</v>
      </c>
      <c r="H740" s="17" t="n">
        <v>2435971.49</v>
      </c>
      <c r="I740" s="17" t="n">
        <v>0</v>
      </c>
      <c r="J740" s="17" t="n">
        <v>0</v>
      </c>
      <c r="K740" s="17" t="n"/>
      <c r="L740" s="17" t="n"/>
      <c r="M740" s="17" t="n">
        <v>0</v>
      </c>
      <c r="N740" s="17" t="n">
        <v>0</v>
      </c>
      <c r="O740" s="17" t="n">
        <v>0</v>
      </c>
      <c r="P740" s="17" t="n">
        <v>0</v>
      </c>
      <c r="Q740" s="17" t="n">
        <v>0</v>
      </c>
      <c r="R740" s="17" t="n"/>
      <c r="S740" s="17" t="n"/>
      <c r="T740" s="188" t="n"/>
      <c r="V740" s="241" t="n">
        <f aca="false" ca="false" dt2D="false" dtr="false" t="normal">COUNTIF(F740:Q740, "&gt;0")</f>
        <v>1</v>
      </c>
    </row>
    <row outlineLevel="0" r="741">
      <c r="A741" s="154" t="n">
        <f aca="false" ca="false" dt2D="false" dtr="false" t="normal">+A740+1</f>
        <v>718</v>
      </c>
      <c r="B741" s="138" t="n">
        <f aca="false" ca="false" dt2D="false" dtr="false" t="normal">B740+1</f>
        <v>239</v>
      </c>
      <c r="C741" s="138" t="s">
        <v>82</v>
      </c>
      <c r="D741" s="138" t="s">
        <v>607</v>
      </c>
      <c r="E741" s="16" t="n">
        <f aca="false" ca="true" dt2D="false" dtr="false" t="normal">SUBTOTAL(9, F741:T741)</f>
        <v>1357157.63</v>
      </c>
      <c r="F741" s="17" t="n"/>
      <c r="G741" s="17" t="n"/>
      <c r="H741" s="17" t="n"/>
      <c r="I741" s="17" t="n">
        <v>1357157.63</v>
      </c>
      <c r="J741" s="17" t="n"/>
      <c r="K741" s="17" t="n"/>
      <c r="L741" s="17" t="n"/>
      <c r="M741" s="17" t="n"/>
      <c r="N741" s="17" t="n"/>
      <c r="O741" s="17" t="n"/>
      <c r="P741" s="17" t="n"/>
      <c r="Q741" s="17" t="n"/>
      <c r="R741" s="17" t="n"/>
      <c r="S741" s="17" t="n"/>
      <c r="T741" s="188" t="n"/>
      <c r="V741" s="241" t="n">
        <f aca="false" ca="false" dt2D="false" dtr="false" t="normal">COUNTIF(F741:Q741, "&gt;0")</f>
        <v>1</v>
      </c>
    </row>
    <row outlineLevel="0" r="742">
      <c r="A742" s="154" t="n">
        <f aca="false" ca="false" dt2D="false" dtr="false" t="normal">+A741+1</f>
        <v>719</v>
      </c>
      <c r="B742" s="138" t="n">
        <f aca="false" ca="false" dt2D="false" dtr="false" t="normal">B741+1</f>
        <v>240</v>
      </c>
      <c r="C742" s="138" t="s">
        <v>82</v>
      </c>
      <c r="D742" s="138" t="s">
        <v>608</v>
      </c>
      <c r="E742" s="16" t="n">
        <f aca="false" ca="true" dt2D="false" dtr="false" t="normal">SUBTOTAL(9, F742:T742)</f>
        <v>530132.51</v>
      </c>
      <c r="F742" s="17" t="n"/>
      <c r="G742" s="17" t="n"/>
      <c r="H742" s="17" t="n"/>
      <c r="I742" s="17" t="n">
        <v>530132.51</v>
      </c>
      <c r="J742" s="17" t="n"/>
      <c r="K742" s="17" t="n"/>
      <c r="L742" s="17" t="n"/>
      <c r="M742" s="17" t="n"/>
      <c r="N742" s="17" t="n"/>
      <c r="O742" s="17" t="n"/>
      <c r="P742" s="17" t="n"/>
      <c r="Q742" s="17" t="n"/>
      <c r="R742" s="17" t="n"/>
      <c r="S742" s="17" t="n"/>
      <c r="T742" s="188" t="n"/>
      <c r="V742" s="241" t="n">
        <f aca="false" ca="false" dt2D="false" dtr="false" t="normal">COUNTIF(F742:Q742, "&gt;0")</f>
        <v>1</v>
      </c>
    </row>
    <row outlineLevel="0" r="743">
      <c r="A743" s="154" t="n">
        <f aca="false" ca="false" dt2D="false" dtr="false" t="normal">+A742+1</f>
        <v>720</v>
      </c>
      <c r="B743" s="138" t="s">
        <v>76</v>
      </c>
      <c r="C743" s="138" t="s">
        <v>356</v>
      </c>
      <c r="D743" s="138" t="s">
        <v>360</v>
      </c>
      <c r="E743" s="342" t="n">
        <f aca="false" ca="true" dt2D="false" dtr="false" t="normal">SUBTOTAL(9, F743:T743)</f>
        <v>1303632.49</v>
      </c>
      <c r="F743" s="17" t="n"/>
      <c r="G743" s="17" t="n"/>
      <c r="H743" s="17" t="n">
        <v>1303632.49</v>
      </c>
      <c r="I743" s="17" t="n"/>
      <c r="J743" s="17" t="n"/>
      <c r="K743" s="17" t="n"/>
      <c r="L743" s="17" t="n"/>
      <c r="M743" s="17" t="n">
        <v>0</v>
      </c>
      <c r="N743" s="17" t="n"/>
      <c r="O743" s="17" t="n">
        <v>0</v>
      </c>
      <c r="P743" s="17" t="n"/>
      <c r="Q743" s="17" t="n"/>
      <c r="R743" s="17" t="n"/>
      <c r="S743" s="17" t="n"/>
      <c r="T743" s="188" t="n"/>
      <c r="V743" s="241" t="n">
        <f aca="false" ca="false" dt2D="false" dtr="false" t="normal">COUNTIF(F743:Q743, "&gt;0")</f>
        <v>1</v>
      </c>
    </row>
    <row outlineLevel="0" r="744">
      <c r="A744" s="154" t="n">
        <f aca="false" ca="false" dt2D="false" dtr="false" t="normal">+A743+1</f>
        <v>721</v>
      </c>
      <c r="B744" s="138" t="s">
        <v>76</v>
      </c>
      <c r="C744" s="138" t="s">
        <v>356</v>
      </c>
      <c r="D744" s="138" t="s">
        <v>498</v>
      </c>
      <c r="E744" s="342" t="n">
        <f aca="false" ca="true" dt2D="false" dtr="false" t="normal">SUBTOTAL(9, F744:T744)</f>
        <v>1313261.12</v>
      </c>
      <c r="F744" s="17" t="n"/>
      <c r="G744" s="17" t="n"/>
      <c r="H744" s="17" t="n">
        <v>1313261.12</v>
      </c>
      <c r="I744" s="17" t="n"/>
      <c r="J744" s="17" t="n">
        <v>0</v>
      </c>
      <c r="K744" s="17" t="n"/>
      <c r="L744" s="17" t="n"/>
      <c r="M744" s="17" t="n">
        <v>0</v>
      </c>
      <c r="N744" s="17" t="n"/>
      <c r="O744" s="17" t="n">
        <v>0</v>
      </c>
      <c r="P744" s="17" t="n"/>
      <c r="Q744" s="17" t="n"/>
      <c r="R744" s="17" t="n"/>
      <c r="S744" s="17" t="n"/>
      <c r="T744" s="188" t="n"/>
      <c r="V744" s="241" t="n">
        <f aca="false" ca="false" dt2D="false" dtr="false" t="normal">COUNTIF(F744:Q744, "&gt;0")</f>
        <v>1</v>
      </c>
    </row>
    <row outlineLevel="0" r="745">
      <c r="A745" s="154" t="n">
        <f aca="false" ca="false" dt2D="false" dtr="false" t="normal">+A744+1</f>
        <v>722</v>
      </c>
      <c r="B745" s="138" t="s">
        <v>76</v>
      </c>
      <c r="C745" s="138" t="s">
        <v>93</v>
      </c>
      <c r="D745" s="138" t="s">
        <v>520</v>
      </c>
      <c r="E745" s="342" t="n">
        <f aca="false" ca="true" dt2D="false" dtr="false" t="normal">SUBTOTAL(9, F745:T745)</f>
        <v>5252795.76</v>
      </c>
      <c r="F745" s="17" t="n"/>
      <c r="G745" s="17" t="n">
        <v>3364670.03</v>
      </c>
      <c r="H745" s="17" t="n">
        <v>0</v>
      </c>
      <c r="I745" s="17" t="n">
        <v>1888125.73</v>
      </c>
      <c r="J745" s="17" t="n">
        <v>0</v>
      </c>
      <c r="K745" s="17" t="n"/>
      <c r="L745" s="17" t="n"/>
      <c r="M745" s="17" t="n">
        <v>0</v>
      </c>
      <c r="N745" s="17" t="n"/>
      <c r="O745" s="17" t="n"/>
      <c r="P745" s="17" t="n"/>
      <c r="Q745" s="17" t="n"/>
      <c r="R745" s="17" t="n"/>
      <c r="S745" s="17" t="n"/>
      <c r="T745" s="188" t="n"/>
      <c r="V745" s="241" t="n">
        <f aca="false" ca="false" dt2D="false" dtr="false" t="normal">COUNTIF(F745:Q745, "&gt;0")</f>
        <v>2</v>
      </c>
    </row>
    <row outlineLevel="0" r="746">
      <c r="A746" s="154" t="n">
        <f aca="false" ca="false" dt2D="false" dtr="false" t="normal">+A745+1</f>
        <v>723</v>
      </c>
      <c r="B746" s="138" t="n">
        <f aca="false" ca="false" dt2D="false" dtr="false" t="normal">B742+1</f>
        <v>241</v>
      </c>
      <c r="C746" s="138" t="s">
        <v>93</v>
      </c>
      <c r="D746" s="138" t="s">
        <v>612</v>
      </c>
      <c r="E746" s="342" t="n">
        <f aca="false" ca="true" dt2D="false" dtr="false" t="normal">SUBTOTAL(9, F746:T746)</f>
        <v>1115132.33</v>
      </c>
      <c r="F746" s="17" t="n"/>
      <c r="G746" s="17" t="n"/>
      <c r="H746" s="17" t="n">
        <v>1115132.33</v>
      </c>
      <c r="I746" s="17" t="n"/>
      <c r="J746" s="17" t="n">
        <v>0</v>
      </c>
      <c r="K746" s="17" t="n"/>
      <c r="L746" s="17" t="n"/>
      <c r="M746" s="17" t="n">
        <v>0</v>
      </c>
      <c r="N746" s="17" t="n"/>
      <c r="O746" s="17" t="n">
        <v>0</v>
      </c>
      <c r="P746" s="17" t="n">
        <v>0</v>
      </c>
      <c r="Q746" s="17" t="n">
        <v>0</v>
      </c>
      <c r="R746" s="17" t="n"/>
      <c r="S746" s="17" t="n"/>
      <c r="T746" s="188" t="n"/>
      <c r="V746" s="241" t="n">
        <f aca="false" ca="false" dt2D="false" dtr="false" t="normal">COUNTIF(F746:Q746, "&gt;0")</f>
        <v>1</v>
      </c>
    </row>
    <row outlineLevel="0" r="747">
      <c r="A747" s="154" t="n">
        <f aca="false" ca="false" dt2D="false" dtr="false" t="normal">+A746+1</f>
        <v>724</v>
      </c>
      <c r="B747" s="138" t="n">
        <f aca="false" ca="false" dt2D="false" dtr="false" t="normal">B746+1</f>
        <v>242</v>
      </c>
      <c r="C747" s="138" t="s">
        <v>93</v>
      </c>
      <c r="D747" s="138" t="s">
        <v>613</v>
      </c>
      <c r="E747" s="342" t="n">
        <f aca="false" ca="true" dt2D="false" dtr="false" t="normal">SUBTOTAL(9, F747:T747)</f>
        <v>1259175.35</v>
      </c>
      <c r="F747" s="17" t="n"/>
      <c r="G747" s="17" t="n"/>
      <c r="H747" s="17" t="n">
        <v>1259175.35</v>
      </c>
      <c r="I747" s="17" t="n"/>
      <c r="J747" s="17" t="n">
        <v>0</v>
      </c>
      <c r="K747" s="17" t="n"/>
      <c r="L747" s="17" t="n"/>
      <c r="M747" s="17" t="n">
        <v>0</v>
      </c>
      <c r="N747" s="17" t="n">
        <v>0</v>
      </c>
      <c r="O747" s="17" t="n">
        <v>0</v>
      </c>
      <c r="P747" s="17" t="n">
        <v>0</v>
      </c>
      <c r="Q747" s="17" t="n">
        <v>0</v>
      </c>
      <c r="R747" s="17" t="n"/>
      <c r="S747" s="17" t="n"/>
      <c r="T747" s="188" t="n"/>
      <c r="V747" s="241" t="n">
        <f aca="false" ca="false" dt2D="false" dtr="false" t="normal">COUNTIF(F747:Q747, "&gt;0")</f>
        <v>1</v>
      </c>
    </row>
    <row outlineLevel="0" r="748">
      <c r="A748" s="154" t="n">
        <f aca="false" ca="false" dt2D="false" dtr="false" t="normal">+A747+1</f>
        <v>725</v>
      </c>
      <c r="B748" s="138" t="n">
        <f aca="false" ca="false" dt2D="false" dtr="false" t="normal">+B747+1</f>
        <v>243</v>
      </c>
      <c r="C748" s="138" t="s">
        <v>93</v>
      </c>
      <c r="D748" s="138" t="s">
        <v>615</v>
      </c>
      <c r="E748" s="16" t="n">
        <f aca="false" ca="true" dt2D="false" dtr="false" t="normal">SUBTOTAL(9, F748:T748)</f>
        <v>1521569.9</v>
      </c>
      <c r="F748" s="17" t="n"/>
      <c r="G748" s="17" t="n"/>
      <c r="H748" s="17" t="n">
        <v>1521569.9</v>
      </c>
      <c r="I748" s="17" t="n"/>
      <c r="J748" s="17" t="n">
        <v>0</v>
      </c>
      <c r="K748" s="17" t="n"/>
      <c r="L748" s="17" t="n"/>
      <c r="M748" s="17" t="n"/>
      <c r="N748" s="17" t="n"/>
      <c r="O748" s="17" t="n">
        <v>0</v>
      </c>
      <c r="P748" s="17" t="n">
        <v>0</v>
      </c>
      <c r="Q748" s="17" t="n">
        <v>0</v>
      </c>
      <c r="R748" s="17" t="n"/>
      <c r="S748" s="17" t="n"/>
      <c r="T748" s="188" t="n"/>
      <c r="V748" s="241" t="n">
        <f aca="false" ca="false" dt2D="false" dtr="false" t="normal">COUNTIF(F748:Q748, "&gt;0")</f>
        <v>1</v>
      </c>
    </row>
    <row outlineLevel="0" r="749">
      <c r="A749" s="154" t="n">
        <f aca="false" ca="false" dt2D="false" dtr="false" t="normal">+A748+1</f>
        <v>726</v>
      </c>
      <c r="B749" s="138" t="n">
        <f aca="false" ca="false" dt2D="false" dtr="false" t="normal">B748+1</f>
        <v>244</v>
      </c>
      <c r="C749" s="138" t="s">
        <v>93</v>
      </c>
      <c r="D749" s="138" t="s">
        <v>617</v>
      </c>
      <c r="E749" s="16" t="n">
        <f aca="false" ca="true" dt2D="false" dtr="false" t="normal">SUBTOTAL(9, F749:T749)</f>
        <v>1525697.72</v>
      </c>
      <c r="F749" s="17" t="n">
        <v>0</v>
      </c>
      <c r="G749" s="17" t="n">
        <v>0</v>
      </c>
      <c r="H749" s="17" t="n">
        <v>1525697.72</v>
      </c>
      <c r="I749" s="17" t="n">
        <v>0</v>
      </c>
      <c r="J749" s="17" t="n">
        <v>0</v>
      </c>
      <c r="K749" s="17" t="n"/>
      <c r="L749" s="17" t="n"/>
      <c r="M749" s="17" t="n">
        <v>0</v>
      </c>
      <c r="N749" s="17" t="n">
        <v>0</v>
      </c>
      <c r="O749" s="17" t="n">
        <v>0</v>
      </c>
      <c r="P749" s="17" t="n">
        <v>0</v>
      </c>
      <c r="Q749" s="17" t="n">
        <v>0</v>
      </c>
      <c r="R749" s="17" t="n"/>
      <c r="S749" s="17" t="n"/>
      <c r="T749" s="188" t="n"/>
      <c r="V749" s="241" t="n">
        <f aca="false" ca="false" dt2D="false" dtr="false" t="normal">COUNTIF(F749:Q749, "&gt;0")</f>
        <v>1</v>
      </c>
    </row>
    <row outlineLevel="0" r="750">
      <c r="A750" s="154" t="n">
        <f aca="false" ca="false" dt2D="false" dtr="false" t="normal">+A749+1</f>
        <v>727</v>
      </c>
      <c r="B750" s="138" t="s">
        <v>76</v>
      </c>
      <c r="C750" s="138" t="s">
        <v>93</v>
      </c>
      <c r="D750" s="138" t="s">
        <v>103</v>
      </c>
      <c r="E750" s="16" t="n">
        <f aca="false" ca="true" dt2D="false" dtr="false" t="normal">SUBTOTAL(9, F750:T750)</f>
        <v>2363298.68331</v>
      </c>
      <c r="F750" s="17" t="n"/>
      <c r="G750" s="17" t="n"/>
      <c r="H750" s="17" t="n">
        <v>589782.92331</v>
      </c>
      <c r="I750" s="17" t="n">
        <v>1773515.76</v>
      </c>
      <c r="J750" s="17" t="n">
        <v>0</v>
      </c>
      <c r="K750" s="17" t="n"/>
      <c r="L750" s="17" t="n"/>
      <c r="M750" s="17" t="n">
        <v>0</v>
      </c>
      <c r="N750" s="17" t="n"/>
      <c r="O750" s="17" t="n">
        <v>0</v>
      </c>
      <c r="P750" s="17" t="n">
        <v>0</v>
      </c>
      <c r="Q750" s="17" t="n"/>
      <c r="R750" s="17" t="n"/>
      <c r="S750" s="17" t="n"/>
      <c r="T750" s="188" t="n"/>
      <c r="V750" s="241" t="n">
        <f aca="false" ca="false" dt2D="false" dtr="false" t="normal">COUNTIF(F750:Q750, "&gt;0")</f>
        <v>2</v>
      </c>
    </row>
    <row outlineLevel="0" r="751">
      <c r="A751" s="154" t="n">
        <f aca="false" ca="false" dt2D="false" dtr="false" t="normal">+A750+1</f>
        <v>728</v>
      </c>
      <c r="B751" s="138" t="n">
        <f aca="false" ca="false" dt2D="false" dtr="false" t="normal">B749+1</f>
        <v>245</v>
      </c>
      <c r="C751" s="138" t="s">
        <v>114</v>
      </c>
      <c r="D751" s="138" t="s">
        <v>393</v>
      </c>
      <c r="E751" s="16" t="n">
        <f aca="false" ca="true" dt2D="false" dtr="false" t="normal">SUBTOTAL(9, F751:T751)</f>
        <v>16592400.52</v>
      </c>
      <c r="F751" s="17" t="n">
        <v>11804046.44</v>
      </c>
      <c r="G751" s="17" t="n">
        <v>4788354.08</v>
      </c>
      <c r="H751" s="17" t="n">
        <v>0</v>
      </c>
      <c r="I751" s="17" t="n">
        <v>0</v>
      </c>
      <c r="J751" s="17" t="n">
        <v>0</v>
      </c>
      <c r="K751" s="17" t="n"/>
      <c r="L751" s="17" t="n"/>
      <c r="M751" s="17" t="n">
        <v>0</v>
      </c>
      <c r="N751" s="17" t="n"/>
      <c r="O751" s="17" t="n">
        <v>0</v>
      </c>
      <c r="P751" s="17" t="n">
        <v>0</v>
      </c>
      <c r="Q751" s="17" t="n">
        <v>0</v>
      </c>
      <c r="R751" s="17" t="n"/>
      <c r="S751" s="17" t="n"/>
      <c r="T751" s="188" t="n"/>
      <c r="V751" s="241" t="n">
        <f aca="false" ca="false" dt2D="false" dtr="false" t="normal">COUNTIF(F751:Q751, "&gt;0")</f>
        <v>2</v>
      </c>
    </row>
    <row outlineLevel="0" r="752">
      <c r="A752" s="154" t="n">
        <f aca="false" ca="false" dt2D="false" dtr="false" t="normal">+A751+1</f>
        <v>729</v>
      </c>
      <c r="B752" s="138" t="s">
        <v>76</v>
      </c>
      <c r="C752" s="138" t="s">
        <v>114</v>
      </c>
      <c r="D752" s="138" t="s">
        <v>395</v>
      </c>
      <c r="E752" s="16" t="n">
        <f aca="false" ca="true" dt2D="false" dtr="false" t="normal">SUBTOTAL(9, F752:T752)</f>
        <v>3470786.32</v>
      </c>
      <c r="F752" s="17" t="n"/>
      <c r="G752" s="17" t="n"/>
      <c r="H752" s="17" t="n">
        <v>3470786.32</v>
      </c>
      <c r="I752" s="17" t="n">
        <v>0</v>
      </c>
      <c r="J752" s="17" t="n">
        <v>0</v>
      </c>
      <c r="K752" s="17" t="n"/>
      <c r="L752" s="17" t="n"/>
      <c r="M752" s="17" t="n">
        <v>0</v>
      </c>
      <c r="N752" s="17" t="n"/>
      <c r="O752" s="17" t="n">
        <v>0</v>
      </c>
      <c r="P752" s="17" t="n">
        <v>0</v>
      </c>
      <c r="Q752" s="17" t="n">
        <v>0</v>
      </c>
      <c r="R752" s="17" t="n"/>
      <c r="S752" s="17" t="n"/>
      <c r="T752" s="188" t="n"/>
      <c r="V752" s="241" t="n">
        <f aca="false" ca="false" dt2D="false" dtr="false" t="normal">COUNTIF(F752:Q752, "&gt;0")</f>
        <v>1</v>
      </c>
    </row>
    <row outlineLevel="0" r="753">
      <c r="A753" s="154" t="n">
        <f aca="false" ca="false" dt2D="false" dtr="false" t="normal">A752+1</f>
        <v>730</v>
      </c>
      <c r="B753" s="138" t="s">
        <v>76</v>
      </c>
      <c r="C753" s="138" t="s">
        <v>97</v>
      </c>
      <c r="D753" s="138" t="s">
        <v>100</v>
      </c>
      <c r="E753" s="16" t="n">
        <f aca="false" ca="true" dt2D="false" dtr="false" t="normal">SUBTOTAL(9, F753:T753)</f>
        <v>5957209.19</v>
      </c>
      <c r="F753" s="17" t="n"/>
      <c r="G753" s="17" t="n">
        <v>5957209.19</v>
      </c>
      <c r="H753" s="17" t="n"/>
      <c r="I753" s="17" t="n"/>
      <c r="J753" s="17" t="n">
        <v>0</v>
      </c>
      <c r="K753" s="17" t="n"/>
      <c r="L753" s="17" t="n"/>
      <c r="M753" s="17" t="n">
        <v>0</v>
      </c>
      <c r="N753" s="17" t="n">
        <v>0</v>
      </c>
      <c r="O753" s="17" t="n">
        <v>0</v>
      </c>
      <c r="P753" s="17" t="n">
        <v>0</v>
      </c>
      <c r="Q753" s="17" t="n"/>
      <c r="R753" s="17" t="n"/>
      <c r="S753" s="17" t="n"/>
      <c r="T753" s="188" t="n"/>
      <c r="V753" s="241" t="n">
        <f aca="false" ca="false" dt2D="false" dtr="false" t="normal">COUNTIF(F753:Q753, "&gt;0")</f>
        <v>1</v>
      </c>
    </row>
    <row outlineLevel="0" r="754">
      <c r="A754" s="154" t="n">
        <f aca="false" ca="false" dt2D="false" dtr="false" t="normal">A753+1</f>
        <v>731</v>
      </c>
      <c r="B754" s="138" t="n">
        <f aca="false" ca="false" dt2D="false" dtr="false" t="normal">B751+1</f>
        <v>246</v>
      </c>
      <c r="C754" s="138" t="s">
        <v>104</v>
      </c>
      <c r="D754" s="138" t="s">
        <v>621</v>
      </c>
      <c r="E754" s="16" t="n">
        <f aca="false" ca="true" dt2D="false" dtr="false" t="normal">SUBTOTAL(9, F754:T754)</f>
        <v>9403121.04</v>
      </c>
      <c r="F754" s="17" t="n">
        <v>0</v>
      </c>
      <c r="G754" s="17" t="n">
        <v>0</v>
      </c>
      <c r="H754" s="17" t="n">
        <v>0</v>
      </c>
      <c r="I754" s="17" t="n">
        <v>0</v>
      </c>
      <c r="J754" s="17" t="n">
        <v>0</v>
      </c>
      <c r="K754" s="17" t="n"/>
      <c r="L754" s="17" t="n"/>
      <c r="M754" s="17" t="n">
        <v>0</v>
      </c>
      <c r="N754" s="17" t="n">
        <v>0</v>
      </c>
      <c r="O754" s="17" t="n">
        <v>0</v>
      </c>
      <c r="P754" s="17" t="n">
        <v>9403121.04</v>
      </c>
      <c r="Q754" s="17" t="n">
        <v>0</v>
      </c>
      <c r="R754" s="17" t="n"/>
      <c r="S754" s="17" t="n"/>
      <c r="T754" s="188" t="n"/>
      <c r="V754" s="241" t="n">
        <f aca="false" ca="false" dt2D="false" dtr="false" t="normal">COUNTIF(F754:Q754, "&gt;0")</f>
        <v>1</v>
      </c>
    </row>
    <row outlineLevel="0" r="755">
      <c r="A755" s="154" t="n">
        <f aca="false" ca="false" dt2D="false" dtr="false" t="normal">A754+1</f>
        <v>732</v>
      </c>
      <c r="B755" s="138" t="n">
        <f aca="false" ca="false" dt2D="false" dtr="false" t="normal">B754+1</f>
        <v>247</v>
      </c>
      <c r="C755" s="138" t="s">
        <v>177</v>
      </c>
      <c r="D755" s="138" t="s">
        <v>528</v>
      </c>
      <c r="E755" s="16" t="n">
        <f aca="false" ca="true" dt2D="false" dtr="false" t="normal">SUBTOTAL(9, F755:T755)</f>
        <v>1683109.2</v>
      </c>
      <c r="F755" s="17" t="n"/>
      <c r="G755" s="17" t="n"/>
      <c r="H755" s="17" t="n"/>
      <c r="I755" s="17" t="n"/>
      <c r="J755" s="17" t="n">
        <v>1683109.2</v>
      </c>
      <c r="K755" s="17" t="n"/>
      <c r="L755" s="17" t="n"/>
      <c r="M755" s="17" t="n">
        <v>0</v>
      </c>
      <c r="N755" s="17" t="n">
        <v>0</v>
      </c>
      <c r="O755" s="17" t="n">
        <v>0</v>
      </c>
      <c r="P755" s="17" t="n">
        <v>0</v>
      </c>
      <c r="Q755" s="17" t="n">
        <v>0</v>
      </c>
      <c r="R755" s="17" t="n"/>
      <c r="S755" s="17" t="n"/>
      <c r="T755" s="188" t="n"/>
      <c r="V755" s="241" t="n">
        <f aca="false" ca="false" dt2D="false" dtr="false" t="normal">COUNTIF(F755:Q755, "&gt;0")</f>
        <v>1</v>
      </c>
    </row>
    <row outlineLevel="0" r="756">
      <c r="A756" s="154" t="n">
        <f aca="false" ca="false" dt2D="false" dtr="false" t="normal">A755+1</f>
        <v>733</v>
      </c>
      <c r="B756" s="138" t="s">
        <v>76</v>
      </c>
      <c r="C756" s="138" t="s">
        <v>177</v>
      </c>
      <c r="D756" s="138" t="s">
        <v>342</v>
      </c>
      <c r="E756" s="16" t="n">
        <f aca="false" ca="true" dt2D="false" dtr="false" t="normal">SUBTOTAL(9, F756:T756)</f>
        <v>1315142.4</v>
      </c>
      <c r="F756" s="17" t="n"/>
      <c r="G756" s="17" t="n"/>
      <c r="H756" s="17" t="n"/>
      <c r="I756" s="17" t="n"/>
      <c r="J756" s="17" t="n">
        <v>1315142.4</v>
      </c>
      <c r="K756" s="17" t="n"/>
      <c r="L756" s="17" t="n"/>
      <c r="M756" s="17" t="n"/>
      <c r="N756" s="17" t="n"/>
      <c r="O756" s="17" t="n"/>
      <c r="P756" s="17" t="n"/>
      <c r="Q756" s="17" t="n"/>
      <c r="R756" s="17" t="n"/>
      <c r="S756" s="17" t="n"/>
      <c r="T756" s="188" t="n"/>
      <c r="V756" s="241" t="n">
        <f aca="false" ca="false" dt2D="false" dtr="false" t="normal">COUNTIF(F756:Q756, "&gt;0")</f>
        <v>1</v>
      </c>
    </row>
    <row outlineLevel="0" r="757">
      <c r="A757" s="154" t="n">
        <f aca="false" ca="false" dt2D="false" dtr="false" t="normal">A756+1</f>
        <v>734</v>
      </c>
      <c r="B757" s="138" t="n">
        <f aca="false" ca="false" dt2D="false" dtr="false" t="normal">B755+1</f>
        <v>248</v>
      </c>
      <c r="C757" s="138" t="s">
        <v>177</v>
      </c>
      <c r="D757" s="138" t="s">
        <v>590</v>
      </c>
      <c r="E757" s="16" t="n">
        <f aca="false" ca="true" dt2D="false" dtr="false" t="normal">SUBTOTAL(9, F757:T757)</f>
        <v>986268</v>
      </c>
      <c r="F757" s="17" t="n"/>
      <c r="G757" s="17" t="n"/>
      <c r="H757" s="17" t="n"/>
      <c r="I757" s="17" t="n"/>
      <c r="J757" s="17" t="n">
        <v>986268</v>
      </c>
      <c r="K757" s="17" t="n"/>
      <c r="L757" s="17" t="n"/>
      <c r="M757" s="17" t="n">
        <v>0</v>
      </c>
      <c r="N757" s="17" t="n">
        <v>0</v>
      </c>
      <c r="O757" s="17" t="n">
        <v>0</v>
      </c>
      <c r="P757" s="17" t="n"/>
      <c r="Q757" s="17" t="n"/>
      <c r="R757" s="17" t="n"/>
      <c r="S757" s="17" t="n"/>
      <c r="T757" s="188" t="n"/>
      <c r="V757" s="241" t="n">
        <f aca="false" ca="false" dt2D="false" dtr="false" t="normal">COUNTIF(F757:Q757, "&gt;0")</f>
        <v>1</v>
      </c>
    </row>
    <row outlineLevel="0" r="758">
      <c r="A758" s="154" t="n">
        <f aca="false" ca="false" dt2D="false" dtr="false" t="normal">A757+1</f>
        <v>735</v>
      </c>
      <c r="B758" s="138" t="s">
        <v>76</v>
      </c>
      <c r="C758" s="138" t="s">
        <v>177</v>
      </c>
      <c r="D758" s="138" t="s">
        <v>416</v>
      </c>
      <c r="E758" s="16" t="n">
        <f aca="false" ca="true" dt2D="false" dtr="false" t="normal">SUBTOTAL(9, F758:T758)</f>
        <v>2311917.12</v>
      </c>
      <c r="F758" s="17" t="n"/>
      <c r="G758" s="17" t="n"/>
      <c r="H758" s="17" t="n"/>
      <c r="I758" s="17" t="n"/>
      <c r="J758" s="17" t="n">
        <v>2311917.12</v>
      </c>
      <c r="K758" s="17" t="n"/>
      <c r="L758" s="17" t="n"/>
      <c r="M758" s="17" t="n"/>
      <c r="N758" s="17" t="n"/>
      <c r="O758" s="17" t="n"/>
      <c r="P758" s="17" t="n"/>
      <c r="Q758" s="17" t="n"/>
      <c r="R758" s="17" t="n"/>
      <c r="S758" s="17" t="n"/>
      <c r="T758" s="188" t="n"/>
      <c r="V758" s="241" t="n">
        <f aca="false" ca="false" dt2D="false" dtr="false" t="normal">COUNTIF(F758:Q758, "&gt;0")</f>
        <v>1</v>
      </c>
    </row>
    <row outlineLevel="0" r="759">
      <c r="A759" s="154" t="n">
        <f aca="false" ca="false" dt2D="false" dtr="false" t="normal">A758+1</f>
        <v>736</v>
      </c>
      <c r="B759" s="138" t="s">
        <v>76</v>
      </c>
      <c r="C759" s="138" t="s">
        <v>177</v>
      </c>
      <c r="D759" s="138" t="s">
        <v>303</v>
      </c>
      <c r="E759" s="16" t="n">
        <f aca="false" ca="true" dt2D="false" dtr="false" t="normal">SUBTOTAL(9, F759:T759)</f>
        <v>1202952.82</v>
      </c>
      <c r="F759" s="17" t="n"/>
      <c r="G759" s="17" t="n"/>
      <c r="H759" s="17" t="n">
        <v>1202952.82</v>
      </c>
      <c r="I759" s="17" t="n"/>
      <c r="J759" s="17" t="n"/>
      <c r="K759" s="17" t="n"/>
      <c r="L759" s="17" t="n"/>
      <c r="M759" s="17" t="n"/>
      <c r="N759" s="17" t="n"/>
      <c r="O759" s="17" t="n">
        <v>0</v>
      </c>
      <c r="P759" s="17" t="n"/>
      <c r="Q759" s="17" t="n"/>
      <c r="R759" s="17" t="n"/>
      <c r="S759" s="17" t="n"/>
      <c r="T759" s="188" t="n"/>
      <c r="V759" s="241" t="n">
        <f aca="false" ca="false" dt2D="false" dtr="false" t="normal">COUNTIF(F759:Q759, "&gt;0")</f>
        <v>1</v>
      </c>
    </row>
    <row outlineLevel="0" r="760">
      <c r="A760" s="154" t="n">
        <f aca="false" ca="false" dt2D="false" dtr="false" t="normal">A759+1</f>
        <v>737</v>
      </c>
      <c r="B760" s="138" t="n">
        <f aca="false" ca="false" dt2D="false" dtr="false" t="normal">+B757+1</f>
        <v>249</v>
      </c>
      <c r="C760" s="138" t="s">
        <v>177</v>
      </c>
      <c r="D760" s="138" t="s">
        <v>624</v>
      </c>
      <c r="E760" s="16" t="n">
        <f aca="false" ca="true" dt2D="false" dtr="false" t="normal">SUBTOTAL(9, F760:T760)</f>
        <v>1551166.55</v>
      </c>
      <c r="F760" s="17" t="n"/>
      <c r="G760" s="17" t="n"/>
      <c r="H760" s="17" t="n"/>
      <c r="I760" s="17" t="n"/>
      <c r="J760" s="17" t="n">
        <v>1551166.55</v>
      </c>
      <c r="K760" s="17" t="n"/>
      <c r="L760" s="17" t="n"/>
      <c r="M760" s="17" t="n"/>
      <c r="N760" s="17" t="n"/>
      <c r="O760" s="17" t="n"/>
      <c r="P760" s="17" t="n"/>
      <c r="Q760" s="17" t="n"/>
      <c r="R760" s="17" t="n"/>
      <c r="S760" s="17" t="n"/>
      <c r="T760" s="188" t="n"/>
      <c r="V760" s="241" t="n">
        <f aca="false" ca="false" dt2D="false" dtr="false" t="normal">COUNTIF(F760:Q760, "&gt;0")</f>
        <v>1</v>
      </c>
    </row>
    <row outlineLevel="0" r="761">
      <c r="A761" s="154" t="n">
        <f aca="false" ca="false" dt2D="false" dtr="false" t="normal">A760+1</f>
        <v>738</v>
      </c>
      <c r="B761" s="138" t="s">
        <v>76</v>
      </c>
      <c r="C761" s="138" t="s">
        <v>177</v>
      </c>
      <c r="D761" s="138" t="s">
        <v>420</v>
      </c>
      <c r="E761" s="16" t="n">
        <f aca="false" ca="true" dt2D="false" dtr="false" t="normal">SUBTOTAL(9, F761:T761)</f>
        <v>650392.02</v>
      </c>
      <c r="F761" s="17" t="n"/>
      <c r="G761" s="17" t="n"/>
      <c r="H761" s="17" t="n"/>
      <c r="I761" s="17" t="n">
        <v>650392.02</v>
      </c>
      <c r="J761" s="17" t="n"/>
      <c r="K761" s="17" t="n"/>
      <c r="L761" s="17" t="n"/>
      <c r="M761" s="17" t="n"/>
      <c r="N761" s="17" t="n"/>
      <c r="O761" s="17" t="n"/>
      <c r="P761" s="17" t="n"/>
      <c r="Q761" s="17" t="n"/>
      <c r="R761" s="17" t="n"/>
      <c r="S761" s="17" t="n"/>
      <c r="T761" s="188" t="n"/>
      <c r="V761" s="241" t="n">
        <f aca="false" ca="false" dt2D="false" dtr="false" t="normal">COUNTIF(F761:Q761, "&gt;0")</f>
        <v>1</v>
      </c>
    </row>
    <row outlineLevel="0" r="762">
      <c r="A762" s="154" t="n">
        <f aca="false" ca="false" dt2D="false" dtr="false" t="normal">A761+1</f>
        <v>739</v>
      </c>
      <c r="B762" s="138" t="n">
        <f aca="false" ca="false" dt2D="false" dtr="false" t="normal">B760+1</f>
        <v>250</v>
      </c>
      <c r="C762" s="138" t="s">
        <v>177</v>
      </c>
      <c r="D762" s="138" t="s">
        <v>592</v>
      </c>
      <c r="E762" s="16" t="n">
        <f aca="false" ca="true" dt2D="false" dtr="false" t="normal">SUBTOTAL(9, F762:T762)</f>
        <v>2420008.8</v>
      </c>
      <c r="F762" s="17" t="n"/>
      <c r="G762" s="17" t="n"/>
      <c r="H762" s="17" t="n"/>
      <c r="I762" s="17" t="n"/>
      <c r="J762" s="17" t="n">
        <v>2420008.8</v>
      </c>
      <c r="K762" s="17" t="n"/>
      <c r="L762" s="17" t="n"/>
      <c r="M762" s="17" t="n"/>
      <c r="N762" s="17" t="n"/>
      <c r="O762" s="17" t="n"/>
      <c r="P762" s="17" t="n"/>
      <c r="Q762" s="17" t="n"/>
      <c r="R762" s="17" t="n"/>
      <c r="S762" s="17" t="n"/>
      <c r="T762" s="188" t="n"/>
      <c r="V762" s="241" t="n">
        <f aca="false" ca="false" dt2D="false" dtr="false" t="normal">COUNTIF(F762:Q762, "&gt;0")</f>
        <v>1</v>
      </c>
    </row>
    <row outlineLevel="0" r="763">
      <c r="A763" s="154" t="n">
        <f aca="false" ca="false" dt2D="false" dtr="false" t="normal">A762+1</f>
        <v>740</v>
      </c>
      <c r="B763" s="138" t="n">
        <f aca="false" ca="false" dt2D="false" dtr="false" t="normal">B762+1</f>
        <v>251</v>
      </c>
      <c r="C763" s="138" t="s">
        <v>467</v>
      </c>
      <c r="D763" s="138" t="s">
        <v>626</v>
      </c>
      <c r="E763" s="342" t="n">
        <f aca="false" ca="true" dt2D="false" dtr="false" t="normal">SUBTOTAL(9, F763:T763)</f>
        <v>2493649.58</v>
      </c>
      <c r="F763" s="17" t="n">
        <v>1948256.76</v>
      </c>
      <c r="G763" s="17" t="n"/>
      <c r="H763" s="17" t="n">
        <v>545392.82</v>
      </c>
      <c r="I763" s="17" t="n"/>
      <c r="J763" s="17" t="n">
        <v>0</v>
      </c>
      <c r="K763" s="17" t="n"/>
      <c r="L763" s="17" t="n"/>
      <c r="M763" s="17" t="n">
        <v>0</v>
      </c>
      <c r="N763" s="17" t="n">
        <v>0</v>
      </c>
      <c r="O763" s="17" t="n">
        <v>0</v>
      </c>
      <c r="P763" s="17" t="n">
        <v>0</v>
      </c>
      <c r="Q763" s="17" t="n">
        <v>0</v>
      </c>
      <c r="R763" s="17" t="n"/>
      <c r="S763" s="17" t="n"/>
      <c r="T763" s="188" t="n"/>
      <c r="V763" s="241" t="n">
        <f aca="false" ca="false" dt2D="false" dtr="false" t="normal">COUNTIF(F763:Q763, "&gt;0")</f>
        <v>2</v>
      </c>
    </row>
    <row outlineLevel="0" r="764">
      <c r="A764" s="154" t="n">
        <f aca="false" ca="false" dt2D="false" dtr="false" t="normal">A763+1</f>
        <v>741</v>
      </c>
      <c r="B764" s="138" t="n">
        <f aca="false" ca="false" dt2D="false" dtr="false" t="normal">B763+1</f>
        <v>252</v>
      </c>
      <c r="C764" s="138" t="s">
        <v>356</v>
      </c>
      <c r="D764" s="138" t="s">
        <v>627</v>
      </c>
      <c r="E764" s="342" t="n">
        <f aca="false" ca="true" dt2D="false" dtr="false" t="normal">SUBTOTAL(9, F764:T764)</f>
        <v>8366611.1</v>
      </c>
      <c r="F764" s="17" t="n"/>
      <c r="G764" s="17" t="n"/>
      <c r="H764" s="17" t="n"/>
      <c r="I764" s="17" t="n"/>
      <c r="J764" s="17" t="n"/>
      <c r="K764" s="17" t="n"/>
      <c r="L764" s="17" t="n"/>
      <c r="M764" s="17" t="n">
        <v>8024927.1</v>
      </c>
      <c r="N764" s="17" t="n"/>
      <c r="O764" s="17" t="n"/>
      <c r="P764" s="17" t="n"/>
      <c r="Q764" s="17" t="n"/>
      <c r="R764" s="17" t="n">
        <v>256263</v>
      </c>
      <c r="S764" s="17" t="n">
        <v>85421</v>
      </c>
      <c r="T764" s="188" t="n"/>
      <c r="V764" s="241" t="n">
        <f aca="false" ca="false" dt2D="false" dtr="false" t="normal">COUNTIF(F764:Q764, "&gt;0")</f>
        <v>1</v>
      </c>
    </row>
    <row outlineLevel="0" r="765">
      <c r="A765" s="154" t="n">
        <f aca="false" ca="false" dt2D="false" dtr="false" t="normal">A764+1</f>
        <v>742</v>
      </c>
      <c r="B765" s="138" t="n">
        <f aca="false" ca="false" dt2D="false" dtr="false" t="normal">B764+1</f>
        <v>253</v>
      </c>
      <c r="C765" s="138" t="s">
        <v>356</v>
      </c>
      <c r="D765" s="138" t="s">
        <v>629</v>
      </c>
      <c r="E765" s="342" t="n">
        <f aca="false" ca="true" dt2D="false" dtr="false" t="normal">SUBTOTAL(9, F765:T765)</f>
        <v>21520886.78</v>
      </c>
      <c r="F765" s="17" t="n"/>
      <c r="G765" s="17" t="n"/>
      <c r="H765" s="17" t="n"/>
      <c r="I765" s="17" t="n"/>
      <c r="J765" s="17" t="n"/>
      <c r="K765" s="17" t="n"/>
      <c r="L765" s="17" t="n"/>
      <c r="M765" s="17" t="n"/>
      <c r="N765" s="17" t="n">
        <v>19326534.88</v>
      </c>
      <c r="O765" s="17" t="n">
        <v>0</v>
      </c>
      <c r="P765" s="17" t="n">
        <v>0</v>
      </c>
      <c r="Q765" s="17" t="n">
        <v>0</v>
      </c>
      <c r="R765" s="17" t="n">
        <v>1974916.71</v>
      </c>
      <c r="S765" s="17" t="n">
        <v>219435.19</v>
      </c>
      <c r="T765" s="188" t="n"/>
      <c r="V765" s="241" t="n">
        <f aca="false" ca="false" dt2D="false" dtr="false" t="normal">COUNTIF(F765:Q765, "&gt;0")</f>
        <v>1</v>
      </c>
    </row>
    <row outlineLevel="0" r="766">
      <c r="A766" s="154" t="n">
        <f aca="false" ca="false" dt2D="false" dtr="false" t="normal">A765+1</f>
        <v>743</v>
      </c>
      <c r="B766" s="138" t="n">
        <f aca="false" ca="false" dt2D="false" dtr="false" t="normal">B765+1</f>
        <v>254</v>
      </c>
      <c r="C766" s="138" t="s">
        <v>93</v>
      </c>
      <c r="D766" s="138" t="s">
        <v>630</v>
      </c>
      <c r="E766" s="342" t="n">
        <f aca="false" ca="true" dt2D="false" dtr="false" t="normal">SUBTOTAL(9, F766:T766)</f>
        <v>22018918.549999997</v>
      </c>
      <c r="F766" s="17" t="n">
        <v>10346375.1</v>
      </c>
      <c r="G766" s="17" t="n">
        <v>0</v>
      </c>
      <c r="H766" s="17" t="n">
        <v>0</v>
      </c>
      <c r="I766" s="17" t="n">
        <v>0</v>
      </c>
      <c r="J766" s="17" t="n">
        <v>0</v>
      </c>
      <c r="K766" s="17" t="n"/>
      <c r="L766" s="17" t="n"/>
      <c r="M766" s="17" t="n">
        <v>0</v>
      </c>
      <c r="N766" s="17" t="n">
        <v>0</v>
      </c>
      <c r="O766" s="17" t="n">
        <v>0</v>
      </c>
      <c r="P766" s="17" t="n">
        <v>0</v>
      </c>
      <c r="Q766" s="17" t="n">
        <v>11672543.45</v>
      </c>
      <c r="R766" s="17" t="n"/>
      <c r="S766" s="17" t="n"/>
      <c r="T766" s="188" t="n"/>
      <c r="V766" s="241" t="n">
        <f aca="false" ca="false" dt2D="false" dtr="false" t="normal">COUNTIF(F766:Q766, "&gt;0")</f>
        <v>2</v>
      </c>
    </row>
    <row outlineLevel="0" r="767">
      <c r="A767" s="154" t="n">
        <f aca="false" ca="false" dt2D="false" dtr="false" t="normal">A766+1</f>
        <v>744</v>
      </c>
      <c r="B767" s="138" t="n">
        <f aca="false" ca="false" dt2D="false" dtr="false" t="normal">B766+1</f>
        <v>255</v>
      </c>
      <c r="C767" s="138" t="s">
        <v>93</v>
      </c>
      <c r="D767" s="138" t="s">
        <v>631</v>
      </c>
      <c r="E767" s="342" t="n">
        <f aca="false" ca="true" dt2D="false" dtr="false" t="normal">SUBTOTAL(9, F767:T767)</f>
        <v>26252655.77</v>
      </c>
      <c r="F767" s="17" t="n">
        <v>6785155.64</v>
      </c>
      <c r="G767" s="17" t="n">
        <v>5341814.82</v>
      </c>
      <c r="H767" s="17" t="n">
        <v>1480113.38</v>
      </c>
      <c r="I767" s="17" t="n"/>
      <c r="J767" s="17" t="n">
        <v>0</v>
      </c>
      <c r="K767" s="17" t="n"/>
      <c r="L767" s="17" t="n"/>
      <c r="M767" s="17" t="n">
        <v>0</v>
      </c>
      <c r="N767" s="17" t="n">
        <v>12645571.93</v>
      </c>
      <c r="O767" s="17" t="n">
        <v>0</v>
      </c>
      <c r="P767" s="17" t="n">
        <v>0</v>
      </c>
      <c r="Q767" s="17" t="n">
        <v>0</v>
      </c>
      <c r="R767" s="17" t="n"/>
      <c r="S767" s="17" t="n"/>
      <c r="T767" s="188" t="n"/>
      <c r="V767" s="241" t="n">
        <f aca="false" ca="false" dt2D="false" dtr="false" t="normal">COUNTIF(F767:Q767, "&gt;0")</f>
        <v>4</v>
      </c>
    </row>
    <row outlineLevel="0" r="768">
      <c r="A768" s="154" t="n">
        <f aca="false" ca="false" dt2D="false" dtr="false" t="normal">A767+1</f>
        <v>745</v>
      </c>
      <c r="B768" s="138" t="n">
        <f aca="false" ca="false" dt2D="false" dtr="false" t="normal">B767+1</f>
        <v>256</v>
      </c>
      <c r="C768" s="138" t="s">
        <v>93</v>
      </c>
      <c r="D768" s="138" t="s">
        <v>632</v>
      </c>
      <c r="E768" s="342" t="n">
        <f aca="false" ca="true" dt2D="false" dtr="false" t="normal">SUBTOTAL(9, F768:T768)</f>
        <v>9837825.510000002</v>
      </c>
      <c r="F768" s="17" t="n">
        <v>4332206.65</v>
      </c>
      <c r="G768" s="17" t="n"/>
      <c r="H768" s="17" t="n">
        <v>1146753.78</v>
      </c>
      <c r="I768" s="17" t="n"/>
      <c r="J768" s="17" t="n">
        <v>0</v>
      </c>
      <c r="K768" s="17" t="n"/>
      <c r="L768" s="17" t="n"/>
      <c r="M768" s="17" t="n">
        <v>0</v>
      </c>
      <c r="N768" s="17" t="n">
        <v>4358865.08</v>
      </c>
      <c r="O768" s="17" t="n">
        <v>0</v>
      </c>
      <c r="P768" s="17" t="n">
        <v>0</v>
      </c>
      <c r="Q768" s="17" t="n">
        <v>0</v>
      </c>
      <c r="R768" s="17" t="n"/>
      <c r="S768" s="17" t="n"/>
      <c r="T768" s="188" t="n"/>
      <c r="V768" s="241" t="n">
        <f aca="false" ca="false" dt2D="false" dtr="false" t="normal">COUNTIF(F768:Q768, "&gt;0")</f>
        <v>3</v>
      </c>
    </row>
    <row outlineLevel="0" r="769">
      <c r="A769" s="154" t="n">
        <f aca="false" ca="false" dt2D="false" dtr="false" t="normal">A768+1</f>
        <v>746</v>
      </c>
      <c r="B769" s="138" t="n">
        <f aca="false" ca="false" dt2D="false" dtr="false" t="normal">B768+1</f>
        <v>257</v>
      </c>
      <c r="C769" s="138" t="s">
        <v>93</v>
      </c>
      <c r="D769" s="138" t="s">
        <v>633</v>
      </c>
      <c r="E769" s="342" t="n">
        <f aca="false" ca="true" dt2D="false" dtr="false" t="normal">SUBTOTAL(9, F769:T769)</f>
        <v>11426950.71</v>
      </c>
      <c r="F769" s="17" t="n">
        <v>5307164.59</v>
      </c>
      <c r="G769" s="17" t="n">
        <v>4670595</v>
      </c>
      <c r="H769" s="17" t="n">
        <v>1449191.12</v>
      </c>
      <c r="I769" s="17" t="n"/>
      <c r="J769" s="17" t="n">
        <v>0</v>
      </c>
      <c r="K769" s="17" t="n"/>
      <c r="L769" s="17" t="n"/>
      <c r="M769" s="17" t="n">
        <v>0</v>
      </c>
      <c r="N769" s="17" t="n">
        <v>0</v>
      </c>
      <c r="O769" s="17" t="n">
        <v>0</v>
      </c>
      <c r="P769" s="17" t="n">
        <v>0</v>
      </c>
      <c r="Q769" s="17" t="n">
        <v>0</v>
      </c>
      <c r="R769" s="17" t="n"/>
      <c r="S769" s="17" t="n"/>
      <c r="T769" s="188" t="n"/>
      <c r="V769" s="241" t="n">
        <f aca="false" ca="false" dt2D="false" dtr="false" t="normal">COUNTIF(F769:Q769, "&gt;0")</f>
        <v>3</v>
      </c>
    </row>
    <row outlineLevel="0" r="770">
      <c r="A770" s="154" t="n">
        <f aca="false" ca="false" dt2D="false" dtr="false" t="normal">A769+1</f>
        <v>747</v>
      </c>
      <c r="B770" s="138" t="n">
        <f aca="false" ca="false" dt2D="false" dtr="false" t="normal">B769+1</f>
        <v>258</v>
      </c>
      <c r="C770" s="138" t="s">
        <v>93</v>
      </c>
      <c r="D770" s="138" t="s">
        <v>634</v>
      </c>
      <c r="E770" s="342" t="n">
        <f aca="false" ca="true" dt2D="false" dtr="false" t="normal">SUBTOTAL(9, F770:T770)</f>
        <v>9276766.72</v>
      </c>
      <c r="F770" s="17" t="n">
        <v>4337466.13</v>
      </c>
      <c r="G770" s="17" t="n"/>
      <c r="H770" s="17" t="n">
        <v>1321148.53</v>
      </c>
      <c r="I770" s="17" t="n"/>
      <c r="J770" s="17" t="n">
        <v>0</v>
      </c>
      <c r="K770" s="17" t="n"/>
      <c r="L770" s="17" t="n"/>
      <c r="M770" s="17" t="n">
        <v>0</v>
      </c>
      <c r="N770" s="17" t="n">
        <v>3618152.06</v>
      </c>
      <c r="O770" s="17" t="n">
        <v>0</v>
      </c>
      <c r="P770" s="17" t="n">
        <v>0</v>
      </c>
      <c r="Q770" s="17" t="n">
        <v>0</v>
      </c>
      <c r="R770" s="17" t="n"/>
      <c r="S770" s="17" t="n"/>
      <c r="T770" s="188" t="n"/>
      <c r="V770" s="241" t="n">
        <f aca="false" ca="false" dt2D="false" dtr="false" t="normal">COUNTIF(F770:Q770, "&gt;0")</f>
        <v>3</v>
      </c>
    </row>
    <row outlineLevel="0" r="771">
      <c r="A771" s="154" t="n">
        <f aca="false" ca="false" dt2D="false" dtr="false" t="normal">A770+1</f>
        <v>748</v>
      </c>
      <c r="B771" s="138" t="n">
        <f aca="false" ca="false" dt2D="false" dtr="false" t="normal">B770+1</f>
        <v>259</v>
      </c>
      <c r="C771" s="138" t="s">
        <v>93</v>
      </c>
      <c r="D771" s="138" t="s">
        <v>636</v>
      </c>
      <c r="E771" s="342" t="n">
        <f aca="false" ca="true" dt2D="false" dtr="false" t="normal">SUBTOTAL(9, F771:T771)</f>
        <v>13827121.059999999</v>
      </c>
      <c r="F771" s="17" t="n">
        <v>4481532.64</v>
      </c>
      <c r="G771" s="17" t="n"/>
      <c r="H771" s="17" t="n">
        <v>1387702.38</v>
      </c>
      <c r="I771" s="17" t="n"/>
      <c r="J771" s="17" t="n">
        <v>0</v>
      </c>
      <c r="K771" s="17" t="n"/>
      <c r="L771" s="17" t="n"/>
      <c r="M771" s="17" t="n">
        <v>0</v>
      </c>
      <c r="N771" s="17" t="n">
        <v>7957886.04</v>
      </c>
      <c r="O771" s="17" t="n">
        <v>0</v>
      </c>
      <c r="P771" s="17" t="n">
        <v>0</v>
      </c>
      <c r="Q771" s="17" t="n">
        <v>0</v>
      </c>
      <c r="R771" s="17" t="n"/>
      <c r="S771" s="17" t="n"/>
      <c r="T771" s="188" t="n"/>
      <c r="V771" s="241" t="n">
        <f aca="false" ca="false" dt2D="false" dtr="false" t="normal">COUNTIF(F771:Q771, "&gt;0")</f>
        <v>3</v>
      </c>
    </row>
    <row outlineLevel="0" r="772">
      <c r="A772" s="154" t="n">
        <f aca="false" ca="false" dt2D="false" dtr="false" t="normal">A771+1</f>
        <v>749</v>
      </c>
      <c r="B772" s="138" t="n">
        <f aca="false" ca="false" dt2D="false" dtr="false" t="normal">B771+1</f>
        <v>260</v>
      </c>
      <c r="C772" s="138" t="s">
        <v>93</v>
      </c>
      <c r="D772" s="138" t="s">
        <v>638</v>
      </c>
      <c r="E772" s="342" t="n">
        <f aca="false" ca="true" dt2D="false" dtr="false" t="normal">SUBTOTAL(9, F772:T772)</f>
        <v>13637429.059999999</v>
      </c>
      <c r="F772" s="17" t="n">
        <v>4350258.68</v>
      </c>
      <c r="G772" s="17" t="n"/>
      <c r="H772" s="17" t="n">
        <v>1330897.49</v>
      </c>
      <c r="I772" s="17" t="n"/>
      <c r="J772" s="17" t="n">
        <v>0</v>
      </c>
      <c r="K772" s="17" t="n"/>
      <c r="L772" s="17" t="n"/>
      <c r="M772" s="17" t="n">
        <v>0</v>
      </c>
      <c r="N772" s="17" t="n">
        <v>7956272.89</v>
      </c>
      <c r="O772" s="17" t="n">
        <v>0</v>
      </c>
      <c r="P772" s="17" t="n">
        <v>0</v>
      </c>
      <c r="Q772" s="17" t="n">
        <v>0</v>
      </c>
      <c r="R772" s="17" t="n"/>
      <c r="S772" s="17" t="n"/>
      <c r="T772" s="188" t="n"/>
      <c r="V772" s="241" t="n">
        <f aca="false" ca="false" dt2D="false" dtr="false" t="normal">COUNTIF(F772:Q772, "&gt;0")</f>
        <v>3</v>
      </c>
    </row>
    <row outlineLevel="0" r="773">
      <c r="A773" s="154" t="n">
        <f aca="false" ca="false" dt2D="false" dtr="false" t="normal">A772+1</f>
        <v>750</v>
      </c>
      <c r="B773" s="138" t="n">
        <f aca="false" ca="false" dt2D="false" dtr="false" t="normal">B772+1</f>
        <v>261</v>
      </c>
      <c r="C773" s="138" t="s">
        <v>93</v>
      </c>
      <c r="D773" s="138" t="s">
        <v>640</v>
      </c>
      <c r="E773" s="16" t="n">
        <f aca="false" ca="true" dt2D="false" dtr="false" t="normal">SUBTOTAL(9, F773:T773)</f>
        <v>10492870.870000001</v>
      </c>
      <c r="F773" s="17" t="n">
        <v>3698964.38</v>
      </c>
      <c r="G773" s="17" t="n"/>
      <c r="H773" s="17" t="n">
        <v>994832.33</v>
      </c>
      <c r="I773" s="17" t="n"/>
      <c r="J773" s="17" t="n">
        <v>0</v>
      </c>
      <c r="K773" s="17" t="n"/>
      <c r="L773" s="17" t="n"/>
      <c r="M773" s="17" t="n">
        <v>0</v>
      </c>
      <c r="N773" s="17" t="n">
        <v>5799074.16</v>
      </c>
      <c r="O773" s="17" t="n">
        <v>0</v>
      </c>
      <c r="P773" s="17" t="n">
        <v>0</v>
      </c>
      <c r="Q773" s="17" t="n">
        <v>0</v>
      </c>
      <c r="R773" s="17" t="n"/>
      <c r="S773" s="17" t="n"/>
      <c r="T773" s="188" t="n"/>
      <c r="V773" s="241" t="n">
        <f aca="false" ca="false" dt2D="false" dtr="false" t="normal">COUNTIF(F773:Q773, "&gt;0")</f>
        <v>3</v>
      </c>
    </row>
    <row outlineLevel="0" r="774">
      <c r="A774" s="154" t="n">
        <f aca="false" ca="false" dt2D="false" dtr="false" t="normal">A773+1</f>
        <v>751</v>
      </c>
      <c r="B774" s="138" t="n">
        <f aca="false" ca="false" dt2D="false" dtr="false" t="normal">B773+1</f>
        <v>262</v>
      </c>
      <c r="C774" s="138" t="s">
        <v>93</v>
      </c>
      <c r="D774" s="138" t="s">
        <v>641</v>
      </c>
      <c r="E774" s="342" t="n">
        <f aca="false" ca="true" dt2D="false" dtr="false" t="normal">SUBTOTAL(9, F774:T774)</f>
        <v>11173587.76</v>
      </c>
      <c r="F774" s="17" t="n">
        <v>4350161.84</v>
      </c>
      <c r="G774" s="17" t="n"/>
      <c r="H774" s="17" t="n">
        <v>1513519.58</v>
      </c>
      <c r="I774" s="17" t="n"/>
      <c r="J774" s="17" t="n">
        <v>0</v>
      </c>
      <c r="K774" s="17" t="n"/>
      <c r="L774" s="17" t="n"/>
      <c r="M774" s="17" t="n">
        <v>0</v>
      </c>
      <c r="N774" s="17" t="n">
        <v>5309906.34</v>
      </c>
      <c r="O774" s="17" t="n">
        <v>0</v>
      </c>
      <c r="P774" s="17" t="n">
        <v>0</v>
      </c>
      <c r="Q774" s="17" t="n">
        <v>0</v>
      </c>
      <c r="R774" s="17" t="n"/>
      <c r="S774" s="17" t="n"/>
      <c r="T774" s="188" t="n"/>
      <c r="V774" s="241" t="n">
        <f aca="false" ca="false" dt2D="false" dtr="false" t="normal">COUNTIF(F774:Q774, "&gt;0")</f>
        <v>3</v>
      </c>
    </row>
    <row outlineLevel="0" r="775">
      <c r="A775" s="154" t="n">
        <f aca="false" ca="false" dt2D="false" dtr="false" t="normal">A774+1</f>
        <v>752</v>
      </c>
      <c r="B775" s="138" t="n">
        <f aca="false" ca="false" dt2D="false" dtr="false" t="normal">B774+1</f>
        <v>263</v>
      </c>
      <c r="C775" s="138" t="s">
        <v>93</v>
      </c>
      <c r="D775" s="138" t="s">
        <v>643</v>
      </c>
      <c r="E775" s="16" t="n">
        <f aca="false" ca="true" dt2D="false" dtr="false" t="normal">SUBTOTAL(9, F775:T775)</f>
        <v>6390068.59</v>
      </c>
      <c r="F775" s="17" t="n">
        <v>6390068.59</v>
      </c>
      <c r="G775" s="17" t="n">
        <v>0</v>
      </c>
      <c r="H775" s="17" t="n">
        <v>0</v>
      </c>
      <c r="I775" s="17" t="n">
        <v>0</v>
      </c>
      <c r="J775" s="17" t="n">
        <v>0</v>
      </c>
      <c r="K775" s="17" t="n"/>
      <c r="L775" s="17" t="n"/>
      <c r="M775" s="17" t="n">
        <v>0</v>
      </c>
      <c r="N775" s="17" t="n">
        <v>0</v>
      </c>
      <c r="O775" s="17" t="n">
        <v>0</v>
      </c>
      <c r="P775" s="17" t="n">
        <v>0</v>
      </c>
      <c r="Q775" s="17" t="n">
        <v>0</v>
      </c>
      <c r="R775" s="17" t="n"/>
      <c r="S775" s="17" t="n"/>
      <c r="T775" s="188" t="n"/>
      <c r="V775" s="241" t="n">
        <f aca="false" ca="false" dt2D="false" dtr="false" t="normal">COUNTIF(F775:Q775, "&gt;0")</f>
        <v>1</v>
      </c>
    </row>
    <row outlineLevel="0" r="776">
      <c r="A776" s="154" t="n">
        <f aca="false" ca="false" dt2D="false" dtr="false" t="normal">A775+1</f>
        <v>753</v>
      </c>
      <c r="B776" s="138" t="n">
        <f aca="false" ca="false" dt2D="false" dtr="false" t="normal">B775+1</f>
        <v>264</v>
      </c>
      <c r="C776" s="138" t="s">
        <v>93</v>
      </c>
      <c r="D776" s="138" t="s">
        <v>384</v>
      </c>
      <c r="E776" s="16" t="n">
        <f aca="false" ca="true" dt2D="false" dtr="false" t="normal">SUBTOTAL(9, F776:T776)</f>
        <v>14189389.39</v>
      </c>
      <c r="F776" s="17" t="n">
        <v>14189389.39</v>
      </c>
      <c r="G776" s="17" t="n">
        <v>0</v>
      </c>
      <c r="H776" s="17" t="n">
        <v>0</v>
      </c>
      <c r="I776" s="17" t="n">
        <v>0</v>
      </c>
      <c r="J776" s="17" t="n">
        <v>0</v>
      </c>
      <c r="K776" s="17" t="n"/>
      <c r="L776" s="17" t="n"/>
      <c r="M776" s="17" t="n">
        <v>0</v>
      </c>
      <c r="N776" s="17" t="n">
        <v>0</v>
      </c>
      <c r="O776" s="17" t="n">
        <v>0</v>
      </c>
      <c r="P776" s="17" t="n">
        <v>0</v>
      </c>
      <c r="Q776" s="17" t="n">
        <v>0</v>
      </c>
      <c r="R776" s="17" t="n"/>
      <c r="S776" s="17" t="n"/>
      <c r="T776" s="188" t="n"/>
      <c r="V776" s="241" t="n">
        <f aca="false" ca="false" dt2D="false" dtr="false" t="normal">COUNTIF(F776:Q776, "&gt;0")</f>
        <v>1</v>
      </c>
    </row>
    <row outlineLevel="0" r="777">
      <c r="A777" s="154" t="n">
        <f aca="false" ca="false" dt2D="false" dtr="false" t="normal">A776+1</f>
        <v>754</v>
      </c>
      <c r="B777" s="138" t="n">
        <f aca="false" ca="false" dt2D="false" dtr="false" t="normal">B776+1</f>
        <v>265</v>
      </c>
      <c r="C777" s="138" t="s">
        <v>93</v>
      </c>
      <c r="D777" s="138" t="s">
        <v>645</v>
      </c>
      <c r="E777" s="342" t="n">
        <f aca="false" ca="true" dt2D="false" dtr="false" t="normal">SUBTOTAL(9, F777:T777)</f>
        <v>10843494.149999999</v>
      </c>
      <c r="F777" s="17" t="n">
        <v>4424020.72</v>
      </c>
      <c r="G777" s="17" t="n"/>
      <c r="H777" s="17" t="n">
        <v>1374170.93</v>
      </c>
      <c r="I777" s="17" t="n"/>
      <c r="J777" s="17" t="n">
        <v>0</v>
      </c>
      <c r="K777" s="17" t="n"/>
      <c r="L777" s="17" t="n"/>
      <c r="M777" s="17" t="n">
        <v>0</v>
      </c>
      <c r="N777" s="17" t="n">
        <v>5045302.5</v>
      </c>
      <c r="O777" s="17" t="n">
        <v>0</v>
      </c>
      <c r="P777" s="17" t="n">
        <v>0</v>
      </c>
      <c r="Q777" s="17" t="n">
        <v>0</v>
      </c>
      <c r="R777" s="17" t="n"/>
      <c r="S777" s="17" t="n"/>
      <c r="T777" s="188" t="n"/>
      <c r="V777" s="241" t="n">
        <f aca="false" ca="false" dt2D="false" dtr="false" t="normal">COUNTIF(F777:Q777, "&gt;0")</f>
        <v>3</v>
      </c>
    </row>
    <row outlineLevel="0" r="778">
      <c r="A778" s="154" t="n">
        <f aca="false" ca="false" dt2D="false" dtr="false" t="normal">A777+1</f>
        <v>755</v>
      </c>
      <c r="B778" s="138" t="n">
        <f aca="false" ca="false" dt2D="false" dtr="false" t="normal">B777+1</f>
        <v>266</v>
      </c>
      <c r="C778" s="138" t="s">
        <v>93</v>
      </c>
      <c r="D778" s="138" t="s">
        <v>647</v>
      </c>
      <c r="E778" s="16" t="n">
        <f aca="false" ca="true" dt2D="false" dtr="false" t="normal">SUBTOTAL(9, F778:T778)</f>
        <v>17030124.549999997</v>
      </c>
      <c r="F778" s="17" t="n">
        <v>5255348.26</v>
      </c>
      <c r="G778" s="17" t="n">
        <v>2576885.76</v>
      </c>
      <c r="H778" s="17" t="n">
        <v>1123654.06</v>
      </c>
      <c r="I778" s="17" t="n">
        <v>2148802.02</v>
      </c>
      <c r="J778" s="17" t="n">
        <v>0</v>
      </c>
      <c r="K778" s="17" t="n"/>
      <c r="L778" s="17" t="n"/>
      <c r="M778" s="17" t="n">
        <v>0</v>
      </c>
      <c r="N778" s="17" t="n">
        <v>2915091.37</v>
      </c>
      <c r="O778" s="17" t="n">
        <v>0</v>
      </c>
      <c r="P778" s="17" t="n">
        <v>0</v>
      </c>
      <c r="Q778" s="17" t="n">
        <v>3010343.08</v>
      </c>
      <c r="R778" s="17" t="n"/>
      <c r="S778" s="17" t="n"/>
      <c r="T778" s="188" t="n"/>
      <c r="V778" s="241" t="n">
        <f aca="false" ca="false" dt2D="false" dtr="false" t="normal">COUNTIF(F778:Q778, "&gt;0")</f>
        <v>6</v>
      </c>
    </row>
    <row outlineLevel="0" r="779">
      <c r="A779" s="154" t="n">
        <f aca="false" ca="false" dt2D="false" dtr="false" t="normal">A778+1</f>
        <v>756</v>
      </c>
      <c r="B779" s="138" t="n">
        <f aca="false" ca="false" dt2D="false" dtr="false" t="normal">B778+1</f>
        <v>267</v>
      </c>
      <c r="C779" s="138" t="s">
        <v>93</v>
      </c>
      <c r="D779" s="138" t="s">
        <v>648</v>
      </c>
      <c r="E779" s="16" t="n">
        <f aca="false" ca="true" dt2D="false" dtr="false" t="normal">SUBTOTAL(9, F779:T779)</f>
        <v>11351495.93</v>
      </c>
      <c r="F779" s="17" t="n">
        <v>11351495.93</v>
      </c>
      <c r="G779" s="17" t="n">
        <v>0</v>
      </c>
      <c r="H779" s="17" t="n">
        <v>0</v>
      </c>
      <c r="I779" s="17" t="n"/>
      <c r="J779" s="17" t="n">
        <v>0</v>
      </c>
      <c r="K779" s="17" t="n"/>
      <c r="L779" s="17" t="n"/>
      <c r="M779" s="17" t="n">
        <v>0</v>
      </c>
      <c r="N779" s="17" t="n">
        <v>0</v>
      </c>
      <c r="O779" s="17" t="n">
        <v>0</v>
      </c>
      <c r="P779" s="17" t="n"/>
      <c r="Q779" s="17" t="n"/>
      <c r="R779" s="17" t="n"/>
      <c r="S779" s="17" t="n"/>
      <c r="T779" s="188" t="n"/>
      <c r="V779" s="241" t="n">
        <f aca="false" ca="false" dt2D="false" dtr="false" t="normal">COUNTIF(F779:Q779, "&gt;0")</f>
        <v>1</v>
      </c>
    </row>
    <row outlineLevel="0" r="780">
      <c r="A780" s="154" t="n">
        <f aca="false" ca="false" dt2D="false" dtr="false" t="normal">A779+1</f>
        <v>757</v>
      </c>
      <c r="B780" s="138" t="n">
        <f aca="false" ca="false" dt2D="false" dtr="false" t="normal">B779+1</f>
        <v>268</v>
      </c>
      <c r="C780" s="138" t="s">
        <v>93</v>
      </c>
      <c r="D780" s="138" t="s">
        <v>649</v>
      </c>
      <c r="E780" s="16" t="n">
        <f aca="false" ca="true" dt2D="false" dtr="false" t="normal">SUBTOTAL(9, F780:T780)</f>
        <v>5979919.52</v>
      </c>
      <c r="F780" s="17" t="n">
        <v>5979919.52</v>
      </c>
      <c r="G780" s="17" t="n"/>
      <c r="H780" s="17" t="n"/>
      <c r="I780" s="17" t="n"/>
      <c r="J780" s="17" t="n"/>
      <c r="K780" s="17" t="n"/>
      <c r="L780" s="17" t="n"/>
      <c r="M780" s="17" t="n">
        <v>0</v>
      </c>
      <c r="N780" s="17" t="n">
        <v>0</v>
      </c>
      <c r="O780" s="17" t="n">
        <v>0</v>
      </c>
      <c r="P780" s="17" t="n">
        <v>0</v>
      </c>
      <c r="Q780" s="17" t="n"/>
      <c r="R780" s="17" t="n"/>
      <c r="S780" s="17" t="n"/>
      <c r="T780" s="188" t="n"/>
      <c r="V780" s="241" t="n">
        <f aca="false" ca="false" dt2D="false" dtr="false" t="normal">COUNTIF(F780:Q780, "&gt;0")</f>
        <v>1</v>
      </c>
    </row>
    <row outlineLevel="0" r="781">
      <c r="A781" s="154" t="n">
        <f aca="false" ca="false" dt2D="false" dtr="false" t="normal">A780+1</f>
        <v>758</v>
      </c>
      <c r="B781" s="138" t="n">
        <f aca="false" ca="false" dt2D="false" dtr="false" t="normal">B780+1</f>
        <v>269</v>
      </c>
      <c r="C781" s="138" t="s">
        <v>93</v>
      </c>
      <c r="D781" s="138" t="s">
        <v>651</v>
      </c>
      <c r="E781" s="342" t="n">
        <f aca="false" ca="true" dt2D="false" dtr="false" t="normal">SUBTOTAL(9, F781:T781)</f>
        <v>3883900.51</v>
      </c>
      <c r="F781" s="17" t="n">
        <v>0</v>
      </c>
      <c r="G781" s="17" t="n">
        <v>0</v>
      </c>
      <c r="H781" s="17" t="n">
        <v>3883900.51</v>
      </c>
      <c r="I781" s="17" t="n">
        <v>0</v>
      </c>
      <c r="J781" s="17" t="n">
        <v>0</v>
      </c>
      <c r="K781" s="17" t="n"/>
      <c r="L781" s="17" t="n"/>
      <c r="M781" s="17" t="n">
        <v>0</v>
      </c>
      <c r="N781" s="17" t="n">
        <v>0</v>
      </c>
      <c r="O781" s="17" t="n">
        <v>0</v>
      </c>
      <c r="P781" s="17" t="n">
        <v>0</v>
      </c>
      <c r="Q781" s="17" t="n">
        <v>0</v>
      </c>
      <c r="R781" s="17" t="n"/>
      <c r="S781" s="17" t="n"/>
      <c r="T781" s="188" t="n"/>
      <c r="V781" s="241" t="n">
        <f aca="false" ca="false" dt2D="false" dtr="false" t="normal">COUNTIF(F781:Q781, "&gt;0")</f>
        <v>1</v>
      </c>
    </row>
    <row outlineLevel="0" r="782">
      <c r="A782" s="154" t="n">
        <f aca="false" ca="false" dt2D="false" dtr="false" t="normal">A781+1</f>
        <v>759</v>
      </c>
      <c r="B782" s="138" t="n">
        <f aca="false" ca="false" dt2D="false" dtr="false" t="normal">B781+1</f>
        <v>270</v>
      </c>
      <c r="C782" s="138" t="s">
        <v>93</v>
      </c>
      <c r="D782" s="138" t="s">
        <v>654</v>
      </c>
      <c r="E782" s="342" t="n">
        <f aca="false" ca="true" dt2D="false" dtr="false" t="normal">SUBTOTAL(9, F782:T782)</f>
        <v>3572320.01</v>
      </c>
      <c r="F782" s="17" t="n"/>
      <c r="G782" s="17" t="n">
        <v>3572320.01</v>
      </c>
      <c r="H782" s="17" t="n">
        <v>0</v>
      </c>
      <c r="I782" s="17" t="n">
        <v>0</v>
      </c>
      <c r="J782" s="17" t="n">
        <v>0</v>
      </c>
      <c r="K782" s="17" t="n"/>
      <c r="L782" s="17" t="n"/>
      <c r="M782" s="17" t="n">
        <v>0</v>
      </c>
      <c r="N782" s="17" t="n">
        <v>0</v>
      </c>
      <c r="O782" s="17" t="n">
        <v>0</v>
      </c>
      <c r="P782" s="17" t="n">
        <v>0</v>
      </c>
      <c r="Q782" s="17" t="n">
        <v>0</v>
      </c>
      <c r="R782" s="17" t="n"/>
      <c r="S782" s="17" t="n"/>
      <c r="T782" s="188" t="n"/>
      <c r="V782" s="241" t="n">
        <f aca="false" ca="false" dt2D="false" dtr="false" t="normal">COUNTIF(F782:Q782, "&gt;0")</f>
        <v>1</v>
      </c>
    </row>
    <row outlineLevel="0" r="783">
      <c r="A783" s="154" t="n">
        <f aca="false" ca="false" dt2D="false" dtr="false" t="normal">A782+1</f>
        <v>760</v>
      </c>
      <c r="B783" s="138" t="n">
        <f aca="false" ca="false" dt2D="false" dtr="false" t="normal">B782+1</f>
        <v>271</v>
      </c>
      <c r="C783" s="138" t="s">
        <v>93</v>
      </c>
      <c r="D783" s="138" t="s">
        <v>656</v>
      </c>
      <c r="E783" s="16" t="n">
        <f aca="false" ca="true" dt2D="false" dtr="false" t="normal">SUBTOTAL(9, F783:T783)</f>
        <v>8396214.120000001</v>
      </c>
      <c r="F783" s="17" t="n">
        <v>5925260.24</v>
      </c>
      <c r="G783" s="17" t="n">
        <v>2470953.88</v>
      </c>
      <c r="H783" s="17" t="n">
        <v>0</v>
      </c>
      <c r="I783" s="17" t="n">
        <v>0</v>
      </c>
      <c r="J783" s="17" t="n">
        <v>0</v>
      </c>
      <c r="K783" s="17" t="n"/>
      <c r="L783" s="17" t="n"/>
      <c r="M783" s="17" t="n">
        <v>0</v>
      </c>
      <c r="N783" s="17" t="n">
        <v>0</v>
      </c>
      <c r="O783" s="17" t="n">
        <v>0</v>
      </c>
      <c r="P783" s="17" t="n">
        <v>0</v>
      </c>
      <c r="Q783" s="17" t="n">
        <v>0</v>
      </c>
      <c r="R783" s="17" t="n"/>
      <c r="S783" s="17" t="n"/>
      <c r="T783" s="188" t="n"/>
      <c r="V783" s="241" t="n">
        <f aca="false" ca="false" dt2D="false" dtr="false" t="normal">COUNTIF(F783:Q783, "&gt;0")</f>
        <v>2</v>
      </c>
    </row>
    <row outlineLevel="0" r="784">
      <c r="A784" s="154" t="n">
        <f aca="false" ca="false" dt2D="false" dtr="false" t="normal">A783+1</f>
        <v>761</v>
      </c>
      <c r="B784" s="138" t="n">
        <f aca="false" ca="false" dt2D="false" dtr="false" t="normal">B783+1</f>
        <v>272</v>
      </c>
      <c r="C784" s="138" t="s">
        <v>93</v>
      </c>
      <c r="D784" s="138" t="s">
        <v>658</v>
      </c>
      <c r="E784" s="342" t="n">
        <f aca="false" ca="true" dt2D="false" dtr="false" t="normal">SUBTOTAL(9, F784:T784)</f>
        <v>3393377.71</v>
      </c>
      <c r="F784" s="17" t="n"/>
      <c r="G784" s="17" t="n">
        <v>3393377.71</v>
      </c>
      <c r="H784" s="17" t="n">
        <v>0</v>
      </c>
      <c r="I784" s="17" t="n">
        <v>0</v>
      </c>
      <c r="J784" s="17" t="n">
        <v>0</v>
      </c>
      <c r="K784" s="17" t="n"/>
      <c r="L784" s="17" t="n"/>
      <c r="M784" s="17" t="n">
        <v>0</v>
      </c>
      <c r="N784" s="17" t="n">
        <v>0</v>
      </c>
      <c r="O784" s="17" t="n">
        <v>0</v>
      </c>
      <c r="P784" s="17" t="n">
        <v>0</v>
      </c>
      <c r="Q784" s="17" t="n">
        <v>0</v>
      </c>
      <c r="R784" s="17" t="n"/>
      <c r="S784" s="17" t="n"/>
      <c r="T784" s="188" t="n"/>
      <c r="V784" s="241" t="n">
        <f aca="false" ca="false" dt2D="false" dtr="false" t="normal">COUNTIF(F784:Q784, "&gt;0")</f>
        <v>1</v>
      </c>
    </row>
    <row outlineLevel="0" r="785">
      <c r="A785" s="154" t="n">
        <f aca="false" ca="false" dt2D="false" dtr="false" t="normal">A784+1</f>
        <v>762</v>
      </c>
      <c r="B785" s="138" t="n">
        <f aca="false" ca="false" dt2D="false" dtr="false" t="normal">B784+1</f>
        <v>273</v>
      </c>
      <c r="C785" s="138" t="s">
        <v>93</v>
      </c>
      <c r="D785" s="138" t="s">
        <v>660</v>
      </c>
      <c r="E785" s="16" t="n">
        <f aca="false" ca="true" dt2D="false" dtr="false" t="normal">SUBTOTAL(9, F785:T785)</f>
        <v>7286252.95</v>
      </c>
      <c r="F785" s="17" t="n">
        <v>5920320.63</v>
      </c>
      <c r="G785" s="17" t="n"/>
      <c r="H785" s="17" t="n">
        <v>1365932.32</v>
      </c>
      <c r="I785" s="17" t="n">
        <v>0</v>
      </c>
      <c r="J785" s="17" t="n">
        <v>0</v>
      </c>
      <c r="K785" s="17" t="n"/>
      <c r="L785" s="17" t="n"/>
      <c r="M785" s="17" t="n">
        <v>0</v>
      </c>
      <c r="N785" s="17" t="n">
        <v>0</v>
      </c>
      <c r="O785" s="17" t="n">
        <v>0</v>
      </c>
      <c r="P785" s="17" t="n">
        <v>0</v>
      </c>
      <c r="Q785" s="17" t="n">
        <v>0</v>
      </c>
      <c r="R785" s="17" t="n"/>
      <c r="S785" s="17" t="n"/>
      <c r="T785" s="188" t="n"/>
      <c r="V785" s="241" t="n">
        <f aca="false" ca="false" dt2D="false" dtr="false" t="normal">COUNTIF(F785:Q785, "&gt;0")</f>
        <v>2</v>
      </c>
    </row>
    <row outlineLevel="0" r="786">
      <c r="A786" s="154" t="n">
        <f aca="false" ca="false" dt2D="false" dtr="false" t="normal">A785+1</f>
        <v>763</v>
      </c>
      <c r="B786" s="138" t="n">
        <f aca="false" ca="false" dt2D="false" dtr="false" t="normal">B785+1</f>
        <v>274</v>
      </c>
      <c r="C786" s="138" t="s">
        <v>93</v>
      </c>
      <c r="D786" s="138" t="s">
        <v>661</v>
      </c>
      <c r="E786" s="16" t="n">
        <f aca="false" ca="true" dt2D="false" dtr="false" t="normal">SUBTOTAL(9, F786:T786)</f>
        <v>2158435.54</v>
      </c>
      <c r="F786" s="17" t="n">
        <v>0</v>
      </c>
      <c r="G786" s="17" t="n">
        <v>0</v>
      </c>
      <c r="H786" s="17" t="n">
        <v>0</v>
      </c>
      <c r="I786" s="17" t="n">
        <v>0</v>
      </c>
      <c r="J786" s="17" t="n">
        <v>0</v>
      </c>
      <c r="K786" s="17" t="n"/>
      <c r="L786" s="17" t="n"/>
      <c r="M786" s="17" t="n">
        <v>0</v>
      </c>
      <c r="N786" s="17" t="n">
        <v>2158435.54</v>
      </c>
      <c r="O786" s="17" t="n">
        <v>0</v>
      </c>
      <c r="P786" s="17" t="n">
        <v>0</v>
      </c>
      <c r="Q786" s="17" t="n">
        <v>0</v>
      </c>
      <c r="R786" s="17" t="n"/>
      <c r="S786" s="17" t="n"/>
      <c r="T786" s="188" t="n"/>
      <c r="V786" s="241" t="n">
        <f aca="false" ca="false" dt2D="false" dtr="false" t="normal">COUNTIF(F786:Q786, "&gt;0")</f>
        <v>1</v>
      </c>
    </row>
    <row outlineLevel="0" r="787">
      <c r="A787" s="154" t="n">
        <f aca="false" ca="false" dt2D="false" dtr="false" t="normal">A786+1</f>
        <v>764</v>
      </c>
      <c r="B787" s="138" t="n">
        <f aca="false" ca="false" dt2D="false" dtr="false" t="normal">B786+1</f>
        <v>275</v>
      </c>
      <c r="C787" s="138" t="s">
        <v>663</v>
      </c>
      <c r="D787" s="138" t="s">
        <v>664</v>
      </c>
      <c r="E787" s="342" t="n">
        <f aca="false" ca="true" dt2D="false" dtr="false" t="normal">SUBTOTAL(9, F787:T787)</f>
        <v>10635851.63</v>
      </c>
      <c r="F787" s="17" t="n">
        <v>6961345.19</v>
      </c>
      <c r="G787" s="17" t="n">
        <v>3674506.44</v>
      </c>
      <c r="H787" s="17" t="n">
        <v>0</v>
      </c>
      <c r="I787" s="17" t="n">
        <v>0</v>
      </c>
      <c r="J787" s="17" t="n">
        <v>0</v>
      </c>
      <c r="K787" s="17" t="n"/>
      <c r="L787" s="17" t="n"/>
      <c r="M787" s="17" t="n">
        <v>0</v>
      </c>
      <c r="N787" s="17" t="n">
        <v>0</v>
      </c>
      <c r="O787" s="17" t="n">
        <v>0</v>
      </c>
      <c r="P787" s="17" t="n">
        <v>0</v>
      </c>
      <c r="Q787" s="17" t="n">
        <v>0</v>
      </c>
      <c r="R787" s="17" t="n"/>
      <c r="S787" s="17" t="n"/>
      <c r="T787" s="188" t="n"/>
      <c r="V787" s="241" t="n">
        <f aca="false" ca="false" dt2D="false" dtr="false" t="normal">COUNTIF(F787:Q787, "&gt;0")</f>
        <v>2</v>
      </c>
    </row>
    <row outlineLevel="0" r="788">
      <c r="A788" s="154" t="n">
        <f aca="false" ca="false" dt2D="false" dtr="false" t="normal">A787+1</f>
        <v>765</v>
      </c>
      <c r="B788" s="138" t="n">
        <f aca="false" ca="false" dt2D="false" dtr="false" t="normal">B787+1</f>
        <v>276</v>
      </c>
      <c r="C788" s="138" t="s">
        <v>114</v>
      </c>
      <c r="D788" s="138" t="s">
        <v>665</v>
      </c>
      <c r="E788" s="342" t="n">
        <f aca="false" ca="true" dt2D="false" dtr="false" t="normal">SUBTOTAL(9, F788:T788)</f>
        <v>8303475.83</v>
      </c>
      <c r="F788" s="17" t="n">
        <v>8303475.83</v>
      </c>
      <c r="G788" s="17" t="n"/>
      <c r="H788" s="17" t="n">
        <v>0</v>
      </c>
      <c r="I788" s="17" t="n">
        <v>0</v>
      </c>
      <c r="J788" s="17" t="n">
        <v>0</v>
      </c>
      <c r="K788" s="17" t="n"/>
      <c r="L788" s="17" t="n"/>
      <c r="M788" s="17" t="n">
        <v>0</v>
      </c>
      <c r="N788" s="17" t="n"/>
      <c r="O788" s="17" t="n">
        <v>0</v>
      </c>
      <c r="P788" s="17" t="n">
        <v>0</v>
      </c>
      <c r="Q788" s="17" t="n">
        <v>0</v>
      </c>
      <c r="R788" s="17" t="n"/>
      <c r="S788" s="17" t="n"/>
      <c r="T788" s="188" t="n"/>
      <c r="V788" s="241" t="n">
        <f aca="false" ca="false" dt2D="false" dtr="false" t="normal">COUNTIF(F788:Q788, "&gt;0")</f>
        <v>1</v>
      </c>
    </row>
    <row outlineLevel="0" r="789">
      <c r="A789" s="154" t="n">
        <f aca="false" ca="false" dt2D="false" dtr="false" t="normal">A788+1</f>
        <v>766</v>
      </c>
      <c r="B789" s="138" t="n">
        <f aca="false" ca="false" dt2D="false" dtr="false" t="normal">B788+1</f>
        <v>277</v>
      </c>
      <c r="C789" s="138" t="s">
        <v>104</v>
      </c>
      <c r="D789" s="138" t="s">
        <v>666</v>
      </c>
      <c r="E789" s="16" t="n">
        <f aca="false" ca="true" dt2D="false" dtr="false" t="normal">SUBTOTAL(9, F789:T789)</f>
        <v>19281360.68</v>
      </c>
      <c r="F789" s="17" t="n">
        <v>0</v>
      </c>
      <c r="G789" s="17" t="n">
        <v>0</v>
      </c>
      <c r="H789" s="17" t="n">
        <v>0</v>
      </c>
      <c r="I789" s="17" t="n">
        <v>0</v>
      </c>
      <c r="J789" s="17" t="n">
        <v>0</v>
      </c>
      <c r="K789" s="17" t="n"/>
      <c r="L789" s="17" t="n"/>
      <c r="M789" s="17" t="n">
        <v>0</v>
      </c>
      <c r="N789" s="17" t="n">
        <v>0</v>
      </c>
      <c r="O789" s="17" t="n">
        <v>0</v>
      </c>
      <c r="P789" s="17" t="n">
        <v>19281360.68</v>
      </c>
      <c r="Q789" s="17" t="n">
        <v>0</v>
      </c>
      <c r="R789" s="17" t="n"/>
      <c r="S789" s="17" t="n"/>
      <c r="T789" s="188" t="n"/>
      <c r="V789" s="241" t="n">
        <f aca="false" ca="false" dt2D="false" dtr="false" t="normal">COUNTIF(F789:Q789, "&gt;0")</f>
        <v>1</v>
      </c>
    </row>
    <row outlineLevel="0" r="790">
      <c r="A790" s="154" t="n">
        <f aca="false" ca="false" dt2D="false" dtr="false" t="normal">A789+1</f>
        <v>767</v>
      </c>
      <c r="B790" s="138" t="s">
        <v>76</v>
      </c>
      <c r="C790" s="138" t="s">
        <v>177</v>
      </c>
      <c r="D790" s="138" t="s">
        <v>394</v>
      </c>
      <c r="E790" s="16" t="n">
        <f aca="false" ca="true" dt2D="false" dtr="false" t="normal">SUBTOTAL(9, F790:T790)</f>
        <v>14156807.72</v>
      </c>
      <c r="F790" s="17" t="n"/>
      <c r="G790" s="17" t="n"/>
      <c r="H790" s="17" t="n"/>
      <c r="I790" s="17" t="n"/>
      <c r="J790" s="17" t="n"/>
      <c r="K790" s="17" t="n"/>
      <c r="L790" s="17" t="n"/>
      <c r="M790" s="17" t="n"/>
      <c r="N790" s="17" t="n"/>
      <c r="O790" s="17" t="n">
        <v>0</v>
      </c>
      <c r="P790" s="17" t="n">
        <v>14156807.72</v>
      </c>
      <c r="Q790" s="17" t="n"/>
      <c r="R790" s="17" t="n"/>
      <c r="S790" s="17" t="n"/>
      <c r="T790" s="188" t="n"/>
      <c r="V790" s="241" t="n">
        <f aca="false" ca="false" dt2D="false" dtr="false" t="normal">COUNTIF(F790:Q790, "&gt;0")</f>
        <v>1</v>
      </c>
    </row>
    <row outlineLevel="0" r="791">
      <c r="A791" s="154" t="n">
        <f aca="false" ca="false" dt2D="false" dtr="false" t="normal">A790+1</f>
        <v>768</v>
      </c>
      <c r="B791" s="138" t="n">
        <f aca="false" ca="false" dt2D="false" dtr="false" t="normal">B789+1</f>
        <v>278</v>
      </c>
      <c r="C791" s="138" t="s">
        <v>93</v>
      </c>
      <c r="D791" s="138" t="s">
        <v>671</v>
      </c>
      <c r="E791" s="16" t="n">
        <f aca="false" ca="true" dt2D="false" dtr="false" t="normal">SUBTOTAL(9, F791:T791)</f>
        <v>6308293.31</v>
      </c>
      <c r="F791" s="17" t="n"/>
      <c r="G791" s="17" t="n"/>
      <c r="H791" s="17" t="n"/>
      <c r="I791" s="17" t="n"/>
      <c r="J791" s="17" t="n"/>
      <c r="K791" s="17" t="n"/>
      <c r="L791" s="17" t="n"/>
      <c r="M791" s="17" t="n"/>
      <c r="N791" s="17" t="n"/>
      <c r="O791" s="17" t="n"/>
      <c r="P791" s="17" t="n"/>
      <c r="Q791" s="17" t="n">
        <v>6308293.31</v>
      </c>
      <c r="R791" s="17" t="n"/>
      <c r="S791" s="17" t="n"/>
      <c r="T791" s="188" t="n"/>
      <c r="V791" s="241" t="n">
        <f aca="false" ca="false" dt2D="false" dtr="false" t="normal">COUNTIF(F791:Q791, "&gt;0")</f>
        <v>1</v>
      </c>
    </row>
    <row outlineLevel="0" r="792">
      <c r="A792" s="154" t="n">
        <f aca="false" ca="false" dt2D="false" dtr="false" t="normal">A791+1</f>
        <v>769</v>
      </c>
      <c r="B792" s="138" t="s">
        <v>76</v>
      </c>
      <c r="C792" s="138" t="s">
        <v>114</v>
      </c>
      <c r="D792" s="138" t="s">
        <v>531</v>
      </c>
      <c r="E792" s="16" t="n">
        <f aca="false" ca="true" dt2D="false" dtr="false" t="normal">SUBTOTAL(9, F792:T792)</f>
        <v>6282061.32</v>
      </c>
      <c r="F792" s="17" t="n"/>
      <c r="G792" s="17" t="n"/>
      <c r="H792" s="17" t="n"/>
      <c r="I792" s="17" t="n"/>
      <c r="J792" s="17" t="n"/>
      <c r="K792" s="17" t="n"/>
      <c r="L792" s="17" t="n"/>
      <c r="M792" s="17" t="n">
        <v>0</v>
      </c>
      <c r="N792" s="17" t="n">
        <v>6282061.32</v>
      </c>
      <c r="O792" s="17" t="n">
        <v>0</v>
      </c>
      <c r="P792" s="17" t="n">
        <v>0</v>
      </c>
      <c r="Q792" s="17" t="n">
        <v>0</v>
      </c>
      <c r="R792" s="17" t="n"/>
      <c r="S792" s="17" t="n"/>
      <c r="T792" s="188" t="n"/>
      <c r="V792" s="241" t="n">
        <f aca="false" ca="false" dt2D="false" dtr="false" t="normal">COUNTIF(F792:Q792, "&gt;0")</f>
        <v>1</v>
      </c>
    </row>
    <row outlineLevel="0" r="793">
      <c r="A793" s="154" t="n">
        <f aca="false" ca="false" dt2D="false" dtr="false" t="normal">A792+1</f>
        <v>770</v>
      </c>
      <c r="B793" s="138" t="n">
        <f aca="false" ca="false" dt2D="false" dtr="false" t="normal">B791+1</f>
        <v>279</v>
      </c>
      <c r="C793" s="138" t="s">
        <v>533</v>
      </c>
      <c r="D793" s="138" t="s">
        <v>674</v>
      </c>
      <c r="E793" s="16" t="n">
        <f aca="false" ca="true" dt2D="false" dtr="false" t="normal">SUBTOTAL(9, F793:T793)</f>
        <v>21539455.56</v>
      </c>
      <c r="F793" s="17" t="n">
        <v>0</v>
      </c>
      <c r="G793" s="17" t="n">
        <v>0</v>
      </c>
      <c r="H793" s="17" t="n">
        <v>0</v>
      </c>
      <c r="I793" s="17" t="n">
        <v>0</v>
      </c>
      <c r="J793" s="17" t="n">
        <v>0</v>
      </c>
      <c r="K793" s="17" t="n"/>
      <c r="L793" s="17" t="n"/>
      <c r="M793" s="17" t="n">
        <v>0</v>
      </c>
      <c r="N793" s="17" t="n">
        <v>21539455.56</v>
      </c>
      <c r="O793" s="17" t="n">
        <v>0</v>
      </c>
      <c r="P793" s="17" t="n">
        <v>0</v>
      </c>
      <c r="Q793" s="17" t="n">
        <v>0</v>
      </c>
      <c r="R793" s="17" t="n"/>
      <c r="S793" s="17" t="n"/>
      <c r="T793" s="188" t="n"/>
      <c r="V793" s="241" t="n">
        <f aca="false" ca="false" dt2D="false" dtr="false" t="normal">COUNTIF(F793:Q793, "&gt;0")</f>
        <v>1</v>
      </c>
    </row>
    <row outlineLevel="0" r="794">
      <c r="A794" s="154" t="n">
        <f aca="false" ca="false" dt2D="false" dtr="false" t="normal">A793+1</f>
        <v>771</v>
      </c>
      <c r="B794" s="138" t="n">
        <f aca="false" ca="false" dt2D="false" dtr="false" t="normal">B793+1</f>
        <v>280</v>
      </c>
      <c r="C794" s="138" t="s">
        <v>147</v>
      </c>
      <c r="D794" s="138" t="s">
        <v>676</v>
      </c>
      <c r="E794" s="16" t="n">
        <f aca="false" ca="true" dt2D="false" dtr="false" t="normal">SUBTOTAL(9, F794:T794)</f>
        <v>14405926.62</v>
      </c>
      <c r="F794" s="17" t="n">
        <v>0</v>
      </c>
      <c r="G794" s="17" t="n">
        <v>0</v>
      </c>
      <c r="H794" s="17" t="n">
        <v>0</v>
      </c>
      <c r="I794" s="17" t="n">
        <v>0</v>
      </c>
      <c r="J794" s="17" t="n">
        <v>0</v>
      </c>
      <c r="K794" s="17" t="n"/>
      <c r="L794" s="17" t="n"/>
      <c r="M794" s="17" t="n">
        <v>0</v>
      </c>
      <c r="N794" s="17" t="n">
        <v>0</v>
      </c>
      <c r="O794" s="17" t="n">
        <v>14405926.62</v>
      </c>
      <c r="P794" s="17" t="n">
        <v>0</v>
      </c>
      <c r="Q794" s="17" t="n">
        <v>0</v>
      </c>
      <c r="R794" s="17" t="n"/>
      <c r="S794" s="17" t="n"/>
      <c r="T794" s="188" t="n"/>
      <c r="V794" s="241" t="n">
        <f aca="false" ca="false" dt2D="false" dtr="false" t="normal">COUNTIF(F794:Q794, "&gt;0")</f>
        <v>1</v>
      </c>
    </row>
    <row outlineLevel="0" r="795">
      <c r="A795" s="154" t="n">
        <f aca="false" ca="false" dt2D="false" dtr="false" t="normal">A794+1</f>
        <v>772</v>
      </c>
      <c r="B795" s="138" t="n">
        <f aca="false" ca="false" dt2D="false" dtr="false" t="normal">B794+1</f>
        <v>281</v>
      </c>
      <c r="C795" s="138" t="s">
        <v>104</v>
      </c>
      <c r="D795" s="138" t="s">
        <v>677</v>
      </c>
      <c r="E795" s="16" t="n">
        <f aca="false" ca="true" dt2D="false" dtr="false" t="normal">SUBTOTAL(9, F795:T795)</f>
        <v>7116553.68</v>
      </c>
      <c r="F795" s="17" t="n">
        <v>7116553.68</v>
      </c>
      <c r="G795" s="17" t="n">
        <v>0</v>
      </c>
      <c r="H795" s="17" t="n">
        <v>0</v>
      </c>
      <c r="I795" s="17" t="n">
        <v>0</v>
      </c>
      <c r="J795" s="17" t="n">
        <v>0</v>
      </c>
      <c r="K795" s="17" t="n"/>
      <c r="L795" s="17" t="n"/>
      <c r="M795" s="17" t="n">
        <v>0</v>
      </c>
      <c r="N795" s="17" t="n">
        <v>0</v>
      </c>
      <c r="O795" s="17" t="n">
        <v>0</v>
      </c>
      <c r="P795" s="17" t="n">
        <v>0</v>
      </c>
      <c r="Q795" s="17" t="n">
        <v>0</v>
      </c>
      <c r="R795" s="17" t="n"/>
      <c r="S795" s="17" t="n"/>
      <c r="T795" s="188" t="n"/>
      <c r="V795" s="241" t="n">
        <f aca="false" ca="false" dt2D="false" dtr="false" t="normal">COUNTIF(F795:Q795, "&gt;0")</f>
        <v>1</v>
      </c>
    </row>
    <row outlineLevel="0" r="796">
      <c r="A796" s="154" t="n">
        <f aca="false" ca="false" dt2D="false" dtr="false" t="normal">+A795+1</f>
        <v>773</v>
      </c>
      <c r="B796" s="138" t="s">
        <v>76</v>
      </c>
      <c r="C796" s="138" t="s">
        <v>104</v>
      </c>
      <c r="D796" s="138" t="s">
        <v>244</v>
      </c>
      <c r="E796" s="16" t="n">
        <f aca="false" ca="true" dt2D="false" dtr="false" t="normal">SUBTOTAL(9, F796:T796)</f>
        <v>9755981.03</v>
      </c>
      <c r="F796" s="17" t="n">
        <v>0</v>
      </c>
      <c r="G796" s="17" t="n">
        <v>0</v>
      </c>
      <c r="H796" s="17" t="n">
        <v>0</v>
      </c>
      <c r="I796" s="17" t="n">
        <v>0</v>
      </c>
      <c r="J796" s="17" t="n">
        <v>0</v>
      </c>
      <c r="K796" s="17" t="n"/>
      <c r="L796" s="17" t="n"/>
      <c r="M796" s="17" t="n">
        <v>0</v>
      </c>
      <c r="N796" s="17" t="n">
        <v>0</v>
      </c>
      <c r="O796" s="17" t="n">
        <v>9755981.03</v>
      </c>
      <c r="P796" s="17" t="n"/>
      <c r="Q796" s="17" t="n">
        <v>0</v>
      </c>
      <c r="R796" s="17" t="n"/>
      <c r="S796" s="17" t="n"/>
      <c r="T796" s="188" t="n"/>
      <c r="V796" s="241" t="n">
        <f aca="false" ca="false" dt2D="false" dtr="false" t="normal">COUNTIF(F796:Q796, "&gt;0")</f>
        <v>1</v>
      </c>
    </row>
    <row outlineLevel="0" r="797">
      <c r="A797" s="154" t="n">
        <f aca="false" ca="false" dt2D="false" dtr="false" t="normal">+A796+1</f>
        <v>774</v>
      </c>
      <c r="B797" s="138" t="s">
        <v>76</v>
      </c>
      <c r="C797" s="138" t="s">
        <v>104</v>
      </c>
      <c r="D797" s="138" t="s">
        <v>246</v>
      </c>
      <c r="E797" s="16" t="n">
        <f aca="false" ca="true" dt2D="false" dtr="false" t="normal">SUBTOTAL(9, F797:T797)</f>
        <v>3497984.64</v>
      </c>
      <c r="F797" s="17" t="n"/>
      <c r="G797" s="17" t="n">
        <v>3497984.64</v>
      </c>
      <c r="H797" s="17" t="n">
        <v>0</v>
      </c>
      <c r="I797" s="17" t="n">
        <v>0</v>
      </c>
      <c r="J797" s="17" t="n">
        <v>0</v>
      </c>
      <c r="K797" s="17" t="n"/>
      <c r="L797" s="17" t="n">
        <v>0</v>
      </c>
      <c r="M797" s="17" t="n"/>
      <c r="N797" s="17" t="n"/>
      <c r="O797" s="17" t="n"/>
      <c r="P797" s="17" t="n">
        <v>0</v>
      </c>
      <c r="Q797" s="17" t="n">
        <v>0</v>
      </c>
      <c r="R797" s="17" t="n"/>
      <c r="S797" s="17" t="n"/>
      <c r="T797" s="188" t="n"/>
      <c r="V797" s="241" t="n">
        <f aca="false" ca="false" dt2D="false" dtr="false" t="normal">COUNTIF(F797:Q797, "&gt;0")</f>
        <v>1</v>
      </c>
    </row>
    <row outlineLevel="0" r="798">
      <c r="A798" s="154" t="n">
        <f aca="false" ca="false" dt2D="false" dtr="false" t="normal">+A797+1</f>
        <v>775</v>
      </c>
      <c r="B798" s="138" t="s">
        <v>76</v>
      </c>
      <c r="C798" s="138" t="s">
        <v>104</v>
      </c>
      <c r="D798" s="138" t="s">
        <v>255</v>
      </c>
      <c r="E798" s="16" t="n">
        <f aca="false" ca="true" dt2D="false" dtr="false" t="normal">SUBTOTAL(9, F798:T798)</f>
        <v>7852851.42</v>
      </c>
      <c r="F798" s="17" t="n"/>
      <c r="G798" s="17" t="n">
        <v>7852851.42</v>
      </c>
      <c r="H798" s="17" t="n">
        <v>0</v>
      </c>
      <c r="I798" s="17" t="n"/>
      <c r="J798" s="17" t="n">
        <v>0</v>
      </c>
      <c r="K798" s="17" t="n"/>
      <c r="L798" s="17" t="n"/>
      <c r="M798" s="17" t="n">
        <v>0</v>
      </c>
      <c r="N798" s="17" t="n">
        <v>0</v>
      </c>
      <c r="O798" s="17" t="n">
        <v>0</v>
      </c>
      <c r="P798" s="17" t="n">
        <v>0</v>
      </c>
      <c r="Q798" s="17" t="n">
        <v>0</v>
      </c>
      <c r="R798" s="17" t="n"/>
      <c r="S798" s="17" t="n"/>
      <c r="T798" s="188" t="n"/>
      <c r="V798" s="241" t="n">
        <f aca="false" ca="false" dt2D="false" dtr="false" t="normal">COUNTIF(F798:Q798, "&gt;0")</f>
        <v>1</v>
      </c>
    </row>
    <row outlineLevel="0" r="799">
      <c r="A799" s="154" t="n">
        <f aca="false" ca="false" dt2D="false" dtr="false" t="normal">+A798+1</f>
        <v>776</v>
      </c>
      <c r="B799" s="138" t="s">
        <v>76</v>
      </c>
      <c r="C799" s="138" t="s">
        <v>104</v>
      </c>
      <c r="D799" s="138" t="s">
        <v>264</v>
      </c>
      <c r="E799" s="16" t="n">
        <f aca="false" ca="true" dt2D="false" dtr="false" t="normal">SUBTOTAL(9, F799:T799)</f>
        <v>4925359.93</v>
      </c>
      <c r="F799" s="17" t="n"/>
      <c r="G799" s="17" t="n">
        <v>4925359.93</v>
      </c>
      <c r="H799" s="17" t="n"/>
      <c r="I799" s="17" t="n">
        <v>0</v>
      </c>
      <c r="J799" s="17" t="n">
        <v>0</v>
      </c>
      <c r="K799" s="17" t="n"/>
      <c r="L799" s="17" t="n"/>
      <c r="M799" s="17" t="n">
        <v>0</v>
      </c>
      <c r="N799" s="17" t="n">
        <v>0</v>
      </c>
      <c r="O799" s="17" t="n">
        <v>0</v>
      </c>
      <c r="P799" s="17" t="n">
        <v>0</v>
      </c>
      <c r="Q799" s="17" t="n">
        <v>0</v>
      </c>
      <c r="R799" s="17" t="n"/>
      <c r="S799" s="17" t="n"/>
      <c r="T799" s="188" t="n"/>
      <c r="V799" s="241" t="n">
        <f aca="false" ca="false" dt2D="false" dtr="false" t="normal">COUNTIF(F799:Q799, "&gt;0")</f>
        <v>1</v>
      </c>
    </row>
    <row outlineLevel="0" r="800">
      <c r="A800" s="154" t="n">
        <f aca="false" ca="false" dt2D="false" dtr="false" t="normal">+A799+1</f>
        <v>777</v>
      </c>
      <c r="B800" s="138" t="n">
        <f aca="false" ca="false" dt2D="false" dtr="false" t="normal">B795+1</f>
        <v>282</v>
      </c>
      <c r="C800" s="138" t="s">
        <v>104</v>
      </c>
      <c r="D800" s="138" t="s">
        <v>680</v>
      </c>
      <c r="E800" s="16" t="n">
        <f aca="false" ca="true" dt2D="false" dtr="false" t="normal">SUBTOTAL(9, F800:T800)</f>
        <v>4765870.78</v>
      </c>
      <c r="F800" s="17" t="n">
        <v>0</v>
      </c>
      <c r="G800" s="17" t="n">
        <v>0</v>
      </c>
      <c r="H800" s="17" t="n">
        <v>4765870.78</v>
      </c>
      <c r="I800" s="17" t="n">
        <v>0</v>
      </c>
      <c r="J800" s="17" t="n">
        <v>0</v>
      </c>
      <c r="K800" s="17" t="n"/>
      <c r="L800" s="17" t="n"/>
      <c r="M800" s="17" t="n">
        <v>0</v>
      </c>
      <c r="N800" s="17" t="n">
        <v>0</v>
      </c>
      <c r="O800" s="17" t="n">
        <v>0</v>
      </c>
      <c r="P800" s="17" t="n">
        <v>0</v>
      </c>
      <c r="Q800" s="17" t="n">
        <v>0</v>
      </c>
      <c r="R800" s="17" t="n"/>
      <c r="S800" s="17" t="n"/>
      <c r="T800" s="188" t="n"/>
      <c r="V800" s="241" t="n">
        <f aca="false" ca="false" dt2D="false" dtr="false" t="normal">COUNTIF(F800:Q800, "&gt;0")</f>
        <v>1</v>
      </c>
    </row>
    <row outlineLevel="0" r="801">
      <c r="A801" s="154" t="n">
        <f aca="false" ca="false" dt2D="false" dtr="false" t="normal">+A800+1</f>
        <v>778</v>
      </c>
      <c r="B801" s="138" t="n">
        <f aca="false" ca="false" dt2D="false" dtr="false" t="normal">+B800+1</f>
        <v>283</v>
      </c>
      <c r="C801" s="138" t="s">
        <v>104</v>
      </c>
      <c r="D801" s="138" t="s">
        <v>681</v>
      </c>
      <c r="E801" s="16" t="n">
        <f aca="false" ca="true" dt2D="false" dtr="false" t="normal">SUBTOTAL(9, F801:T801)</f>
        <v>7475531.77</v>
      </c>
      <c r="F801" s="17" t="n">
        <v>0</v>
      </c>
      <c r="G801" s="17" t="n">
        <v>0</v>
      </c>
      <c r="H801" s="17" t="n">
        <v>0</v>
      </c>
      <c r="I801" s="17" t="n">
        <v>0</v>
      </c>
      <c r="J801" s="17" t="n">
        <v>0</v>
      </c>
      <c r="K801" s="17" t="n"/>
      <c r="L801" s="17" t="n"/>
      <c r="M801" s="17" t="n">
        <v>0</v>
      </c>
      <c r="N801" s="17" t="n">
        <v>0</v>
      </c>
      <c r="O801" s="17" t="n">
        <v>7475531.77</v>
      </c>
      <c r="P801" s="17" t="n">
        <v>0</v>
      </c>
      <c r="Q801" s="17" t="n">
        <v>0</v>
      </c>
      <c r="R801" s="17" t="n"/>
      <c r="S801" s="17" t="n"/>
      <c r="T801" s="188" t="n"/>
      <c r="V801" s="241" t="n">
        <f aca="false" ca="false" dt2D="false" dtr="false" t="normal">COUNTIF(F801:Q801, "&gt;0")</f>
        <v>1</v>
      </c>
    </row>
    <row outlineLevel="0" r="802">
      <c r="A802" s="154" t="n">
        <f aca="false" ca="false" dt2D="false" dtr="false" t="normal">+A801+1</f>
        <v>779</v>
      </c>
      <c r="B802" s="138" t="n">
        <f aca="false" ca="false" dt2D="false" dtr="false" t="normal">+B801+1</f>
        <v>284</v>
      </c>
      <c r="C802" s="138" t="s">
        <v>104</v>
      </c>
      <c r="D802" s="138" t="s">
        <v>683</v>
      </c>
      <c r="E802" s="16" t="n">
        <f aca="false" ca="true" dt2D="false" dtr="false" t="normal">SUBTOTAL(9, F802:T802)</f>
        <v>9246422.73</v>
      </c>
      <c r="F802" s="17" t="n">
        <v>0</v>
      </c>
      <c r="G802" s="17" t="n">
        <v>0</v>
      </c>
      <c r="H802" s="17" t="n">
        <v>0</v>
      </c>
      <c r="I802" s="17" t="n">
        <v>0</v>
      </c>
      <c r="J802" s="17" t="n">
        <v>0</v>
      </c>
      <c r="K802" s="17" t="n"/>
      <c r="L802" s="17" t="n"/>
      <c r="M802" s="17" t="n">
        <v>0</v>
      </c>
      <c r="N802" s="17" t="n">
        <v>0</v>
      </c>
      <c r="O802" s="17" t="n">
        <v>9246422.73</v>
      </c>
      <c r="P802" s="17" t="n">
        <v>0</v>
      </c>
      <c r="Q802" s="17" t="n">
        <v>0</v>
      </c>
      <c r="R802" s="17" t="n"/>
      <c r="S802" s="17" t="n"/>
      <c r="T802" s="188" t="n"/>
      <c r="V802" s="241" t="n">
        <f aca="false" ca="false" dt2D="false" dtr="false" t="normal">COUNTIF(F802:Q802, "&gt;0")</f>
        <v>1</v>
      </c>
    </row>
    <row outlineLevel="0" r="803">
      <c r="A803" s="154" t="n">
        <f aca="false" ca="false" dt2D="false" dtr="false" t="normal">+A802+1</f>
        <v>780</v>
      </c>
      <c r="B803" s="138" t="n">
        <f aca="false" ca="false" dt2D="false" dtr="false" t="normal">+B802+1</f>
        <v>285</v>
      </c>
      <c r="C803" s="138" t="s">
        <v>104</v>
      </c>
      <c r="D803" s="138" t="s">
        <v>684</v>
      </c>
      <c r="E803" s="16" t="n">
        <f aca="false" ca="true" dt2D="false" dtr="false" t="normal">SUBTOTAL(9, F803:T803)</f>
        <v>9895682.42</v>
      </c>
      <c r="F803" s="17" t="n">
        <v>0</v>
      </c>
      <c r="G803" s="17" t="n">
        <v>0</v>
      </c>
      <c r="H803" s="17" t="n">
        <v>0</v>
      </c>
      <c r="I803" s="17" t="n">
        <v>0</v>
      </c>
      <c r="J803" s="17" t="n">
        <v>0</v>
      </c>
      <c r="K803" s="17" t="n"/>
      <c r="L803" s="17" t="n"/>
      <c r="M803" s="17" t="n">
        <v>0</v>
      </c>
      <c r="N803" s="17" t="n">
        <v>0</v>
      </c>
      <c r="O803" s="17" t="n">
        <v>9895682.42</v>
      </c>
      <c r="P803" s="17" t="n">
        <v>0</v>
      </c>
      <c r="Q803" s="17" t="n">
        <v>0</v>
      </c>
      <c r="R803" s="17" t="n"/>
      <c r="S803" s="17" t="n"/>
      <c r="T803" s="188" t="n"/>
      <c r="V803" s="241" t="n">
        <f aca="false" ca="false" dt2D="false" dtr="false" t="normal">COUNTIF(F803:Q803, "&gt;0")</f>
        <v>1</v>
      </c>
    </row>
    <row outlineLevel="0" r="804">
      <c r="A804" s="154" t="n">
        <f aca="false" ca="false" dt2D="false" dtr="false" t="normal">+A803+1</f>
        <v>781</v>
      </c>
      <c r="B804" s="138" t="s">
        <v>76</v>
      </c>
      <c r="C804" s="138" t="s">
        <v>104</v>
      </c>
      <c r="D804" s="138" t="s">
        <v>287</v>
      </c>
      <c r="E804" s="16" t="n">
        <f aca="false" ca="true" dt2D="false" dtr="false" t="normal">SUBTOTAL(9, F804:T804)</f>
        <v>12028791.94</v>
      </c>
      <c r="F804" s="17" t="n"/>
      <c r="G804" s="17" t="n">
        <v>0</v>
      </c>
      <c r="H804" s="17" t="n">
        <v>0</v>
      </c>
      <c r="I804" s="17" t="n"/>
      <c r="J804" s="17" t="n">
        <v>0</v>
      </c>
      <c r="K804" s="17" t="n"/>
      <c r="L804" s="17" t="n"/>
      <c r="M804" s="17" t="n">
        <v>0</v>
      </c>
      <c r="N804" s="17" t="n"/>
      <c r="O804" s="17" t="n">
        <v>12028791.94</v>
      </c>
      <c r="P804" s="17" t="n">
        <v>0</v>
      </c>
      <c r="Q804" s="17" t="n">
        <v>0</v>
      </c>
      <c r="R804" s="17" t="n"/>
      <c r="S804" s="17" t="n"/>
      <c r="T804" s="188" t="n"/>
      <c r="V804" s="241" t="n">
        <f aca="false" ca="false" dt2D="false" dtr="false" t="normal">COUNTIF(F804:Q804, "&gt;0")</f>
        <v>1</v>
      </c>
    </row>
    <row outlineLevel="0" r="805">
      <c r="A805" s="154" t="n">
        <f aca="false" ca="false" dt2D="false" dtr="false" t="normal">+A804+1</f>
        <v>782</v>
      </c>
      <c r="B805" s="138" t="s">
        <v>76</v>
      </c>
      <c r="C805" s="138" t="s">
        <v>104</v>
      </c>
      <c r="D805" s="138" t="s">
        <v>313</v>
      </c>
      <c r="E805" s="16" t="n">
        <f aca="false" ca="true" dt2D="false" dtr="false" t="normal">SUBTOTAL(9, F805:T805)</f>
        <v>2586281.94</v>
      </c>
      <c r="F805" s="17" t="n"/>
      <c r="G805" s="17" t="n">
        <v>0</v>
      </c>
      <c r="H805" s="17" t="n"/>
      <c r="I805" s="17" t="n">
        <v>2586281.94</v>
      </c>
      <c r="J805" s="17" t="n">
        <v>0</v>
      </c>
      <c r="K805" s="17" t="n"/>
      <c r="L805" s="17" t="n"/>
      <c r="M805" s="17" t="n">
        <v>0</v>
      </c>
      <c r="N805" s="17" t="n">
        <v>0</v>
      </c>
      <c r="O805" s="17" t="n">
        <v>0</v>
      </c>
      <c r="P805" s="17" t="n">
        <v>0</v>
      </c>
      <c r="Q805" s="17" t="n">
        <v>0</v>
      </c>
      <c r="R805" s="17" t="n"/>
      <c r="S805" s="17" t="n"/>
      <c r="T805" s="188" t="n"/>
      <c r="V805" s="241" t="n">
        <f aca="false" ca="false" dt2D="false" dtr="false" t="normal">COUNTIF(F805:Q805, "&gt;0")</f>
        <v>1</v>
      </c>
    </row>
    <row outlineLevel="0" r="806">
      <c r="A806" s="154" t="n">
        <f aca="false" ca="false" dt2D="false" dtr="false" t="normal">+A805+1</f>
        <v>783</v>
      </c>
      <c r="B806" s="138" t="s">
        <v>76</v>
      </c>
      <c r="C806" s="138" t="s">
        <v>177</v>
      </c>
      <c r="D806" s="138" t="s">
        <v>346</v>
      </c>
      <c r="E806" s="16" t="n">
        <f aca="false" ca="true" dt2D="false" dtr="false" t="normal">SUBTOTAL(9, F806:T806)</f>
        <v>6927680.9</v>
      </c>
      <c r="F806" s="17" t="n"/>
      <c r="G806" s="17" t="n">
        <v>2451339</v>
      </c>
      <c r="H806" s="17" t="n"/>
      <c r="I806" s="17" t="n"/>
      <c r="J806" s="17" t="n">
        <v>498007.81</v>
      </c>
      <c r="K806" s="17" t="n"/>
      <c r="L806" s="17" t="n"/>
      <c r="M806" s="17" t="n">
        <v>0</v>
      </c>
      <c r="N806" s="17" t="n"/>
      <c r="O806" s="17" t="n">
        <v>0</v>
      </c>
      <c r="P806" s="17" t="n"/>
      <c r="Q806" s="17" t="n">
        <v>3978334.09</v>
      </c>
      <c r="R806" s="17" t="n"/>
      <c r="S806" s="17" t="n"/>
      <c r="T806" s="188" t="n"/>
      <c r="V806" s="241" t="n">
        <f aca="false" ca="false" dt2D="false" dtr="false" t="normal">COUNTIF(F806:Q806, "&gt;0")</f>
        <v>3</v>
      </c>
    </row>
    <row outlineLevel="0" r="807">
      <c r="A807" s="154" t="n">
        <f aca="false" ca="false" dt2D="false" dtr="false" t="normal">+A806+1</f>
        <v>784</v>
      </c>
      <c r="B807" s="138" t="s">
        <v>76</v>
      </c>
      <c r="C807" s="138" t="s">
        <v>177</v>
      </c>
      <c r="D807" s="138" t="s">
        <v>349</v>
      </c>
      <c r="E807" s="16" t="n">
        <f aca="false" ca="true" dt2D="false" dtr="false" t="normal">SUBTOTAL(9, F807:T807)</f>
        <v>1833049.74</v>
      </c>
      <c r="F807" s="17" t="n"/>
      <c r="G807" s="17" t="n">
        <v>1833049.74</v>
      </c>
      <c r="H807" s="17" t="n">
        <v>0</v>
      </c>
      <c r="I807" s="17" t="n">
        <v>0</v>
      </c>
      <c r="J807" s="17" t="n"/>
      <c r="K807" s="17" t="n"/>
      <c r="L807" s="17" t="n"/>
      <c r="M807" s="17" t="n">
        <v>0</v>
      </c>
      <c r="N807" s="17" t="n">
        <v>0</v>
      </c>
      <c r="O807" s="17" t="n">
        <v>0</v>
      </c>
      <c r="P807" s="17" t="n">
        <v>0</v>
      </c>
      <c r="Q807" s="17" t="n">
        <v>0</v>
      </c>
      <c r="R807" s="17" t="n"/>
      <c r="S807" s="17" t="n"/>
      <c r="T807" s="188" t="n"/>
      <c r="V807" s="241" t="n">
        <f aca="false" ca="false" dt2D="false" dtr="false" t="normal">COUNTIF(F807:Q807, "&gt;0")</f>
        <v>1</v>
      </c>
    </row>
    <row outlineLevel="0" r="808">
      <c r="A808" s="154" t="n">
        <f aca="false" ca="false" dt2D="false" dtr="false" t="normal">+A807+1</f>
        <v>785</v>
      </c>
      <c r="B808" s="138" t="n">
        <f aca="false" ca="false" dt2D="false" dtr="false" t="normal">B803+1</f>
        <v>286</v>
      </c>
      <c r="C808" s="138" t="s">
        <v>177</v>
      </c>
      <c r="D808" s="138" t="s">
        <v>688</v>
      </c>
      <c r="E808" s="16" t="n">
        <f aca="false" ca="true" dt2D="false" dtr="false" t="normal">SUBTOTAL(9, F808:T808)</f>
        <v>2147049.31</v>
      </c>
      <c r="F808" s="17" t="n">
        <v>0</v>
      </c>
      <c r="G808" s="17" t="n">
        <v>0</v>
      </c>
      <c r="H808" s="17" t="n">
        <v>0</v>
      </c>
      <c r="I808" s="17" t="n">
        <v>0</v>
      </c>
      <c r="J808" s="17" t="n">
        <v>2147049.31</v>
      </c>
      <c r="K808" s="17" t="n"/>
      <c r="L808" s="17" t="n"/>
      <c r="M808" s="17" t="n">
        <v>0</v>
      </c>
      <c r="N808" s="17" t="n">
        <v>0</v>
      </c>
      <c r="O808" s="17" t="n">
        <v>0</v>
      </c>
      <c r="P808" s="17" t="n">
        <v>0</v>
      </c>
      <c r="Q808" s="17" t="n">
        <v>0</v>
      </c>
      <c r="R808" s="17" t="n"/>
      <c r="S808" s="17" t="n"/>
      <c r="T808" s="188" t="n"/>
      <c r="V808" s="241" t="n">
        <f aca="false" ca="false" dt2D="false" dtr="false" t="normal">COUNTIF(F808:Q808, "&gt;0")</f>
        <v>1</v>
      </c>
    </row>
    <row outlineLevel="0" r="809">
      <c r="A809" s="154" t="n">
        <f aca="false" ca="false" dt2D="false" dtr="false" t="normal">+A808+1</f>
        <v>786</v>
      </c>
      <c r="B809" s="138" t="n">
        <f aca="false" ca="false" dt2D="false" dtr="false" t="normal">B808+1</f>
        <v>287</v>
      </c>
      <c r="C809" s="138" t="s">
        <v>177</v>
      </c>
      <c r="D809" s="138" t="s">
        <v>689</v>
      </c>
      <c r="E809" s="16" t="n">
        <f aca="false" ca="true" dt2D="false" dtr="false" t="normal">SUBTOTAL(9, F809:T809)</f>
        <v>1410134.84</v>
      </c>
      <c r="F809" s="17" t="n"/>
      <c r="G809" s="17" t="n"/>
      <c r="H809" s="17" t="n"/>
      <c r="I809" s="17" t="n"/>
      <c r="J809" s="17" t="n">
        <v>1410134.84</v>
      </c>
      <c r="K809" s="17" t="n"/>
      <c r="L809" s="17" t="n"/>
      <c r="M809" s="17" t="n"/>
      <c r="N809" s="17" t="n"/>
      <c r="O809" s="17" t="n"/>
      <c r="P809" s="17" t="n"/>
      <c r="Q809" s="17" t="n"/>
      <c r="R809" s="17" t="n"/>
      <c r="S809" s="17" t="n"/>
      <c r="T809" s="188" t="n"/>
      <c r="V809" s="241" t="n">
        <f aca="false" ca="false" dt2D="false" dtr="false" t="normal">COUNTIF(F809:Q809, "&gt;0")</f>
        <v>1</v>
      </c>
    </row>
    <row outlineLevel="0" r="810">
      <c r="A810" s="154" t="n">
        <f aca="false" ca="false" dt2D="false" dtr="false" t="normal">+A809+1</f>
        <v>787</v>
      </c>
      <c r="B810" s="138" t="n">
        <f aca="false" ca="false" dt2D="false" dtr="false" t="normal">+B809+1</f>
        <v>288</v>
      </c>
      <c r="C810" s="138" t="s">
        <v>177</v>
      </c>
      <c r="D810" s="138" t="s">
        <v>690</v>
      </c>
      <c r="E810" s="16" t="n">
        <f aca="false" ca="true" dt2D="false" dtr="false" t="normal">SUBTOTAL(9, F810:T810)</f>
        <v>1382673.19</v>
      </c>
      <c r="F810" s="17" t="n"/>
      <c r="G810" s="17" t="n"/>
      <c r="H810" s="17" t="n"/>
      <c r="I810" s="17" t="n"/>
      <c r="J810" s="17" t="n">
        <v>1382673.19</v>
      </c>
      <c r="K810" s="17" t="n"/>
      <c r="L810" s="17" t="n"/>
      <c r="M810" s="17" t="n"/>
      <c r="N810" s="17" t="n"/>
      <c r="O810" s="17" t="n"/>
      <c r="P810" s="17" t="n"/>
      <c r="Q810" s="17" t="n"/>
      <c r="R810" s="17" t="n"/>
      <c r="S810" s="17" t="n"/>
      <c r="T810" s="188" t="n"/>
      <c r="V810" s="241" t="n">
        <f aca="false" ca="false" dt2D="false" dtr="false" t="normal">COUNTIF(F810:Q810, "&gt;0")</f>
        <v>1</v>
      </c>
    </row>
    <row outlineLevel="0" r="811">
      <c r="A811" s="154" t="n">
        <f aca="false" ca="false" dt2D="false" dtr="false" t="normal">+A810+1</f>
        <v>788</v>
      </c>
      <c r="B811" s="138" t="n">
        <f aca="false" ca="false" dt2D="false" dtr="false" t="normal">+B810+1</f>
        <v>289</v>
      </c>
      <c r="C811" s="138" t="s">
        <v>177</v>
      </c>
      <c r="D811" s="138" t="s">
        <v>692</v>
      </c>
      <c r="E811" s="16" t="n">
        <f aca="false" ca="true" dt2D="false" dtr="false" t="normal">SUBTOTAL(9, F811:T811)</f>
        <v>1405224.35</v>
      </c>
      <c r="F811" s="17" t="n"/>
      <c r="G811" s="17" t="n"/>
      <c r="H811" s="17" t="n"/>
      <c r="I811" s="17" t="n"/>
      <c r="J811" s="17" t="n">
        <v>1405224.35</v>
      </c>
      <c r="K811" s="17" t="n"/>
      <c r="L811" s="17" t="n"/>
      <c r="M811" s="17" t="n"/>
      <c r="N811" s="17" t="n"/>
      <c r="O811" s="17" t="n"/>
      <c r="P811" s="17" t="n"/>
      <c r="Q811" s="17" t="n"/>
      <c r="R811" s="17" t="n"/>
      <c r="S811" s="17" t="n"/>
      <c r="T811" s="188" t="n"/>
      <c r="V811" s="241" t="n">
        <f aca="false" ca="false" dt2D="false" dtr="false" t="normal">COUNTIF(F811:Q811, "&gt;0")</f>
        <v>1</v>
      </c>
    </row>
    <row outlineLevel="0" r="812">
      <c r="A812" s="154" t="n">
        <f aca="false" ca="false" dt2D="false" dtr="false" t="normal">+A811+1</f>
        <v>789</v>
      </c>
      <c r="B812" s="138" t="s">
        <v>76</v>
      </c>
      <c r="C812" s="138" t="s">
        <v>177</v>
      </c>
      <c r="D812" s="138" t="s">
        <v>396</v>
      </c>
      <c r="E812" s="16" t="n">
        <f aca="false" ca="true" dt2D="false" dtr="false" t="normal">SUBTOTAL(9, F812:T812)</f>
        <v>5253565.1</v>
      </c>
      <c r="F812" s="17" t="n"/>
      <c r="G812" s="17" t="n"/>
      <c r="H812" s="17" t="n"/>
      <c r="I812" s="17" t="n">
        <v>1294043.96</v>
      </c>
      <c r="J812" s="17" t="n"/>
      <c r="K812" s="17" t="n"/>
      <c r="L812" s="17" t="n"/>
      <c r="M812" s="17" t="n">
        <v>0</v>
      </c>
      <c r="N812" s="17" t="n"/>
      <c r="O812" s="17" t="n">
        <v>0</v>
      </c>
      <c r="P812" s="17" t="n"/>
      <c r="Q812" s="17" t="n">
        <v>3959521.14</v>
      </c>
      <c r="R812" s="17" t="n"/>
      <c r="S812" s="17" t="n"/>
      <c r="T812" s="188" t="n"/>
      <c r="V812" s="241" t="n">
        <f aca="false" ca="false" dt2D="false" dtr="false" t="normal">COUNTIF(F812:Q812, "&gt;0")</f>
        <v>2</v>
      </c>
    </row>
    <row outlineLevel="0" r="813">
      <c r="A813" s="154" t="n">
        <f aca="false" ca="false" dt2D="false" dtr="false" t="normal">+A812+1</f>
        <v>790</v>
      </c>
      <c r="B813" s="138" t="s">
        <v>76</v>
      </c>
      <c r="C813" s="138" t="s">
        <v>177</v>
      </c>
      <c r="D813" s="138" t="s">
        <v>399</v>
      </c>
      <c r="E813" s="16" t="n">
        <f aca="false" ca="true" dt2D="false" dtr="false" t="normal">SUBTOTAL(9, F813:T813)</f>
        <v>13577425.68</v>
      </c>
      <c r="F813" s="17" t="n"/>
      <c r="G813" s="17" t="n"/>
      <c r="H813" s="17" t="n"/>
      <c r="I813" s="17" t="n"/>
      <c r="J813" s="17" t="n"/>
      <c r="K813" s="17" t="n"/>
      <c r="L813" s="17" t="n"/>
      <c r="M813" s="17" t="n"/>
      <c r="N813" s="17" t="n"/>
      <c r="O813" s="17" t="n"/>
      <c r="P813" s="17" t="n">
        <v>13577425.68</v>
      </c>
      <c r="Q813" s="17" t="n"/>
      <c r="R813" s="17" t="n"/>
      <c r="S813" s="17" t="n"/>
      <c r="T813" s="188" t="n"/>
      <c r="V813" s="241" t="n">
        <f aca="false" ca="false" dt2D="false" dtr="false" t="normal">COUNTIF(F813:Q813, "&gt;0")</f>
        <v>1</v>
      </c>
    </row>
    <row outlineLevel="0" r="814">
      <c r="A814" s="154" t="n">
        <f aca="false" ca="false" dt2D="false" dtr="false" t="normal">+A813+1</f>
        <v>791</v>
      </c>
      <c r="B814" s="138" t="s">
        <v>76</v>
      </c>
      <c r="C814" s="138" t="s">
        <v>177</v>
      </c>
      <c r="D814" s="138" t="s">
        <v>279</v>
      </c>
      <c r="E814" s="16" t="n">
        <f aca="false" ca="true" dt2D="false" dtr="false" t="normal">SUBTOTAL(9, F814:T814)</f>
        <v>2813313.39</v>
      </c>
      <c r="F814" s="17" t="n"/>
      <c r="G814" s="17" t="n">
        <v>2813313.39</v>
      </c>
      <c r="H814" s="17" t="n"/>
      <c r="I814" s="17" t="n"/>
      <c r="J814" s="17" t="n"/>
      <c r="K814" s="17" t="n"/>
      <c r="L814" s="17" t="n"/>
      <c r="M814" s="17" t="n">
        <v>0</v>
      </c>
      <c r="N814" s="17" t="n"/>
      <c r="O814" s="17" t="n">
        <v>0</v>
      </c>
      <c r="P814" s="17" t="n"/>
      <c r="Q814" s="17" t="n"/>
      <c r="R814" s="17" t="n"/>
      <c r="S814" s="17" t="n"/>
      <c r="T814" s="188" t="n"/>
      <c r="V814" s="241" t="n">
        <f aca="false" ca="false" dt2D="false" dtr="false" t="normal">COUNTIF(F814:Q814, "&gt;0")</f>
        <v>1</v>
      </c>
    </row>
    <row outlineLevel="0" r="815">
      <c r="A815" s="154" t="n">
        <f aca="false" ca="false" dt2D="false" dtr="false" t="normal">+A814+1</f>
        <v>792</v>
      </c>
      <c r="B815" s="138" t="s">
        <v>76</v>
      </c>
      <c r="C815" s="138" t="s">
        <v>177</v>
      </c>
      <c r="D815" s="138" t="s">
        <v>416</v>
      </c>
      <c r="E815" s="16" t="n">
        <f aca="false" ca="true" dt2D="false" dtr="false" t="normal">SUBTOTAL(9, F815:T815)</f>
        <v>4285819.85</v>
      </c>
      <c r="F815" s="17" t="n"/>
      <c r="G815" s="17" t="n"/>
      <c r="H815" s="17" t="n"/>
      <c r="I815" s="17" t="n">
        <v>4285819.85</v>
      </c>
      <c r="J815" s="17" t="n"/>
      <c r="K815" s="17" t="n"/>
      <c r="L815" s="17" t="n"/>
      <c r="M815" s="17" t="n"/>
      <c r="N815" s="17" t="n"/>
      <c r="O815" s="17" t="n"/>
      <c r="P815" s="17" t="n"/>
      <c r="Q815" s="17" t="n"/>
      <c r="R815" s="17" t="n"/>
      <c r="S815" s="17" t="n"/>
      <c r="T815" s="188" t="n"/>
      <c r="V815" s="241" t="n">
        <f aca="false" ca="false" dt2D="false" dtr="false" t="normal">COUNTIF(F815:Q815, "&gt;0")</f>
        <v>1</v>
      </c>
    </row>
    <row outlineLevel="0" r="816">
      <c r="A816" s="154" t="n">
        <f aca="false" ca="false" dt2D="false" dtr="false" t="normal">+A815+1</f>
        <v>793</v>
      </c>
      <c r="B816" s="138" t="s">
        <v>76</v>
      </c>
      <c r="C816" s="138" t="s">
        <v>177</v>
      </c>
      <c r="D816" s="138" t="s">
        <v>424</v>
      </c>
      <c r="E816" s="16" t="n">
        <f aca="false" ca="true" dt2D="false" dtr="false" t="normal">SUBTOTAL(9, F816:T816)</f>
        <v>1398827.38</v>
      </c>
      <c r="F816" s="17" t="n"/>
      <c r="G816" s="17" t="n"/>
      <c r="H816" s="17" t="n"/>
      <c r="I816" s="17" t="n"/>
      <c r="J816" s="17" t="n">
        <v>1398827.38</v>
      </c>
      <c r="K816" s="17" t="n"/>
      <c r="L816" s="17" t="n"/>
      <c r="M816" s="17" t="n">
        <v>0</v>
      </c>
      <c r="N816" s="17" t="n"/>
      <c r="O816" s="17" t="n">
        <v>0</v>
      </c>
      <c r="P816" s="17" t="n"/>
      <c r="Q816" s="17" t="n"/>
      <c r="R816" s="17" t="n"/>
      <c r="S816" s="17" t="n"/>
      <c r="T816" s="188" t="n"/>
      <c r="V816" s="241" t="n">
        <f aca="false" ca="false" dt2D="false" dtr="false" t="normal">COUNTIF(F816:Q816, "&gt;0")</f>
        <v>1</v>
      </c>
    </row>
    <row outlineLevel="0" r="817">
      <c r="A817" s="154" t="n">
        <f aca="false" ca="false" dt2D="false" dtr="false" t="normal">+A816+1</f>
        <v>794</v>
      </c>
      <c r="B817" s="138" t="s">
        <v>76</v>
      </c>
      <c r="C817" s="138" t="s">
        <v>177</v>
      </c>
      <c r="D817" s="138" t="s">
        <v>436</v>
      </c>
      <c r="E817" s="16" t="n">
        <f aca="false" ca="true" dt2D="false" dtr="false" t="normal">SUBTOTAL(9, F817:T817)</f>
        <v>2013086.95</v>
      </c>
      <c r="F817" s="17" t="n"/>
      <c r="G817" s="17" t="n"/>
      <c r="H817" s="17" t="n">
        <v>0</v>
      </c>
      <c r="I817" s="17" t="n">
        <v>0</v>
      </c>
      <c r="J817" s="17" t="n">
        <v>2013086.95</v>
      </c>
      <c r="K817" s="17" t="n"/>
      <c r="L817" s="17" t="n"/>
      <c r="M817" s="17" t="n">
        <v>0</v>
      </c>
      <c r="N817" s="17" t="n"/>
      <c r="O817" s="17" t="n">
        <v>0</v>
      </c>
      <c r="P817" s="17" t="n"/>
      <c r="Q817" s="17" t="n"/>
      <c r="R817" s="17" t="n"/>
      <c r="S817" s="17" t="n"/>
      <c r="T817" s="188" t="n"/>
      <c r="V817" s="241" t="n">
        <f aca="false" ca="false" dt2D="false" dtr="false" t="normal">COUNTIF(F817:Q817, "&gt;0")</f>
        <v>1</v>
      </c>
    </row>
    <row outlineLevel="0" r="818">
      <c r="A818" s="154" t="n">
        <f aca="false" ca="false" dt2D="false" dtr="false" t="normal">+A817+1</f>
        <v>795</v>
      </c>
      <c r="B818" s="138" t="s">
        <v>76</v>
      </c>
      <c r="C818" s="138" t="s">
        <v>467</v>
      </c>
      <c r="D818" s="138" t="s">
        <v>626</v>
      </c>
      <c r="E818" s="342" t="n">
        <f aca="false" ca="true" dt2D="false" dtr="false" t="normal">SUBTOTAL(9, F818:T818)</f>
        <v>3296281.74</v>
      </c>
      <c r="F818" s="17" t="n"/>
      <c r="G818" s="17" t="n">
        <v>2442319.31</v>
      </c>
      <c r="H818" s="17" t="n"/>
      <c r="I818" s="17" t="n">
        <v>853962.43</v>
      </c>
      <c r="J818" s="17" t="n">
        <v>0</v>
      </c>
      <c r="K818" s="17" t="n"/>
      <c r="L818" s="17" t="n"/>
      <c r="M818" s="17" t="n">
        <v>0</v>
      </c>
      <c r="N818" s="17" t="n">
        <v>0</v>
      </c>
      <c r="O818" s="17" t="n">
        <v>0</v>
      </c>
      <c r="P818" s="17" t="n">
        <v>0</v>
      </c>
      <c r="Q818" s="17" t="n">
        <v>0</v>
      </c>
      <c r="R818" s="17" t="n"/>
      <c r="S818" s="17" t="n"/>
      <c r="T818" s="188" t="n"/>
      <c r="V818" s="241" t="n">
        <f aca="false" ca="false" dt2D="false" dtr="false" t="normal">COUNTIF(F818:Q818, "&gt;0")</f>
        <v>2</v>
      </c>
    </row>
    <row outlineLevel="0" r="819">
      <c r="A819" s="154" t="n">
        <f aca="false" ca="false" dt2D="false" dtr="false" t="normal">+A818+1</f>
        <v>796</v>
      </c>
      <c r="B819" s="138" t="n">
        <f aca="false" ca="false" dt2D="false" dtr="false" t="normal">B811+1</f>
        <v>290</v>
      </c>
      <c r="C819" s="138" t="s">
        <v>356</v>
      </c>
      <c r="D819" s="138" t="s">
        <v>614</v>
      </c>
      <c r="E819" s="342" t="n">
        <f aca="false" ca="true" dt2D="false" dtr="false" t="normal">SUBTOTAL(9, F819:T819)</f>
        <v>1041448.46</v>
      </c>
      <c r="F819" s="17" t="n">
        <v>0</v>
      </c>
      <c r="G819" s="17" t="n">
        <v>0</v>
      </c>
      <c r="H819" s="17" t="n"/>
      <c r="I819" s="17" t="n">
        <v>0</v>
      </c>
      <c r="J819" s="17" t="n">
        <v>0</v>
      </c>
      <c r="K819" s="17" t="n"/>
      <c r="L819" s="17" t="n"/>
      <c r="M819" s="17" t="n">
        <v>0</v>
      </c>
      <c r="N819" s="17" t="n">
        <v>0</v>
      </c>
      <c r="O819" s="17" t="n">
        <v>1041448.46</v>
      </c>
      <c r="P819" s="17" t="n">
        <v>0</v>
      </c>
      <c r="Q819" s="17" t="n"/>
      <c r="R819" s="17" t="n"/>
      <c r="S819" s="17" t="n"/>
      <c r="T819" s="188" t="n"/>
      <c r="V819" s="241" t="n">
        <f aca="false" ca="false" dt2D="false" dtr="false" t="normal">COUNTIF(F819:Q819, "&gt;0")</f>
        <v>1</v>
      </c>
    </row>
    <row outlineLevel="0" r="820">
      <c r="A820" s="154" t="n">
        <f aca="false" ca="false" dt2D="false" dtr="false" t="normal">+A819+1</f>
        <v>797</v>
      </c>
      <c r="B820" s="138" t="s">
        <v>76</v>
      </c>
      <c r="C820" s="138" t="s">
        <v>356</v>
      </c>
      <c r="D820" s="138" t="s">
        <v>494</v>
      </c>
      <c r="E820" s="342" t="n">
        <f aca="false" ca="true" dt2D="false" dtr="false" t="normal">SUBTOTAL(9, F820:T820)</f>
        <v>1047206.53</v>
      </c>
      <c r="F820" s="17" t="n">
        <v>0</v>
      </c>
      <c r="G820" s="17" t="n">
        <v>0</v>
      </c>
      <c r="H820" s="17" t="n"/>
      <c r="I820" s="17" t="n">
        <v>0</v>
      </c>
      <c r="J820" s="17" t="n">
        <v>0</v>
      </c>
      <c r="K820" s="17" t="n"/>
      <c r="L820" s="17" t="n"/>
      <c r="M820" s="17" t="n">
        <v>0</v>
      </c>
      <c r="N820" s="17" t="n">
        <v>0</v>
      </c>
      <c r="O820" s="17" t="n">
        <v>1047206.53</v>
      </c>
      <c r="P820" s="17" t="n">
        <v>0</v>
      </c>
      <c r="Q820" s="17" t="n"/>
      <c r="R820" s="17" t="n"/>
      <c r="S820" s="17" t="n"/>
      <c r="T820" s="188" t="n"/>
      <c r="V820" s="241" t="n">
        <f aca="false" ca="false" dt2D="false" dtr="false" t="normal">COUNTIF(F820:Q820, "&gt;0")</f>
        <v>1</v>
      </c>
    </row>
    <row outlineLevel="0" r="821">
      <c r="A821" s="154" t="n">
        <f aca="false" ca="false" dt2D="false" dtr="false" t="normal">+A820+1</f>
        <v>798</v>
      </c>
      <c r="B821" s="138" t="n">
        <f aca="false" ca="false" dt2D="false" dtr="false" t="normal">+B819+1</f>
        <v>291</v>
      </c>
      <c r="C821" s="138" t="s">
        <v>356</v>
      </c>
      <c r="D821" s="138" t="s">
        <v>359</v>
      </c>
      <c r="E821" s="342" t="n">
        <f aca="false" ca="true" dt2D="false" dtr="false" t="normal">SUBTOTAL(9, F821:T821)</f>
        <v>1722929.35</v>
      </c>
      <c r="F821" s="17" t="n"/>
      <c r="G821" s="17" t="n"/>
      <c r="H821" s="17" t="n">
        <v>1722929.35</v>
      </c>
      <c r="I821" s="17" t="n">
        <v>0</v>
      </c>
      <c r="J821" s="17" t="n">
        <v>0</v>
      </c>
      <c r="K821" s="17" t="n"/>
      <c r="L821" s="17" t="n"/>
      <c r="M821" s="17" t="n">
        <v>0</v>
      </c>
      <c r="N821" s="17" t="n">
        <v>0</v>
      </c>
      <c r="O821" s="17" t="n">
        <v>0</v>
      </c>
      <c r="P821" s="17" t="n">
        <v>0</v>
      </c>
      <c r="Q821" s="17" t="n">
        <v>0</v>
      </c>
      <c r="R821" s="17" t="n"/>
      <c r="S821" s="17" t="n"/>
      <c r="T821" s="188" t="n"/>
      <c r="V821" s="241" t="n">
        <f aca="false" ca="false" dt2D="false" dtr="false" t="normal">COUNTIF(F821:Q821, "&gt;0")</f>
        <v>1</v>
      </c>
    </row>
    <row outlineLevel="0" r="822">
      <c r="A822" s="154" t="n">
        <f aca="false" ca="false" dt2D="false" dtr="false" t="normal">+A821+1</f>
        <v>799</v>
      </c>
      <c r="B822" s="138" t="s">
        <v>76</v>
      </c>
      <c r="C822" s="138" t="s">
        <v>356</v>
      </c>
      <c r="D822" s="138" t="s">
        <v>509</v>
      </c>
      <c r="E822" s="16" t="n">
        <f aca="false" ca="true" dt2D="false" dtr="false" t="normal">SUBTOTAL(9, F822:T822)</f>
        <v>341058.14</v>
      </c>
      <c r="F822" s="17" t="n"/>
      <c r="G822" s="17" t="n"/>
      <c r="H822" s="17" t="n"/>
      <c r="I822" s="17" t="n">
        <v>341058.14</v>
      </c>
      <c r="J822" s="17" t="n">
        <v>0</v>
      </c>
      <c r="K822" s="17" t="n"/>
      <c r="L822" s="17" t="n"/>
      <c r="M822" s="17" t="n">
        <v>0</v>
      </c>
      <c r="N822" s="17" t="n"/>
      <c r="O822" s="17" t="n">
        <v>0</v>
      </c>
      <c r="P822" s="17" t="n"/>
      <c r="Q822" s="17" t="n"/>
      <c r="R822" s="17" t="n"/>
      <c r="S822" s="17" t="n"/>
      <c r="T822" s="188" t="n"/>
      <c r="V822" s="241" t="n">
        <f aca="false" ca="false" dt2D="false" dtr="false" t="normal">COUNTIF(F822:Q822, "&gt;0")</f>
        <v>1</v>
      </c>
    </row>
    <row outlineLevel="0" r="823">
      <c r="A823" s="339" t="n"/>
      <c r="B823" s="232" t="n"/>
      <c r="C823" s="340" t="n"/>
      <c r="D823" s="176" t="s">
        <v>695</v>
      </c>
      <c r="E823" s="239" t="n">
        <f aca="false" ca="false" dt2D="false" dtr="false" t="normal">SUM(E824:E842)</f>
        <v>139216419.04999998</v>
      </c>
      <c r="F823" s="239" t="n">
        <f aca="false" ca="false" dt2D="false" dtr="false" t="normal">SUM(F825:F838)</f>
        <v>32127092.42</v>
      </c>
      <c r="G823" s="239" t="n">
        <f aca="false" ca="false" dt2D="false" dtr="false" t="normal">SUM(G825:G838)</f>
        <v>15323179.09</v>
      </c>
      <c r="H823" s="239" t="n">
        <f aca="false" ca="false" dt2D="false" dtr="false" t="normal">SUM(H825:H838)</f>
        <v>7448558.890000001</v>
      </c>
      <c r="I823" s="239" t="n">
        <f aca="false" ca="false" dt2D="false" dtr="false" t="normal">SUM(I825:I838)</f>
        <v>2208309.01</v>
      </c>
      <c r="J823" s="239" t="n">
        <f aca="false" ca="false" dt2D="false" dtr="false" t="normal">SUM(J825:J838)</f>
        <v>0</v>
      </c>
      <c r="K823" s="239" t="n">
        <f aca="false" ca="false" dt2D="false" dtr="false" t="normal">SUM(K825:K838)</f>
        <v>0</v>
      </c>
      <c r="L823" s="239" t="n">
        <f aca="false" ca="false" dt2D="false" dtr="false" t="normal">SUM(L825:L838)</f>
        <v>0</v>
      </c>
      <c r="M823" s="239" t="n">
        <f aca="false" ca="false" dt2D="false" dtr="false" t="normal">SUM(M825:M838)</f>
        <v>61325906.669999994</v>
      </c>
      <c r="N823" s="239" t="n">
        <f aca="false" ca="false" dt2D="false" dtr="false" t="normal">SUM(N825:N838)</f>
        <v>4256351.5</v>
      </c>
      <c r="O823" s="239" t="n">
        <f aca="false" ca="false" dt2D="false" dtr="false" t="normal">SUM(O825:O838)</f>
        <v>2000973</v>
      </c>
      <c r="P823" s="239" t="n">
        <f aca="false" ca="false" dt2D="false" dtr="false" t="normal">SUM(P825:P838)</f>
        <v>7661130.539999999</v>
      </c>
      <c r="Q823" s="239" t="n">
        <f aca="false" ca="false" dt2D="false" dtr="false" t="normal">SUM(Q825:Q838)</f>
        <v>0</v>
      </c>
      <c r="R823" s="239" t="n">
        <f aca="false" ca="false" dt2D="false" dtr="false" t="normal">SUM(R825:R838)</f>
        <v>949584.48</v>
      </c>
      <c r="S823" s="239" t="n">
        <f aca="false" ca="false" dt2D="false" dtr="false" t="normal">SUM(S825:S838)</f>
        <v>116147.45</v>
      </c>
      <c r="T823" s="239" t="n">
        <f aca="false" ca="false" dt2D="false" dtr="false" t="normal">SUM(T825:T838)</f>
        <v>0</v>
      </c>
      <c r="V823" s="186" t="n"/>
    </row>
    <row outlineLevel="0" r="824">
      <c r="A824" s="6" t="n">
        <f aca="false" ca="false" dt2D="false" dtr="false" t="normal">A822+1</f>
        <v>800</v>
      </c>
      <c r="B824" s="6" t="n">
        <f aca="false" ca="false" dt2D="false" dtr="false" t="normal">B821+1</f>
        <v>292</v>
      </c>
      <c r="C824" s="138" t="s">
        <v>696</v>
      </c>
      <c r="D824" s="138" t="s">
        <v>697</v>
      </c>
      <c r="E824" s="27" t="n">
        <f aca="false" ca="true" dt2D="false" dtr="false" t="normal">SUBTOTAL(9, F824:T824)</f>
        <v>1500250</v>
      </c>
      <c r="F824" s="228" t="n"/>
      <c r="G824" s="228" t="n"/>
      <c r="H824" s="228" t="n"/>
      <c r="I824" s="228" t="n"/>
      <c r="J824" s="228" t="n"/>
      <c r="K824" s="228" t="n"/>
      <c r="L824" s="228" t="n"/>
      <c r="M824" s="228" t="n"/>
      <c r="N824" s="228" t="n"/>
      <c r="O824" s="228" t="n"/>
      <c r="P824" s="203" t="n">
        <v>1500250</v>
      </c>
      <c r="Q824" s="228" t="n"/>
      <c r="R824" s="228" t="n"/>
      <c r="S824" s="228" t="n"/>
      <c r="T824" s="251" t="n"/>
      <c r="V824" s="186" t="n"/>
    </row>
    <row outlineLevel="0" r="825">
      <c r="A825" s="6" t="n">
        <f aca="false" ca="false" dt2D="false" dtr="false" t="normal">A824+1</f>
        <v>801</v>
      </c>
      <c r="B825" s="6" t="n">
        <f aca="false" ca="false" dt2D="false" dtr="false" t="normal">B824+1</f>
        <v>293</v>
      </c>
      <c r="C825" s="138" t="s">
        <v>696</v>
      </c>
      <c r="D825" s="6" t="s">
        <v>698</v>
      </c>
      <c r="E825" s="27" t="n">
        <f aca="false" ca="true" dt2D="false" dtr="false" t="normal">SUBTOTAL(9, F825:T825)</f>
        <v>25883294.730000004</v>
      </c>
      <c r="F825" s="17" t="n">
        <v>14432823.3</v>
      </c>
      <c r="G825" s="18" t="n">
        <v>7108989.15</v>
      </c>
      <c r="H825" s="18" t="n">
        <v>4341482.28</v>
      </c>
      <c r="I825" s="18" t="n">
        <v>0</v>
      </c>
      <c r="J825" s="18" t="n">
        <v>0</v>
      </c>
      <c r="K825" s="18" t="n">
        <v>0</v>
      </c>
      <c r="L825" s="17" t="n"/>
      <c r="M825" s="18" t="n">
        <v>0</v>
      </c>
      <c r="N825" s="18" t="n">
        <v>0</v>
      </c>
      <c r="O825" s="18" t="n">
        <v>0</v>
      </c>
      <c r="P825" s="18" t="n">
        <v>0</v>
      </c>
      <c r="Q825" s="18" t="n">
        <v>0</v>
      </c>
      <c r="R825" s="18" t="n"/>
      <c r="S825" s="18" t="n"/>
      <c r="T825" s="185" t="n"/>
      <c r="V825" s="186" t="n">
        <f aca="false" ca="false" dt2D="false" dtr="false" t="normal">COUNTIF(F825:Q825, "&gt;0")</f>
        <v>3</v>
      </c>
    </row>
    <row outlineLevel="0" r="826">
      <c r="A826" s="6" t="n">
        <f aca="false" ca="false" dt2D="false" dtr="false" t="normal">A825+1</f>
        <v>802</v>
      </c>
      <c r="B826" s="6" t="n">
        <f aca="false" ca="false" dt2D="false" dtr="false" t="normal">B825+1</f>
        <v>294</v>
      </c>
      <c r="C826" s="138" t="s">
        <v>110</v>
      </c>
      <c r="D826" s="6" t="s">
        <v>699</v>
      </c>
      <c r="E826" s="27" t="n">
        <f aca="false" ca="true" dt2D="false" dtr="false" t="normal">SUBTOTAL(9, F826:T826)</f>
        <v>2000973</v>
      </c>
      <c r="F826" s="17" t="n">
        <v>0</v>
      </c>
      <c r="G826" s="18" t="n">
        <v>0</v>
      </c>
      <c r="H826" s="18" t="n"/>
      <c r="I826" s="18" t="n">
        <v>0</v>
      </c>
      <c r="J826" s="18" t="n">
        <v>0</v>
      </c>
      <c r="K826" s="18" t="n"/>
      <c r="L826" s="17" t="n"/>
      <c r="M826" s="18" t="n">
        <v>0</v>
      </c>
      <c r="N826" s="18" t="n">
        <v>0</v>
      </c>
      <c r="O826" s="18" t="n">
        <v>2000973</v>
      </c>
      <c r="P826" s="18" t="n">
        <v>0</v>
      </c>
      <c r="Q826" s="18" t="n">
        <v>0</v>
      </c>
      <c r="R826" s="18" t="n"/>
      <c r="S826" s="18" t="n"/>
      <c r="T826" s="191" t="n"/>
      <c r="V826" s="186" t="n">
        <f aca="false" ca="false" dt2D="false" dtr="false" t="normal">COUNTIF(F826:Q826, "&gt;0")</f>
        <v>1</v>
      </c>
    </row>
    <row outlineLevel="0" r="827">
      <c r="A827" s="6" t="n">
        <f aca="false" ca="false" dt2D="false" dtr="false" t="normal">A826+1</f>
        <v>803</v>
      </c>
      <c r="B827" s="6" t="n">
        <f aca="false" ca="false" dt2D="false" dtr="false" t="normal">B826+1</f>
        <v>295</v>
      </c>
      <c r="C827" s="138" t="s">
        <v>110</v>
      </c>
      <c r="D827" s="6" t="s">
        <v>700</v>
      </c>
      <c r="E827" s="27" t="n">
        <f aca="false" ca="true" dt2D="false" dtr="false" t="normal">SUBTOTAL(9, F827:T827)</f>
        <v>1963777.32</v>
      </c>
      <c r="F827" s="17" t="n"/>
      <c r="G827" s="18" t="n"/>
      <c r="H827" s="18" t="n">
        <v>1963777.32</v>
      </c>
      <c r="I827" s="18" t="n"/>
      <c r="J827" s="18" t="n"/>
      <c r="K827" s="18" t="n"/>
      <c r="L827" s="17" t="n"/>
      <c r="M827" s="18" t="n"/>
      <c r="N827" s="18" t="n"/>
      <c r="O827" s="18" t="n"/>
      <c r="P827" s="18" t="n"/>
      <c r="Q827" s="18" t="n"/>
      <c r="R827" s="18" t="n"/>
      <c r="S827" s="18" t="n"/>
      <c r="T827" s="191" t="n"/>
      <c r="V827" s="186" t="n"/>
    </row>
    <row outlineLevel="0" r="828">
      <c r="A828" s="6" t="n">
        <f aca="false" ca="false" dt2D="false" dtr="false" t="normal">A827+1</f>
        <v>804</v>
      </c>
      <c r="B828" s="6" t="n">
        <f aca="false" ca="false" dt2D="false" dtr="false" t="normal">B827+1</f>
        <v>296</v>
      </c>
      <c r="C828" s="138" t="s">
        <v>110</v>
      </c>
      <c r="D828" s="6" t="s">
        <v>701</v>
      </c>
      <c r="E828" s="27" t="n">
        <f aca="false" ca="true" dt2D="false" dtr="false" t="normal">SUBTOTAL(9, F828:T828)</f>
        <v>1143299.29</v>
      </c>
      <c r="F828" s="17" t="n"/>
      <c r="G828" s="18" t="n">
        <v>0</v>
      </c>
      <c r="H828" s="18" t="n">
        <v>1143299.29</v>
      </c>
      <c r="I828" s="18" t="n">
        <v>0</v>
      </c>
      <c r="J828" s="18" t="n">
        <v>0</v>
      </c>
      <c r="K828" s="18" t="n"/>
      <c r="L828" s="17" t="n"/>
      <c r="M828" s="18" t="n">
        <v>0</v>
      </c>
      <c r="N828" s="18" t="n">
        <v>0</v>
      </c>
      <c r="O828" s="18" t="n">
        <v>0</v>
      </c>
      <c r="P828" s="18" t="n">
        <v>0</v>
      </c>
      <c r="Q828" s="18" t="n">
        <v>0</v>
      </c>
      <c r="R828" s="18" t="n"/>
      <c r="S828" s="18" t="n"/>
      <c r="T828" s="191" t="n"/>
      <c r="V828" s="186" t="n">
        <f aca="false" ca="false" dt2D="false" dtr="false" t="normal">COUNTIF(F828:Q828, "&gt;0")</f>
        <v>1</v>
      </c>
    </row>
    <row outlineLevel="0" r="829">
      <c r="A829" s="6" t="n">
        <f aca="false" ca="false" dt2D="false" dtr="false" t="normal">A828+1</f>
        <v>805</v>
      </c>
      <c r="B829" s="6" t="n">
        <f aca="false" ca="false" dt2D="false" dtr="false" t="normal">B828+1</f>
        <v>297</v>
      </c>
      <c r="C829" s="138" t="s">
        <v>110</v>
      </c>
      <c r="D829" s="6" t="s">
        <v>702</v>
      </c>
      <c r="E829" s="27" t="n">
        <f aca="false" ca="true" dt2D="false" dtr="false" t="normal">SUBTOTAL(9, F829:T829)</f>
        <v>17956800</v>
      </c>
      <c r="F829" s="17" t="n"/>
      <c r="G829" s="18" t="n"/>
      <c r="H829" s="18" t="n"/>
      <c r="I829" s="18" t="n"/>
      <c r="J829" s="18" t="n"/>
      <c r="K829" s="18" t="n"/>
      <c r="L829" s="17" t="n"/>
      <c r="M829" s="18" t="n">
        <v>17956800</v>
      </c>
      <c r="N829" s="18" t="n"/>
      <c r="O829" s="18" t="n"/>
      <c r="P829" s="18" t="n"/>
      <c r="Q829" s="18" t="n"/>
      <c r="R829" s="18" t="n"/>
      <c r="S829" s="18" t="n"/>
      <c r="T829" s="191" t="n"/>
      <c r="V829" s="186" t="n">
        <f aca="false" ca="false" dt2D="false" dtr="false" t="normal">COUNTIF(F829:Q829, "&gt;0")</f>
        <v>1</v>
      </c>
    </row>
    <row outlineLevel="0" r="830">
      <c r="A830" s="6" t="n">
        <f aca="false" ca="false" dt2D="false" dtr="false" t="normal">A829+1</f>
        <v>806</v>
      </c>
      <c r="B830" s="6" t="n">
        <f aca="false" ca="false" dt2D="false" dtr="false" t="normal">B829+1</f>
        <v>298</v>
      </c>
      <c r="C830" s="138" t="s">
        <v>110</v>
      </c>
      <c r="D830" s="6" t="s">
        <v>704</v>
      </c>
      <c r="E830" s="27" t="n">
        <f aca="false" ca="true" dt2D="false" dtr="false" t="normal">SUBTOTAL(9, F830:T830)</f>
        <v>28379298.95</v>
      </c>
      <c r="F830" s="17" t="n"/>
      <c r="G830" s="18" t="n">
        <v>8214189.94</v>
      </c>
      <c r="H830" s="18" t="n"/>
      <c r="I830" s="18" t="n">
        <v>2208309.01</v>
      </c>
      <c r="J830" s="18" t="n"/>
      <c r="K830" s="18" t="n"/>
      <c r="L830" s="17" t="n"/>
      <c r="M830" s="18" t="n">
        <v>17956800</v>
      </c>
      <c r="N830" s="18" t="n"/>
      <c r="O830" s="18" t="n"/>
      <c r="P830" s="18" t="n"/>
      <c r="Q830" s="18" t="n"/>
      <c r="R830" s="18" t="n"/>
      <c r="S830" s="18" t="n"/>
      <c r="T830" s="191" t="n"/>
      <c r="V830" s="186" t="n">
        <f aca="false" ca="false" dt2D="false" dtr="false" t="normal">COUNTIF(F830:Q830, "&gt;0")</f>
        <v>3</v>
      </c>
    </row>
    <row outlineLevel="0" r="831">
      <c r="A831" s="6" t="n">
        <f aca="false" ca="false" dt2D="false" dtr="false" t="normal">A830+1</f>
        <v>807</v>
      </c>
      <c r="B831" s="6" t="n">
        <f aca="false" ca="false" dt2D="false" dtr="false" t="normal">B830+1</f>
        <v>299</v>
      </c>
      <c r="C831" s="138" t="s">
        <v>110</v>
      </c>
      <c r="D831" s="6" t="s">
        <v>706</v>
      </c>
      <c r="E831" s="27" t="n">
        <f aca="false" ca="true" dt2D="false" dtr="false" t="normal">SUBTOTAL(9, F831:T831)</f>
        <v>7085527.930000001</v>
      </c>
      <c r="F831" s="17" t="n"/>
      <c r="G831" s="18" t="n"/>
      <c r="H831" s="18" t="n"/>
      <c r="I831" s="18" t="n"/>
      <c r="J831" s="18" t="n"/>
      <c r="K831" s="18" t="n"/>
      <c r="L831" s="17" t="n"/>
      <c r="M831" s="27" t="n">
        <v>2704312.41</v>
      </c>
      <c r="N831" s="18" t="n">
        <v>4256351.5</v>
      </c>
      <c r="O831" s="18" t="n"/>
      <c r="P831" s="18" t="n"/>
      <c r="Q831" s="18" t="n"/>
      <c r="R831" s="27" t="n">
        <v>110716.57</v>
      </c>
      <c r="S831" s="27" t="n">
        <v>14147.45</v>
      </c>
      <c r="T831" s="185" t="n"/>
      <c r="V831" s="186" t="n">
        <f aca="false" ca="false" dt2D="false" dtr="false" t="normal">COUNTIF(F831:Q831, "&gt;0")</f>
        <v>2</v>
      </c>
    </row>
    <row outlineLevel="0" r="832">
      <c r="A832" s="6" t="n">
        <f aca="false" ca="false" dt2D="false" dtr="false" t="normal">A831+1</f>
        <v>808</v>
      </c>
      <c r="B832" s="6" t="n">
        <f aca="false" ca="false" dt2D="false" dtr="false" t="normal">B831+1</f>
        <v>300</v>
      </c>
      <c r="C832" s="138" t="s">
        <v>110</v>
      </c>
      <c r="D832" s="6" t="s">
        <v>707</v>
      </c>
      <c r="E832" s="27" t="n">
        <f aca="false" ca="true" dt2D="false" dtr="false" t="normal">SUBTOTAL(9, F832:T832)</f>
        <v>3517263.77</v>
      </c>
      <c r="F832" s="17" t="n"/>
      <c r="G832" s="18" t="n"/>
      <c r="H832" s="18" t="n"/>
      <c r="I832" s="18" t="n"/>
      <c r="J832" s="18" t="n"/>
      <c r="K832" s="18" t="n"/>
      <c r="L832" s="17" t="n"/>
      <c r="M832" s="18" t="n">
        <v>3388344.65</v>
      </c>
      <c r="N832" s="18" t="n"/>
      <c r="O832" s="18" t="n"/>
      <c r="P832" s="18" t="n"/>
      <c r="Q832" s="18" t="n"/>
      <c r="R832" s="18" t="n">
        <v>104919.12</v>
      </c>
      <c r="S832" s="18" t="n">
        <v>24000</v>
      </c>
      <c r="T832" s="185" t="n"/>
      <c r="V832" s="186" t="n">
        <f aca="false" ca="false" dt2D="false" dtr="false" t="normal">COUNTIF(F832:Q832, "&gt;0")</f>
        <v>1</v>
      </c>
    </row>
    <row outlineLevel="0" r="833">
      <c r="A833" s="6" t="n">
        <f aca="false" ca="false" dt2D="false" dtr="false" t="normal">A832+1</f>
        <v>809</v>
      </c>
      <c r="B833" s="6" t="n">
        <f aca="false" ca="false" dt2D="false" dtr="false" t="normal">B832+1</f>
        <v>301</v>
      </c>
      <c r="C833" s="138" t="s">
        <v>110</v>
      </c>
      <c r="D833" s="6" t="s">
        <v>708</v>
      </c>
      <c r="E833" s="27" t="n">
        <f aca="false" ca="true" dt2D="false" dtr="false" t="normal">SUBTOTAL(9, F833:T833)</f>
        <v>2567769.61</v>
      </c>
      <c r="F833" s="17" t="n"/>
      <c r="G833" s="18" t="n"/>
      <c r="H833" s="18" t="n"/>
      <c r="I833" s="18" t="n"/>
      <c r="J833" s="18" t="n">
        <v>0</v>
      </c>
      <c r="K833" s="18" t="n"/>
      <c r="L833" s="17" t="n"/>
      <c r="M833" s="18" t="n">
        <v>0</v>
      </c>
      <c r="N833" s="18" t="n">
        <v>0</v>
      </c>
      <c r="O833" s="18" t="n"/>
      <c r="P833" s="18" t="n">
        <v>2567769.61</v>
      </c>
      <c r="Q833" s="18" t="n">
        <v>0</v>
      </c>
      <c r="R833" s="18" t="n"/>
      <c r="S833" s="18" t="n"/>
      <c r="T833" s="191" t="n"/>
      <c r="V833" s="186" t="n">
        <f aca="false" ca="false" dt2D="false" dtr="false" t="normal">COUNTIF(F833:Q833, "&gt;0")</f>
        <v>1</v>
      </c>
    </row>
    <row outlineLevel="0" r="834">
      <c r="A834" s="6" t="n">
        <f aca="false" ca="false" dt2D="false" dtr="false" t="normal">A833+1</f>
        <v>810</v>
      </c>
      <c r="B834" s="6" t="n">
        <f aca="false" ca="false" dt2D="false" dtr="false" t="normal">B833+1</f>
        <v>302</v>
      </c>
      <c r="C834" s="138" t="s">
        <v>110</v>
      </c>
      <c r="D834" s="6" t="s">
        <v>710</v>
      </c>
      <c r="E834" s="27" t="n">
        <f aca="false" ca="true" dt2D="false" dtr="false" t="normal">SUBTOTAL(9, F834:T834)</f>
        <v>5093360.93</v>
      </c>
      <c r="F834" s="17" t="n"/>
      <c r="G834" s="18" t="n"/>
      <c r="H834" s="18" t="n"/>
      <c r="I834" s="18" t="n"/>
      <c r="J834" s="18" t="n"/>
      <c r="K834" s="18" t="n"/>
      <c r="L834" s="17" t="n"/>
      <c r="M834" s="18" t="n"/>
      <c r="N834" s="18" t="n"/>
      <c r="O834" s="18" t="n"/>
      <c r="P834" s="18" t="n">
        <v>5093360.93</v>
      </c>
      <c r="Q834" s="18" t="n"/>
      <c r="R834" s="18" t="n"/>
      <c r="S834" s="18" t="n"/>
      <c r="T834" s="191" t="n"/>
      <c r="V834" s="186" t="n"/>
    </row>
    <row outlineLevel="0" r="835">
      <c r="A835" s="6" t="n">
        <f aca="false" ca="false" dt2D="false" dtr="false" t="normal">A834+1</f>
        <v>811</v>
      </c>
      <c r="B835" s="6" t="n">
        <f aca="false" ca="false" dt2D="false" dtr="false" t="normal">B834+1</f>
        <v>303</v>
      </c>
      <c r="C835" s="138" t="s">
        <v>711</v>
      </c>
      <c r="D835" s="6" t="s">
        <v>712</v>
      </c>
      <c r="E835" s="27" t="n">
        <f aca="false" ca="true" dt2D="false" dtr="false" t="normal">SUBTOTAL(9, F835:T835)</f>
        <v>9581814.6</v>
      </c>
      <c r="F835" s="17" t="n"/>
      <c r="G835" s="18" t="n"/>
      <c r="H835" s="18" t="n"/>
      <c r="I835" s="18" t="n"/>
      <c r="J835" s="18" t="n"/>
      <c r="K835" s="18" t="n"/>
      <c r="L835" s="17" t="n"/>
      <c r="M835" s="18" t="n">
        <v>9062814.6</v>
      </c>
      <c r="N835" s="18" t="n"/>
      <c r="O835" s="18" t="n"/>
      <c r="P835" s="18" t="n"/>
      <c r="Q835" s="18" t="n"/>
      <c r="R835" s="18" t="n">
        <v>489000</v>
      </c>
      <c r="S835" s="18" t="n">
        <v>30000</v>
      </c>
      <c r="T835" s="185" t="n"/>
      <c r="V835" s="186" t="n">
        <f aca="false" ca="false" dt2D="false" dtr="false" t="normal">COUNTIF(F835:Q835, "&gt;0")</f>
        <v>1</v>
      </c>
    </row>
    <row outlineLevel="0" r="836">
      <c r="A836" s="6" t="n">
        <f aca="false" ca="false" dt2D="false" dtr="false" t="normal">A835+1</f>
        <v>812</v>
      </c>
      <c r="B836" s="6" t="n">
        <f aca="false" ca="false" dt2D="false" dtr="false" t="normal">B835+1</f>
        <v>304</v>
      </c>
      <c r="C836" s="138" t="s">
        <v>711</v>
      </c>
      <c r="D836" s="6" t="s">
        <v>714</v>
      </c>
      <c r="E836" s="27" t="n">
        <f aca="false" ca="true" dt2D="false" dtr="false" t="normal">SUBTOTAL(9, F836:T836)</f>
        <v>3517263.77</v>
      </c>
      <c r="F836" s="17" t="n"/>
      <c r="G836" s="18" t="n"/>
      <c r="H836" s="18" t="n"/>
      <c r="I836" s="18" t="n"/>
      <c r="J836" s="18" t="n"/>
      <c r="K836" s="18" t="n"/>
      <c r="L836" s="17" t="n"/>
      <c r="M836" s="18" t="n">
        <v>3388344.65</v>
      </c>
      <c r="N836" s="18" t="n"/>
      <c r="O836" s="18" t="n"/>
      <c r="P836" s="18" t="n"/>
      <c r="Q836" s="18" t="n"/>
      <c r="R836" s="18" t="n">
        <v>104919.12</v>
      </c>
      <c r="S836" s="18" t="n">
        <v>24000</v>
      </c>
      <c r="T836" s="185" t="n"/>
      <c r="V836" s="186" t="n">
        <f aca="false" ca="false" dt2D="false" dtr="false" t="normal">COUNTIF(F836:Q836, "&gt;0")</f>
        <v>1</v>
      </c>
    </row>
    <row outlineLevel="0" r="837">
      <c r="A837" s="6" t="n">
        <f aca="false" ca="false" dt2D="false" dtr="false" t="normal">A836+1</f>
        <v>813</v>
      </c>
      <c r="B837" s="6" t="n">
        <f aca="false" ca="false" dt2D="false" dtr="false" t="normal">B836+1</f>
        <v>305</v>
      </c>
      <c r="C837" s="138" t="s">
        <v>711</v>
      </c>
      <c r="D837" s="6" t="s">
        <v>715</v>
      </c>
      <c r="E837" s="27" t="n">
        <f aca="false" ca="true" dt2D="false" dtr="false" t="normal">SUBTOTAL(9, F837:T837)</f>
        <v>7032520.03</v>
      </c>
      <c r="F837" s="17" t="n"/>
      <c r="G837" s="18" t="n"/>
      <c r="H837" s="18" t="n"/>
      <c r="I837" s="18" t="n"/>
      <c r="J837" s="18" t="n"/>
      <c r="K837" s="18" t="n"/>
      <c r="L837" s="17" t="n"/>
      <c r="M837" s="18" t="n">
        <v>6868490.36</v>
      </c>
      <c r="N837" s="18" t="n"/>
      <c r="O837" s="18" t="n"/>
      <c r="P837" s="18" t="n"/>
      <c r="Q837" s="18" t="n"/>
      <c r="R837" s="18" t="n">
        <v>140029.67</v>
      </c>
      <c r="S837" s="18" t="n">
        <v>24000</v>
      </c>
      <c r="T837" s="185" t="n"/>
      <c r="V837" s="186" t="n">
        <f aca="false" ca="false" dt2D="false" dtr="false" t="normal">COUNTIF(F837:Q837, "&gt;0")</f>
        <v>1</v>
      </c>
    </row>
    <row outlineLevel="0" r="838">
      <c r="A838" s="6" t="n">
        <f aca="false" ca="false" dt2D="false" dtr="false" t="normal">A837+1</f>
        <v>814</v>
      </c>
      <c r="B838" s="6" t="n">
        <f aca="false" ca="false" dt2D="false" dtr="false" t="normal">B837+1</f>
        <v>306</v>
      </c>
      <c r="C838" s="138" t="s">
        <v>110</v>
      </c>
      <c r="D838" s="6" t="s">
        <v>175</v>
      </c>
      <c r="E838" s="27" t="n">
        <f aca="false" ca="true" dt2D="false" dtr="false" t="normal">SUBTOTAL(9, F838:T838)</f>
        <v>17694269.12</v>
      </c>
      <c r="F838" s="17" t="n">
        <v>17694269.12</v>
      </c>
      <c r="G838" s="18" t="n"/>
      <c r="H838" s="18" t="n"/>
      <c r="I838" s="18" t="n"/>
      <c r="J838" s="18" t="n"/>
      <c r="K838" s="18" t="n"/>
      <c r="L838" s="17" t="n"/>
      <c r="M838" s="18" t="n"/>
      <c r="N838" s="18" t="n"/>
      <c r="O838" s="18" t="n"/>
      <c r="P838" s="18" t="n"/>
      <c r="Q838" s="18" t="n"/>
      <c r="R838" s="18" t="n"/>
      <c r="S838" s="18" t="n"/>
      <c r="T838" s="191" t="n"/>
      <c r="U838" s="0" t="n"/>
      <c r="V838" s="186" t="n">
        <f aca="false" ca="false" dt2D="false" dtr="false" t="normal">COUNTIF(F838:Q838, "&gt;0")</f>
        <v>1</v>
      </c>
      <c r="W838" s="0" t="n"/>
      <c r="X838" s="0" t="n"/>
      <c r="Y838" s="0" t="n"/>
      <c r="Z838" s="0" t="n"/>
      <c r="AA838" s="0" t="n"/>
      <c r="AB838" s="0" t="n"/>
      <c r="AC838" s="0" t="n"/>
      <c r="AD838" s="0" t="n"/>
      <c r="AE838" s="0" t="n"/>
      <c r="AF838" s="0" t="n"/>
      <c r="AG838" s="0" t="n"/>
      <c r="AH838" s="0" t="n"/>
      <c r="AI838" s="0" t="n"/>
      <c r="AJ838" s="0" t="n"/>
      <c r="AK838" s="0" t="n"/>
      <c r="AL838" s="0" t="n"/>
      <c r="AM838" s="0" t="n"/>
      <c r="AN838" s="0" t="n"/>
      <c r="AO838" s="0" t="n"/>
      <c r="AP838" s="0" t="n"/>
      <c r="AQ838" s="0" t="n"/>
      <c r="AR838" s="0" t="n"/>
      <c r="AS838" s="0" t="n"/>
      <c r="AT838" s="0" t="n"/>
      <c r="AU838" s="0" t="n"/>
      <c r="AV838" s="0" t="n"/>
      <c r="AW838" s="0" t="n"/>
      <c r="AX838" s="0" t="n"/>
      <c r="AY838" s="0" t="n"/>
      <c r="AZ838" s="0" t="n"/>
      <c r="BA838" s="0" t="n"/>
      <c r="BB838" s="0" t="n"/>
      <c r="BC838" s="0" t="n"/>
      <c r="BD838" s="0" t="n"/>
      <c r="BE838" s="0" t="n"/>
      <c r="BF838" s="0" t="n"/>
      <c r="BG838" s="0" t="n"/>
      <c r="BH838" s="0" t="n"/>
      <c r="BI838" s="0" t="n"/>
      <c r="BJ838" s="0" t="n"/>
      <c r="BK838" s="0" t="n"/>
      <c r="BL838" s="0" t="n"/>
      <c r="BM838" s="0" t="n"/>
      <c r="BN838" s="0" t="n"/>
      <c r="BO838" s="0" t="n"/>
      <c r="BP838" s="0" t="n"/>
    </row>
    <row outlineLevel="0" r="839">
      <c r="A839" s="6" t="n">
        <f aca="false" ca="false" dt2D="false" dtr="false" t="normal">A838+1</f>
        <v>815</v>
      </c>
      <c r="B839" s="6" t="n">
        <f aca="false" ca="false" dt2D="false" dtr="false" t="normal">B838+1</f>
        <v>307</v>
      </c>
      <c r="C839" s="138" t="s">
        <v>716</v>
      </c>
      <c r="D839" s="6" t="s">
        <v>717</v>
      </c>
      <c r="E839" s="27" t="n">
        <f aca="false" ca="true" dt2D="false" dtr="false" t="normal">SUBTOTAL(9, F839:T839)</f>
        <v>1200000</v>
      </c>
      <c r="F839" s="198" t="n"/>
      <c r="G839" s="200" t="n"/>
      <c r="H839" s="200" t="n"/>
      <c r="I839" s="200" t="n"/>
      <c r="J839" s="200" t="n"/>
      <c r="K839" s="200" t="n"/>
      <c r="L839" s="198" t="n"/>
      <c r="M839" s="200" t="n"/>
      <c r="N839" s="200" t="n">
        <v>1200000</v>
      </c>
      <c r="O839" s="200" t="n"/>
      <c r="P839" s="200" t="n"/>
      <c r="Q839" s="200" t="n"/>
      <c r="R839" s="200" t="n"/>
      <c r="S839" s="200" t="n"/>
      <c r="T839" s="191" t="n"/>
      <c r="U839" s="0" t="n"/>
      <c r="V839" s="186" t="n"/>
      <c r="W839" s="0" t="n"/>
      <c r="X839" s="0" t="n"/>
      <c r="Y839" s="0" t="n"/>
      <c r="Z839" s="0" t="n"/>
      <c r="AA839" s="0" t="n"/>
      <c r="AB839" s="0" t="n"/>
      <c r="AC839" s="0" t="n"/>
      <c r="AD839" s="0" t="n"/>
      <c r="AE839" s="0" t="n"/>
      <c r="AF839" s="0" t="n"/>
      <c r="AG839" s="0" t="n"/>
      <c r="AH839" s="0" t="n"/>
      <c r="AI839" s="0" t="n"/>
      <c r="AJ839" s="0" t="n"/>
      <c r="AK839" s="0" t="n"/>
      <c r="AL839" s="0" t="n"/>
      <c r="AM839" s="0" t="n"/>
      <c r="AN839" s="0" t="n"/>
      <c r="AO839" s="0" t="n"/>
      <c r="AP839" s="0" t="n"/>
      <c r="AQ839" s="0" t="n"/>
      <c r="AR839" s="0" t="n"/>
      <c r="AS839" s="0" t="n"/>
      <c r="AT839" s="0" t="n"/>
      <c r="AU839" s="0" t="n"/>
      <c r="AV839" s="0" t="n"/>
      <c r="AW839" s="0" t="n"/>
      <c r="AX839" s="0" t="n"/>
      <c r="AY839" s="0" t="n"/>
      <c r="AZ839" s="0" t="n"/>
      <c r="BA839" s="0" t="n"/>
      <c r="BB839" s="0" t="n"/>
      <c r="BC839" s="0" t="n"/>
      <c r="BD839" s="0" t="n"/>
      <c r="BE839" s="0" t="n"/>
      <c r="BF839" s="0" t="n"/>
      <c r="BG839" s="0" t="n"/>
      <c r="BH839" s="0" t="n"/>
      <c r="BI839" s="0" t="n"/>
      <c r="BJ839" s="0" t="n"/>
      <c r="BK839" s="0" t="n"/>
      <c r="BL839" s="0" t="n"/>
      <c r="BM839" s="0" t="n"/>
      <c r="BN839" s="0" t="n"/>
      <c r="BO839" s="0" t="n"/>
      <c r="BP839" s="0" t="n"/>
    </row>
    <row outlineLevel="0" r="840">
      <c r="A840" s="6" t="n">
        <f aca="false" ca="false" dt2D="false" dtr="false" t="normal">A839+1</f>
        <v>816</v>
      </c>
      <c r="B840" s="6" t="n">
        <f aca="false" ca="false" dt2D="false" dtr="false" t="normal">B839+1</f>
        <v>308</v>
      </c>
      <c r="C840" s="138" t="s">
        <v>716</v>
      </c>
      <c r="D840" s="6" t="s">
        <v>718</v>
      </c>
      <c r="E840" s="27" t="n">
        <f aca="false" ca="true" dt2D="false" dtr="false" t="normal">SUBTOTAL(9, F840:T840)</f>
        <v>707332</v>
      </c>
      <c r="F840" s="198" t="n"/>
      <c r="G840" s="200" t="n"/>
      <c r="H840" s="200" t="n"/>
      <c r="I840" s="200" t="n"/>
      <c r="J840" s="200" t="n"/>
      <c r="K840" s="200" t="n"/>
      <c r="L840" s="198" t="n"/>
      <c r="M840" s="200" t="n"/>
      <c r="N840" s="200" t="n"/>
      <c r="O840" s="200" t="n"/>
      <c r="P840" s="200" t="n"/>
      <c r="Q840" s="200" t="n">
        <v>707332</v>
      </c>
      <c r="R840" s="200" t="n"/>
      <c r="S840" s="200" t="n"/>
      <c r="T840" s="191" t="n"/>
      <c r="U840" s="0" t="n"/>
      <c r="V840" s="186" t="n"/>
      <c r="W840" s="0" t="n"/>
      <c r="X840" s="0" t="n"/>
      <c r="Y840" s="0" t="n"/>
      <c r="Z840" s="0" t="n"/>
      <c r="AA840" s="0" t="n"/>
      <c r="AB840" s="0" t="n"/>
      <c r="AC840" s="0" t="n"/>
      <c r="AD840" s="0" t="n"/>
      <c r="AE840" s="0" t="n"/>
      <c r="AF840" s="0" t="n"/>
      <c r="AG840" s="0" t="n"/>
      <c r="AH840" s="0" t="n"/>
      <c r="AI840" s="0" t="n"/>
      <c r="AJ840" s="0" t="n"/>
      <c r="AK840" s="0" t="n"/>
      <c r="AL840" s="0" t="n"/>
      <c r="AM840" s="0" t="n"/>
      <c r="AN840" s="0" t="n"/>
      <c r="AO840" s="0" t="n"/>
      <c r="AP840" s="0" t="n"/>
      <c r="AQ840" s="0" t="n"/>
      <c r="AR840" s="0" t="n"/>
      <c r="AS840" s="0" t="n"/>
      <c r="AT840" s="0" t="n"/>
      <c r="AU840" s="0" t="n"/>
      <c r="AV840" s="0" t="n"/>
      <c r="AW840" s="0" t="n"/>
      <c r="AX840" s="0" t="n"/>
      <c r="AY840" s="0" t="n"/>
      <c r="AZ840" s="0" t="n"/>
      <c r="BA840" s="0" t="n"/>
      <c r="BB840" s="0" t="n"/>
      <c r="BC840" s="0" t="n"/>
      <c r="BD840" s="0" t="n"/>
      <c r="BE840" s="0" t="n"/>
      <c r="BF840" s="0" t="n"/>
      <c r="BG840" s="0" t="n"/>
      <c r="BH840" s="0" t="n"/>
      <c r="BI840" s="0" t="n"/>
      <c r="BJ840" s="0" t="n"/>
      <c r="BK840" s="0" t="n"/>
      <c r="BL840" s="0" t="n"/>
      <c r="BM840" s="0" t="n"/>
      <c r="BN840" s="0" t="n"/>
      <c r="BO840" s="0" t="n"/>
      <c r="BP840" s="0" t="n"/>
    </row>
    <row outlineLevel="0" r="841">
      <c r="A841" s="6" t="n">
        <f aca="false" ca="false" dt2D="false" dtr="false" t="normal">A840+1</f>
        <v>817</v>
      </c>
      <c r="B841" s="6" t="n">
        <f aca="false" ca="false" dt2D="false" dtr="false" t="normal">B840+1</f>
        <v>309</v>
      </c>
      <c r="C841" s="138" t="s">
        <v>716</v>
      </c>
      <c r="D841" s="6" t="s">
        <v>719</v>
      </c>
      <c r="E841" s="27" t="n">
        <f aca="false" ca="true" dt2D="false" dtr="false" t="normal">SUBTOTAL(9, F841:T841)</f>
        <v>418182</v>
      </c>
      <c r="F841" s="198" t="n"/>
      <c r="G841" s="200" t="n"/>
      <c r="H841" s="200" t="n"/>
      <c r="I841" s="200" t="n"/>
      <c r="J841" s="200" t="n"/>
      <c r="K841" s="200" t="n"/>
      <c r="L841" s="198" t="n"/>
      <c r="M841" s="200" t="n"/>
      <c r="N841" s="200" t="n">
        <v>418182</v>
      </c>
      <c r="O841" s="200" t="n"/>
      <c r="P841" s="200" t="n"/>
      <c r="Q841" s="200" t="n"/>
      <c r="R841" s="200" t="n"/>
      <c r="S841" s="200" t="n"/>
      <c r="T841" s="191" t="n"/>
      <c r="U841" s="0" t="n"/>
      <c r="V841" s="186" t="n"/>
      <c r="W841" s="0" t="n"/>
      <c r="X841" s="0" t="n"/>
      <c r="Y841" s="0" t="n"/>
      <c r="Z841" s="0" t="n"/>
      <c r="AA841" s="0" t="n"/>
      <c r="AB841" s="0" t="n"/>
      <c r="AC841" s="0" t="n"/>
      <c r="AD841" s="0" t="n"/>
      <c r="AE841" s="0" t="n"/>
      <c r="AF841" s="0" t="n"/>
      <c r="AG841" s="0" t="n"/>
      <c r="AH841" s="0" t="n"/>
      <c r="AI841" s="0" t="n"/>
      <c r="AJ841" s="0" t="n"/>
      <c r="AK841" s="0" t="n"/>
      <c r="AL841" s="0" t="n"/>
      <c r="AM841" s="0" t="n"/>
      <c r="AN841" s="0" t="n"/>
      <c r="AO841" s="0" t="n"/>
      <c r="AP841" s="0" t="n"/>
      <c r="AQ841" s="0" t="n"/>
      <c r="AR841" s="0" t="n"/>
      <c r="AS841" s="0" t="n"/>
      <c r="AT841" s="0" t="n"/>
      <c r="AU841" s="0" t="n"/>
      <c r="AV841" s="0" t="n"/>
      <c r="AW841" s="0" t="n"/>
      <c r="AX841" s="0" t="n"/>
      <c r="AY841" s="0" t="n"/>
      <c r="AZ841" s="0" t="n"/>
      <c r="BA841" s="0" t="n"/>
      <c r="BB841" s="0" t="n"/>
      <c r="BC841" s="0" t="n"/>
      <c r="BD841" s="0" t="n"/>
      <c r="BE841" s="0" t="n"/>
      <c r="BF841" s="0" t="n"/>
      <c r="BG841" s="0" t="n"/>
      <c r="BH841" s="0" t="n"/>
      <c r="BI841" s="0" t="n"/>
      <c r="BJ841" s="0" t="n"/>
      <c r="BK841" s="0" t="n"/>
      <c r="BL841" s="0" t="n"/>
      <c r="BM841" s="0" t="n"/>
      <c r="BN841" s="0" t="n"/>
      <c r="BO841" s="0" t="n"/>
      <c r="BP841" s="0" t="n"/>
    </row>
    <row outlineLevel="0" r="842">
      <c r="A842" s="6" t="n">
        <f aca="false" ca="false" dt2D="false" dtr="false" t="normal">A841+1</f>
        <v>818</v>
      </c>
      <c r="B842" s="6" t="n">
        <f aca="false" ca="false" dt2D="false" dtr="false" t="normal">B841+1</f>
        <v>310</v>
      </c>
      <c r="C842" s="138" t="s">
        <v>716</v>
      </c>
      <c r="D842" s="6" t="s">
        <v>720</v>
      </c>
      <c r="E842" s="27" t="n">
        <f aca="false" ca="true" dt2D="false" dtr="false" t="normal">SUBTOTAL(9, F842:T842)</f>
        <v>1973422</v>
      </c>
      <c r="F842" s="198" t="n"/>
      <c r="G842" s="200" t="n"/>
      <c r="H842" s="200" t="n"/>
      <c r="I842" s="200" t="n"/>
      <c r="J842" s="200" t="n"/>
      <c r="K842" s="200" t="n"/>
      <c r="L842" s="198" t="n"/>
      <c r="M842" s="200" t="n"/>
      <c r="N842" s="200" t="n"/>
      <c r="O842" s="200" t="n"/>
      <c r="P842" s="254" t="n">
        <v>1973422</v>
      </c>
      <c r="Q842" s="200" t="n"/>
      <c r="R842" s="200" t="n"/>
      <c r="S842" s="200" t="n"/>
      <c r="T842" s="191" t="n"/>
      <c r="U842" s="0" t="n"/>
      <c r="V842" s="186" t="n"/>
      <c r="W842" s="0" t="n"/>
      <c r="X842" s="0" t="n"/>
      <c r="Y842" s="0" t="n"/>
      <c r="Z842" s="0" t="n"/>
      <c r="AA842" s="0" t="n"/>
      <c r="AB842" s="0" t="n"/>
      <c r="AC842" s="0" t="n"/>
      <c r="AD842" s="0" t="n"/>
      <c r="AE842" s="0" t="n"/>
      <c r="AF842" s="0" t="n"/>
      <c r="AG842" s="0" t="n"/>
      <c r="AH842" s="0" t="n"/>
      <c r="AI842" s="0" t="n"/>
      <c r="AJ842" s="0" t="n"/>
      <c r="AK842" s="0" t="n"/>
      <c r="AL842" s="0" t="n"/>
      <c r="AM842" s="0" t="n"/>
      <c r="AN842" s="0" t="n"/>
      <c r="AO842" s="0" t="n"/>
      <c r="AP842" s="0" t="n"/>
      <c r="AQ842" s="0" t="n"/>
      <c r="AR842" s="0" t="n"/>
      <c r="AS842" s="0" t="n"/>
      <c r="AT842" s="0" t="n"/>
      <c r="AU842" s="0" t="n"/>
      <c r="AV842" s="0" t="n"/>
      <c r="AW842" s="0" t="n"/>
      <c r="AX842" s="0" t="n"/>
      <c r="AY842" s="0" t="n"/>
      <c r="AZ842" s="0" t="n"/>
      <c r="BA842" s="0" t="n"/>
      <c r="BB842" s="0" t="n"/>
      <c r="BC842" s="0" t="n"/>
      <c r="BD842" s="0" t="n"/>
      <c r="BE842" s="0" t="n"/>
      <c r="BF842" s="0" t="n"/>
      <c r="BG842" s="0" t="n"/>
      <c r="BH842" s="0" t="n"/>
      <c r="BI842" s="0" t="n"/>
      <c r="BJ842" s="0" t="n"/>
      <c r="BK842" s="0" t="n"/>
      <c r="BL842" s="0" t="n"/>
      <c r="BM842" s="0" t="n"/>
      <c r="BN842" s="0" t="n"/>
      <c r="BO842" s="0" t="n"/>
      <c r="BP842" s="0" t="n"/>
    </row>
    <row customHeight="true" ht="29.4500007629395" outlineLevel="0" r="843">
      <c r="A843" s="231" t="n"/>
      <c r="B843" s="232" t="n"/>
      <c r="C843" s="232" t="n"/>
      <c r="D843" s="352" t="s">
        <v>758</v>
      </c>
      <c r="E843" s="239" t="n">
        <f aca="false" ca="false" dt2D="false" dtr="false" t="normal">SUM(E844:E869)</f>
        <v>104719369.99</v>
      </c>
      <c r="F843" s="239" t="n">
        <f aca="false" ca="false" dt2D="false" dtr="false" t="normal">SUM(F859:F869)</f>
        <v>0</v>
      </c>
      <c r="G843" s="239" t="n">
        <f aca="false" ca="false" dt2D="false" dtr="false" t="normal">SUM(G859:G869)</f>
        <v>0</v>
      </c>
      <c r="H843" s="239" t="n">
        <f aca="false" ca="false" dt2D="false" dtr="false" t="normal">SUM(H859:H869)</f>
        <v>0</v>
      </c>
      <c r="I843" s="239" t="n">
        <f aca="false" ca="false" dt2D="false" dtr="false" t="normal">SUM(I859:I869)</f>
        <v>0</v>
      </c>
      <c r="J843" s="239" t="n">
        <f aca="false" ca="false" dt2D="false" dtr="false" t="normal">SUM(J859:J869)</f>
        <v>0</v>
      </c>
      <c r="K843" s="239" t="n">
        <f aca="false" ca="false" dt2D="false" dtr="false" t="normal">SUM(K859:K869)</f>
        <v>0</v>
      </c>
      <c r="L843" s="239" t="n">
        <f aca="false" ca="false" dt2D="false" dtr="false" t="normal">SUM(L859:L869)</f>
        <v>0</v>
      </c>
      <c r="M843" s="239" t="n">
        <f aca="false" ca="false" dt2D="false" dtr="false" t="normal">SUM(M859:M869)</f>
        <v>0</v>
      </c>
      <c r="N843" s="239" t="n">
        <f aca="false" ca="false" dt2D="false" dtr="false" t="normal">SUM(N859:N869)</f>
        <v>0</v>
      </c>
      <c r="O843" s="239" t="n">
        <f aca="false" ca="false" dt2D="false" dtr="false" t="normal">SUM(O859:O869)</f>
        <v>0</v>
      </c>
      <c r="P843" s="239" t="n">
        <f aca="false" ca="false" dt2D="false" dtr="false" t="normal">SUM(P844:P869)</f>
        <v>104719369.99</v>
      </c>
      <c r="Q843" s="239" t="n">
        <f aca="false" ca="false" dt2D="false" dtr="false" t="normal">SUM(Q859:Q869)</f>
        <v>0</v>
      </c>
      <c r="R843" s="239" t="n">
        <f aca="false" ca="false" dt2D="false" dtr="false" t="normal">SUM(R859:R869)</f>
        <v>0</v>
      </c>
      <c r="S843" s="239" t="n">
        <f aca="false" ca="false" dt2D="false" dtr="false" t="normal">SUM(S859:S869)</f>
        <v>0</v>
      </c>
      <c r="T843" s="261" t="n">
        <f aca="false" ca="false" dt2D="false" dtr="false" t="normal">SUM(T859:T869)</f>
        <v>0</v>
      </c>
    </row>
    <row outlineLevel="0" r="844">
      <c r="A844" s="5" t="n">
        <f aca="false" ca="false" dt2D="false" dtr="false" t="normal">A842+1</f>
        <v>819</v>
      </c>
      <c r="B844" s="6" t="n">
        <f aca="false" ca="false" dt2D="false" dtr="false" t="normal">B842+1</f>
        <v>311</v>
      </c>
      <c r="C844" s="6" t="s">
        <v>177</v>
      </c>
      <c r="D844" s="6" t="s">
        <v>206</v>
      </c>
      <c r="E844" s="203" t="n">
        <f aca="false" ca="true" dt2D="false" dtr="false" t="normal">SUBTOTAL(9, F844:T844)</f>
        <v>1920799.11</v>
      </c>
      <c r="F844" s="17" t="n"/>
      <c r="G844" s="17" t="n"/>
      <c r="H844" s="17" t="n"/>
      <c r="I844" s="17" t="n"/>
      <c r="J844" s="17" t="n"/>
      <c r="K844" s="17" t="n"/>
      <c r="L844" s="17" t="n"/>
      <c r="M844" s="17" t="n"/>
      <c r="N844" s="17" t="n"/>
      <c r="O844" s="17" t="n"/>
      <c r="P844" s="18" t="n">
        <v>1920799.11</v>
      </c>
      <c r="Q844" s="17" t="n"/>
      <c r="R844" s="17" t="n"/>
      <c r="S844" s="17" t="n"/>
      <c r="T844" s="188" t="n"/>
    </row>
    <row outlineLevel="0" r="845">
      <c r="A845" s="5" t="n">
        <f aca="false" ca="false" dt2D="false" dtr="false" t="normal">A844+1</f>
        <v>820</v>
      </c>
      <c r="B845" s="6" t="n">
        <f aca="false" ca="false" dt2D="false" dtr="false" t="normal">+B844+1</f>
        <v>312</v>
      </c>
      <c r="C845" s="6" t="s">
        <v>177</v>
      </c>
      <c r="D845" s="6" t="s">
        <v>723</v>
      </c>
      <c r="E845" s="203" t="n">
        <f aca="false" ca="true" dt2D="false" dtr="false" t="normal">SUBTOTAL(9, F845:T845)</f>
        <v>2882347.55</v>
      </c>
      <c r="F845" s="17" t="n"/>
      <c r="G845" s="17" t="n"/>
      <c r="H845" s="17" t="n"/>
      <c r="I845" s="17" t="n"/>
      <c r="J845" s="17" t="n"/>
      <c r="K845" s="17" t="n"/>
      <c r="L845" s="17" t="n"/>
      <c r="M845" s="17" t="n"/>
      <c r="N845" s="17" t="n"/>
      <c r="O845" s="17" t="n"/>
      <c r="P845" s="18" t="n">
        <v>2882347.55</v>
      </c>
      <c r="Q845" s="17" t="n"/>
      <c r="R845" s="17" t="n"/>
      <c r="S845" s="17" t="n"/>
      <c r="T845" s="188" t="n"/>
    </row>
    <row outlineLevel="0" r="846">
      <c r="A846" s="5" t="n">
        <f aca="false" ca="false" dt2D="false" dtr="false" t="normal">+A845+1</f>
        <v>821</v>
      </c>
      <c r="B846" s="6" t="s">
        <v>76</v>
      </c>
      <c r="C846" s="6" t="s">
        <v>177</v>
      </c>
      <c r="D846" s="6" t="s">
        <v>326</v>
      </c>
      <c r="E846" s="203" t="n">
        <f aca="false" ca="true" dt2D="false" dtr="false" t="normal">SUBTOTAL(9, F846:T846)</f>
        <v>7419047.08</v>
      </c>
      <c r="F846" s="17" t="n"/>
      <c r="G846" s="17" t="n"/>
      <c r="H846" s="17" t="n"/>
      <c r="I846" s="17" t="n"/>
      <c r="J846" s="17" t="n"/>
      <c r="K846" s="17" t="n"/>
      <c r="L846" s="17" t="n"/>
      <c r="M846" s="17" t="n"/>
      <c r="N846" s="17" t="n"/>
      <c r="O846" s="17" t="n"/>
      <c r="P846" s="18" t="n">
        <v>7419047.08</v>
      </c>
      <c r="Q846" s="17" t="n"/>
      <c r="R846" s="17" t="n"/>
      <c r="S846" s="17" t="n"/>
      <c r="T846" s="188" t="n"/>
    </row>
    <row outlineLevel="0" r="847">
      <c r="A847" s="5" t="n">
        <f aca="false" ca="false" dt2D="false" dtr="false" t="normal">+A846+1</f>
        <v>822</v>
      </c>
      <c r="B847" s="6" t="n">
        <f aca="false" ca="false" dt2D="false" dtr="false" t="normal">+B845+1</f>
        <v>313</v>
      </c>
      <c r="C847" s="6" t="s">
        <v>177</v>
      </c>
      <c r="D847" s="6" t="s">
        <v>724</v>
      </c>
      <c r="E847" s="203" t="n">
        <f aca="false" ca="true" dt2D="false" dtr="false" t="normal">SUBTOTAL(9, F847:T847)</f>
        <v>3073747.52</v>
      </c>
      <c r="F847" s="17" t="n"/>
      <c r="G847" s="17" t="n"/>
      <c r="H847" s="17" t="n"/>
      <c r="I847" s="17" t="n"/>
      <c r="J847" s="17" t="n"/>
      <c r="K847" s="17" t="n"/>
      <c r="L847" s="17" t="n"/>
      <c r="M847" s="17" t="n"/>
      <c r="N847" s="17" t="n"/>
      <c r="O847" s="17" t="n"/>
      <c r="P847" s="18" t="n">
        <v>3073747.52</v>
      </c>
      <c r="Q847" s="17" t="n"/>
      <c r="R847" s="17" t="n"/>
      <c r="S847" s="17" t="n"/>
      <c r="T847" s="188" t="n"/>
    </row>
    <row outlineLevel="0" r="848">
      <c r="A848" s="5" t="n">
        <f aca="false" ca="false" dt2D="false" dtr="false" t="normal">+A847+1</f>
        <v>823</v>
      </c>
      <c r="B848" s="6" t="n">
        <f aca="false" ca="false" dt2D="false" dtr="false" t="normal">+B847+1</f>
        <v>314</v>
      </c>
      <c r="C848" s="6" t="s">
        <v>177</v>
      </c>
      <c r="D848" s="6" t="s">
        <v>725</v>
      </c>
      <c r="E848" s="203" t="n">
        <f aca="false" ca="true" dt2D="false" dtr="false" t="normal">SUBTOTAL(9, F848:T848)</f>
        <v>2978133.91</v>
      </c>
      <c r="F848" s="17" t="n"/>
      <c r="G848" s="17" t="n"/>
      <c r="H848" s="17" t="n"/>
      <c r="I848" s="17" t="n"/>
      <c r="J848" s="17" t="n"/>
      <c r="K848" s="17" t="n"/>
      <c r="L848" s="17" t="n"/>
      <c r="M848" s="17" t="n"/>
      <c r="N848" s="17" t="n"/>
      <c r="O848" s="17" t="n"/>
      <c r="P848" s="18" t="n">
        <v>2978133.91</v>
      </c>
      <c r="Q848" s="17" t="n"/>
      <c r="R848" s="17" t="n"/>
      <c r="S848" s="17" t="n"/>
      <c r="T848" s="188" t="n"/>
    </row>
    <row outlineLevel="0" r="849">
      <c r="A849" s="5" t="n">
        <f aca="false" ca="false" dt2D="false" dtr="false" t="normal">+A848+1</f>
        <v>824</v>
      </c>
      <c r="B849" s="6" t="n">
        <f aca="false" ca="false" dt2D="false" dtr="false" t="normal">+B848+1</f>
        <v>315</v>
      </c>
      <c r="C849" s="6" t="s">
        <v>177</v>
      </c>
      <c r="D849" s="6" t="s">
        <v>726</v>
      </c>
      <c r="E849" s="203" t="n">
        <f aca="false" ca="true" dt2D="false" dtr="false" t="normal">SUBTOTAL(9, F849:T849)</f>
        <v>5027302.96</v>
      </c>
      <c r="F849" s="17" t="n"/>
      <c r="G849" s="17" t="n"/>
      <c r="H849" s="17" t="n"/>
      <c r="I849" s="17" t="n"/>
      <c r="J849" s="17" t="n"/>
      <c r="K849" s="17" t="n"/>
      <c r="L849" s="17" t="n"/>
      <c r="M849" s="17" t="n"/>
      <c r="N849" s="17" t="n"/>
      <c r="O849" s="17" t="n"/>
      <c r="P849" s="18" t="n">
        <v>5027302.96</v>
      </c>
      <c r="Q849" s="17" t="n"/>
      <c r="R849" s="17" t="n"/>
      <c r="S849" s="17" t="n"/>
      <c r="T849" s="188" t="n"/>
    </row>
    <row outlineLevel="0" r="850">
      <c r="A850" s="5" t="n">
        <f aca="false" ca="false" dt2D="false" dtr="false" t="normal">+A849+1</f>
        <v>825</v>
      </c>
      <c r="B850" s="6" t="n">
        <f aca="false" ca="false" dt2D="false" dtr="false" t="normal">+B849+1</f>
        <v>316</v>
      </c>
      <c r="C850" s="6" t="s">
        <v>177</v>
      </c>
      <c r="D850" s="6" t="s">
        <v>727</v>
      </c>
      <c r="E850" s="203" t="n">
        <f aca="false" ca="true" dt2D="false" dtr="false" t="normal">SUBTOTAL(9, F850:T850)</f>
        <v>2875467.93</v>
      </c>
      <c r="F850" s="17" t="n"/>
      <c r="G850" s="17" t="n"/>
      <c r="H850" s="17" t="n"/>
      <c r="I850" s="17" t="n"/>
      <c r="J850" s="17" t="n"/>
      <c r="K850" s="17" t="n"/>
      <c r="L850" s="17" t="n"/>
      <c r="M850" s="17" t="n"/>
      <c r="N850" s="17" t="n"/>
      <c r="O850" s="17" t="n"/>
      <c r="P850" s="18" t="n">
        <v>2875467.93</v>
      </c>
      <c r="Q850" s="17" t="n"/>
      <c r="R850" s="17" t="n"/>
      <c r="S850" s="17" t="n"/>
      <c r="T850" s="188" t="n"/>
    </row>
    <row outlineLevel="0" r="851">
      <c r="A851" s="5" t="n">
        <f aca="false" ca="false" dt2D="false" dtr="false" t="normal">+A850+1</f>
        <v>826</v>
      </c>
      <c r="B851" s="6" t="n">
        <f aca="false" ca="false" dt2D="false" dtr="false" t="normal">+B850+1</f>
        <v>317</v>
      </c>
      <c r="C851" s="6" t="s">
        <v>177</v>
      </c>
      <c r="D851" s="6" t="s">
        <v>728</v>
      </c>
      <c r="E851" s="203" t="n">
        <f aca="false" ca="true" dt2D="false" dtr="false" t="normal">SUBTOTAL(9, F851:T851)</f>
        <v>6456490.96</v>
      </c>
      <c r="F851" s="17" t="n"/>
      <c r="G851" s="17" t="n"/>
      <c r="H851" s="17" t="n"/>
      <c r="I851" s="17" t="n"/>
      <c r="J851" s="17" t="n"/>
      <c r="K851" s="17" t="n"/>
      <c r="L851" s="17" t="n"/>
      <c r="M851" s="17" t="n"/>
      <c r="N851" s="17" t="n"/>
      <c r="O851" s="17" t="n"/>
      <c r="P851" s="18" t="n">
        <v>6456490.96</v>
      </c>
      <c r="Q851" s="17" t="n"/>
      <c r="R851" s="17" t="n"/>
      <c r="S851" s="17" t="n"/>
      <c r="T851" s="188" t="n"/>
    </row>
    <row outlineLevel="0" r="852">
      <c r="A852" s="5" t="n">
        <f aca="false" ca="false" dt2D="false" dtr="false" t="normal">+A851+1</f>
        <v>827</v>
      </c>
      <c r="B852" s="6" t="s">
        <v>76</v>
      </c>
      <c r="C852" s="6" t="s">
        <v>177</v>
      </c>
      <c r="D852" s="6" t="s">
        <v>729</v>
      </c>
      <c r="E852" s="203" t="n">
        <f aca="false" ca="true" dt2D="false" dtr="false" t="normal">SUBTOTAL(9, F852:T852)</f>
        <v>3099553.05</v>
      </c>
      <c r="F852" s="17" t="n"/>
      <c r="G852" s="17" t="n"/>
      <c r="H852" s="17" t="n"/>
      <c r="I852" s="17" t="n"/>
      <c r="J852" s="17" t="n"/>
      <c r="K852" s="17" t="n"/>
      <c r="L852" s="17" t="n"/>
      <c r="M852" s="17" t="n"/>
      <c r="N852" s="17" t="n"/>
      <c r="O852" s="17" t="n"/>
      <c r="P852" s="18" t="n">
        <v>3099553.05</v>
      </c>
      <c r="Q852" s="17" t="n"/>
      <c r="R852" s="17" t="n"/>
      <c r="S852" s="17" t="n"/>
      <c r="T852" s="188" t="n"/>
    </row>
    <row outlineLevel="0" r="853">
      <c r="A853" s="5" t="n">
        <f aca="false" ca="false" dt2D="false" dtr="false" t="normal">+A852+1</f>
        <v>828</v>
      </c>
      <c r="B853" s="6" t="n">
        <f aca="false" ca="false" dt2D="false" dtr="false" t="normal">+B851+1</f>
        <v>318</v>
      </c>
      <c r="C853" s="6" t="s">
        <v>177</v>
      </c>
      <c r="D853" s="6" t="s">
        <v>730</v>
      </c>
      <c r="E853" s="203" t="n">
        <f aca="false" ca="true" dt2D="false" dtr="false" t="normal">SUBTOTAL(9, F853:T853)</f>
        <v>2807046.34</v>
      </c>
      <c r="F853" s="17" t="n"/>
      <c r="G853" s="17" t="n"/>
      <c r="H853" s="17" t="n"/>
      <c r="I853" s="17" t="n"/>
      <c r="J853" s="17" t="n"/>
      <c r="K853" s="17" t="n"/>
      <c r="L853" s="17" t="n"/>
      <c r="M853" s="17" t="n"/>
      <c r="N853" s="17" t="n"/>
      <c r="O853" s="17" t="n"/>
      <c r="P853" s="18" t="n">
        <v>2807046.34</v>
      </c>
      <c r="Q853" s="17" t="n"/>
      <c r="R853" s="17" t="n"/>
      <c r="S853" s="17" t="n"/>
      <c r="T853" s="188" t="n"/>
    </row>
    <row outlineLevel="0" r="854">
      <c r="A854" s="5" t="n">
        <f aca="false" ca="false" dt2D="false" dtr="false" t="normal">+A853+1</f>
        <v>829</v>
      </c>
      <c r="B854" s="6" t="n">
        <f aca="false" ca="false" dt2D="false" dtr="false" t="normal">+B853+1</f>
        <v>319</v>
      </c>
      <c r="C854" s="6" t="s">
        <v>177</v>
      </c>
      <c r="D854" s="6" t="s">
        <v>512</v>
      </c>
      <c r="E854" s="203" t="n">
        <f aca="false" ca="true" dt2D="false" dtr="false" t="normal">SUBTOTAL(9, F854:T854)</f>
        <v>2245110.29</v>
      </c>
      <c r="F854" s="17" t="n"/>
      <c r="G854" s="17" t="n"/>
      <c r="H854" s="17" t="n"/>
      <c r="I854" s="17" t="n"/>
      <c r="J854" s="17" t="n"/>
      <c r="K854" s="17" t="n"/>
      <c r="L854" s="17" t="n"/>
      <c r="M854" s="17" t="n"/>
      <c r="N854" s="17" t="n"/>
      <c r="O854" s="17" t="n"/>
      <c r="P854" s="18" t="n">
        <v>2245110.29</v>
      </c>
      <c r="Q854" s="17" t="n"/>
      <c r="R854" s="17" t="n"/>
      <c r="S854" s="17" t="n"/>
      <c r="T854" s="188" t="n"/>
    </row>
    <row outlineLevel="0" r="855">
      <c r="A855" s="5" t="n">
        <f aca="false" ca="false" dt2D="false" dtr="false" t="normal">+A854+1</f>
        <v>830</v>
      </c>
      <c r="B855" s="6" t="s">
        <v>76</v>
      </c>
      <c r="C855" s="6" t="s">
        <v>177</v>
      </c>
      <c r="D855" s="6" t="s">
        <v>213</v>
      </c>
      <c r="E855" s="203" t="n">
        <f aca="false" ca="true" dt2D="false" dtr="false" t="normal">SUBTOTAL(9, F855:T855)</f>
        <v>3542453.57</v>
      </c>
      <c r="F855" s="17" t="n"/>
      <c r="G855" s="17" t="n"/>
      <c r="H855" s="17" t="n"/>
      <c r="I855" s="17" t="n"/>
      <c r="J855" s="17" t="n"/>
      <c r="K855" s="17" t="n"/>
      <c r="L855" s="17" t="n"/>
      <c r="M855" s="17" t="n"/>
      <c r="N855" s="17" t="n"/>
      <c r="O855" s="17" t="n"/>
      <c r="P855" s="18" t="n">
        <v>3542453.57</v>
      </c>
      <c r="Q855" s="17" t="n"/>
      <c r="R855" s="17" t="n"/>
      <c r="S855" s="17" t="n"/>
      <c r="T855" s="188" t="n"/>
    </row>
    <row outlineLevel="0" r="856">
      <c r="A856" s="5" t="n">
        <f aca="false" ca="false" dt2D="false" dtr="false" t="normal">+A855+1</f>
        <v>831</v>
      </c>
      <c r="B856" s="6" t="n">
        <f aca="false" ca="false" dt2D="false" dtr="false" t="normal">+B854+1</f>
        <v>320</v>
      </c>
      <c r="C856" s="6" t="s">
        <v>177</v>
      </c>
      <c r="D856" s="6" t="s">
        <v>215</v>
      </c>
      <c r="E856" s="203" t="n">
        <f aca="false" ca="true" dt2D="false" dtr="false" t="normal">SUBTOTAL(9, F856:T856)</f>
        <v>3257822.95</v>
      </c>
      <c r="F856" s="17" t="n"/>
      <c r="G856" s="17" t="n"/>
      <c r="H856" s="17" t="n"/>
      <c r="I856" s="17" t="n"/>
      <c r="J856" s="17" t="n"/>
      <c r="K856" s="17" t="n"/>
      <c r="L856" s="17" t="n"/>
      <c r="M856" s="17" t="n"/>
      <c r="N856" s="17" t="n"/>
      <c r="O856" s="17" t="n"/>
      <c r="P856" s="18" t="n">
        <v>3257822.95</v>
      </c>
      <c r="Q856" s="17" t="n"/>
      <c r="R856" s="17" t="n"/>
      <c r="S856" s="17" t="n"/>
      <c r="T856" s="188" t="n"/>
    </row>
    <row outlineLevel="0" r="857">
      <c r="A857" s="5" t="n">
        <f aca="false" ca="false" dt2D="false" dtr="false" t="normal">+A856+1</f>
        <v>832</v>
      </c>
      <c r="B857" s="6" t="n">
        <f aca="false" ca="false" dt2D="false" dtr="false" t="normal">+B856+1</f>
        <v>321</v>
      </c>
      <c r="C857" s="6" t="s">
        <v>177</v>
      </c>
      <c r="D857" s="6" t="s">
        <v>217</v>
      </c>
      <c r="E857" s="203" t="n">
        <f aca="false" ca="true" dt2D="false" dtr="false" t="normal">SUBTOTAL(9, F857:T857)</f>
        <v>5969418.05</v>
      </c>
      <c r="F857" s="17" t="n"/>
      <c r="G857" s="17" t="n"/>
      <c r="H857" s="17" t="n"/>
      <c r="I857" s="17" t="n"/>
      <c r="J857" s="17" t="n"/>
      <c r="K857" s="17" t="n"/>
      <c r="L857" s="17" t="n"/>
      <c r="M857" s="17" t="n"/>
      <c r="N857" s="17" t="n"/>
      <c r="O857" s="17" t="n"/>
      <c r="P857" s="18" t="n">
        <v>5969418.05</v>
      </c>
      <c r="Q857" s="17" t="n"/>
      <c r="R857" s="17" t="n"/>
      <c r="S857" s="17" t="n"/>
      <c r="T857" s="188" t="n"/>
    </row>
    <row outlineLevel="0" r="858">
      <c r="A858" s="5" t="n">
        <f aca="false" ca="false" dt2D="false" dtr="false" t="normal">+A857+1</f>
        <v>833</v>
      </c>
      <c r="B858" s="6" t="n">
        <f aca="false" ca="false" dt2D="false" dtr="false" t="normal">+B857+1</f>
        <v>322</v>
      </c>
      <c r="C858" s="6" t="s">
        <v>177</v>
      </c>
      <c r="D858" s="6" t="s">
        <v>733</v>
      </c>
      <c r="E858" s="203" t="n">
        <f aca="false" ca="true" dt2D="false" dtr="false" t="normal">SUBTOTAL(9, F858:T858)</f>
        <v>5132744.7</v>
      </c>
      <c r="F858" s="17" t="n"/>
      <c r="G858" s="17" t="n"/>
      <c r="H858" s="17" t="n"/>
      <c r="I858" s="17" t="n"/>
      <c r="J858" s="17" t="n"/>
      <c r="K858" s="17" t="n"/>
      <c r="L858" s="17" t="n"/>
      <c r="M858" s="17" t="n"/>
      <c r="N858" s="17" t="n"/>
      <c r="O858" s="17" t="n"/>
      <c r="P858" s="18" t="n">
        <v>5132744.7</v>
      </c>
      <c r="Q858" s="17" t="n"/>
      <c r="R858" s="17" t="n"/>
      <c r="S858" s="17" t="n"/>
      <c r="T858" s="188" t="n"/>
    </row>
    <row outlineLevel="0" r="859">
      <c r="A859" s="5" t="n">
        <f aca="false" ca="false" dt2D="false" dtr="false" t="normal">+A858+1</f>
        <v>834</v>
      </c>
      <c r="B859" s="6" t="n">
        <f aca="false" ca="false" dt2D="false" dtr="false" t="normal">+B858+1</f>
        <v>323</v>
      </c>
      <c r="C859" s="6" t="s">
        <v>177</v>
      </c>
      <c r="D859" s="6" t="s">
        <v>735</v>
      </c>
      <c r="E859" s="203" t="n">
        <f aca="false" ca="true" dt2D="false" dtr="false" t="normal">SUBTOTAL(9, F859:T859)</f>
        <v>3397972.77</v>
      </c>
      <c r="F859" s="17" t="n"/>
      <c r="G859" s="17" t="n"/>
      <c r="H859" s="17" t="n"/>
      <c r="I859" s="17" t="n"/>
      <c r="J859" s="17" t="n"/>
      <c r="K859" s="17" t="n"/>
      <c r="L859" s="17" t="n"/>
      <c r="M859" s="17" t="n"/>
      <c r="N859" s="17" t="n"/>
      <c r="O859" s="17" t="n"/>
      <c r="P859" s="18" t="n">
        <v>3397972.77</v>
      </c>
      <c r="Q859" s="17" t="n"/>
      <c r="R859" s="17" t="n"/>
      <c r="S859" s="17" t="n"/>
      <c r="T859" s="188" t="n"/>
    </row>
    <row outlineLevel="0" r="860">
      <c r="A860" s="5" t="n">
        <f aca="false" ca="false" dt2D="false" dtr="false" t="normal">+A859+1</f>
        <v>835</v>
      </c>
      <c r="B860" s="6" t="n">
        <f aca="false" ca="false" dt2D="false" dtr="false" t="normal">+B859+1</f>
        <v>324</v>
      </c>
      <c r="C860" s="6" t="s">
        <v>177</v>
      </c>
      <c r="D860" s="6" t="s">
        <v>737</v>
      </c>
      <c r="E860" s="203" t="n">
        <f aca="false" ca="true" dt2D="false" dtr="false" t="normal">SUBTOTAL(9, F860:T860)</f>
        <v>4504828.59</v>
      </c>
      <c r="F860" s="17" t="n"/>
      <c r="G860" s="17" t="n"/>
      <c r="H860" s="17" t="n"/>
      <c r="I860" s="17" t="n"/>
      <c r="J860" s="17" t="n"/>
      <c r="K860" s="17" t="n"/>
      <c r="L860" s="17" t="n"/>
      <c r="M860" s="17" t="n"/>
      <c r="N860" s="17" t="n"/>
      <c r="O860" s="17" t="n"/>
      <c r="P860" s="18" t="n">
        <v>4504828.59</v>
      </c>
      <c r="Q860" s="17" t="n"/>
      <c r="R860" s="17" t="n"/>
      <c r="S860" s="17" t="n"/>
      <c r="T860" s="188" t="n"/>
    </row>
    <row outlineLevel="0" r="861">
      <c r="A861" s="5" t="n">
        <f aca="false" ca="false" dt2D="false" dtr="false" t="normal">+A860+1</f>
        <v>836</v>
      </c>
      <c r="B861" s="6" t="n">
        <f aca="false" ca="false" dt2D="false" dtr="false" t="normal">+B860+1</f>
        <v>325</v>
      </c>
      <c r="C861" s="6" t="s">
        <v>177</v>
      </c>
      <c r="D861" s="6" t="s">
        <v>738</v>
      </c>
      <c r="E861" s="203" t="n">
        <f aca="false" ca="true" dt2D="false" dtr="false" t="normal">SUBTOTAL(9, F861:T861)</f>
        <v>4022692.46</v>
      </c>
      <c r="F861" s="17" t="n"/>
      <c r="G861" s="17" t="n"/>
      <c r="H861" s="17" t="n"/>
      <c r="I861" s="17" t="n"/>
      <c r="J861" s="17" t="n"/>
      <c r="K861" s="17" t="n"/>
      <c r="L861" s="17" t="n"/>
      <c r="M861" s="17" t="n"/>
      <c r="N861" s="17" t="n"/>
      <c r="O861" s="17" t="n"/>
      <c r="P861" s="18" t="n">
        <v>4022692.46</v>
      </c>
      <c r="Q861" s="17" t="n"/>
      <c r="R861" s="17" t="n"/>
      <c r="S861" s="17" t="n"/>
      <c r="T861" s="188" t="n"/>
    </row>
    <row outlineLevel="0" r="862">
      <c r="A862" s="5" t="n">
        <f aca="false" ca="false" dt2D="false" dtr="false" t="normal">+A861+1</f>
        <v>837</v>
      </c>
      <c r="B862" s="6" t="n">
        <f aca="false" ca="false" dt2D="false" dtr="false" t="normal">+B861+1</f>
        <v>326</v>
      </c>
      <c r="C862" s="6" t="s">
        <v>177</v>
      </c>
      <c r="D862" s="6" t="s">
        <v>740</v>
      </c>
      <c r="E862" s="203" t="n">
        <f aca="false" ca="true" dt2D="false" dtr="false" t="normal">SUBTOTAL(9, F862:T862)</f>
        <v>4484607.81</v>
      </c>
      <c r="F862" s="17" t="n"/>
      <c r="G862" s="17" t="n"/>
      <c r="H862" s="17" t="n"/>
      <c r="I862" s="17" t="n"/>
      <c r="J862" s="17" t="n"/>
      <c r="K862" s="17" t="n"/>
      <c r="L862" s="17" t="n"/>
      <c r="M862" s="17" t="n"/>
      <c r="N862" s="17" t="n"/>
      <c r="O862" s="17" t="n"/>
      <c r="P862" s="18" t="n">
        <v>4484607.81</v>
      </c>
      <c r="Q862" s="17" t="n"/>
      <c r="R862" s="17" t="n"/>
      <c r="S862" s="17" t="n"/>
      <c r="T862" s="188" t="n"/>
    </row>
    <row outlineLevel="0" r="863">
      <c r="A863" s="5" t="n">
        <f aca="false" ca="false" dt2D="false" dtr="false" t="normal">+A862+1</f>
        <v>838</v>
      </c>
      <c r="B863" s="6" t="n">
        <f aca="false" ca="false" dt2D="false" dtr="false" t="normal">+B862+1</f>
        <v>327</v>
      </c>
      <c r="C863" s="6" t="s">
        <v>177</v>
      </c>
      <c r="D863" s="6" t="s">
        <v>742</v>
      </c>
      <c r="E863" s="203" t="n">
        <f aca="false" ca="true" dt2D="false" dtr="false" t="normal">SUBTOTAL(9, F863:T863)</f>
        <v>3409403.7</v>
      </c>
      <c r="F863" s="17" t="n"/>
      <c r="G863" s="17" t="n"/>
      <c r="H863" s="17" t="n"/>
      <c r="I863" s="17" t="n"/>
      <c r="J863" s="17" t="n"/>
      <c r="K863" s="17" t="n"/>
      <c r="L863" s="17" t="n"/>
      <c r="M863" s="17" t="n"/>
      <c r="N863" s="17" t="n"/>
      <c r="O863" s="17" t="n"/>
      <c r="P863" s="18" t="n">
        <v>3409403.7</v>
      </c>
      <c r="Q863" s="17" t="n"/>
      <c r="R863" s="17" t="n"/>
      <c r="S863" s="17" t="n"/>
      <c r="T863" s="188" t="n"/>
    </row>
    <row outlineLevel="0" r="864">
      <c r="A864" s="5" t="n">
        <f aca="false" ca="false" dt2D="false" dtr="false" t="normal">+A863+1</f>
        <v>839</v>
      </c>
      <c r="B864" s="6" t="s">
        <v>76</v>
      </c>
      <c r="C864" s="6" t="s">
        <v>177</v>
      </c>
      <c r="D864" s="6" t="s">
        <v>277</v>
      </c>
      <c r="E864" s="203" t="n">
        <f aca="false" ca="true" dt2D="false" dtr="false" t="normal">SUBTOTAL(9, F864:T864)</f>
        <v>2705460.56</v>
      </c>
      <c r="F864" s="17" t="n"/>
      <c r="G864" s="17" t="n"/>
      <c r="H864" s="17" t="n"/>
      <c r="I864" s="17" t="n"/>
      <c r="J864" s="17" t="n"/>
      <c r="K864" s="17" t="n"/>
      <c r="L864" s="17" t="n"/>
      <c r="M864" s="17" t="n"/>
      <c r="N864" s="17" t="n"/>
      <c r="O864" s="17" t="n"/>
      <c r="P864" s="18" t="n">
        <v>2705460.56</v>
      </c>
      <c r="Q864" s="17" t="n"/>
      <c r="R864" s="17" t="n"/>
      <c r="S864" s="17" t="n"/>
      <c r="T864" s="188" t="n"/>
    </row>
    <row outlineLevel="0" r="865">
      <c r="A865" s="5" t="n">
        <f aca="false" ca="false" dt2D="false" dtr="false" t="normal">+A864+1</f>
        <v>840</v>
      </c>
      <c r="B865" s="6" t="n">
        <f aca="false" ca="false" dt2D="false" dtr="false" t="normal">+B863+1</f>
        <v>328</v>
      </c>
      <c r="C865" s="6" t="s">
        <v>177</v>
      </c>
      <c r="D865" s="6" t="s">
        <v>285</v>
      </c>
      <c r="E865" s="203" t="n">
        <f aca="false" ca="true" dt2D="false" dtr="false" t="normal">SUBTOTAL(9, F865:T865)</f>
        <v>8012938.62</v>
      </c>
      <c r="F865" s="17" t="n"/>
      <c r="G865" s="17" t="n"/>
      <c r="H865" s="17" t="n"/>
      <c r="I865" s="17" t="n"/>
      <c r="J865" s="17" t="n"/>
      <c r="K865" s="17" t="n"/>
      <c r="L865" s="17" t="n"/>
      <c r="M865" s="17" t="n"/>
      <c r="N865" s="17" t="n"/>
      <c r="O865" s="17" t="n"/>
      <c r="P865" s="18" t="n">
        <v>8012938.62</v>
      </c>
      <c r="Q865" s="17" t="n"/>
      <c r="R865" s="17" t="n"/>
      <c r="S865" s="17" t="n"/>
      <c r="T865" s="188" t="n"/>
    </row>
    <row outlineLevel="0" r="866">
      <c r="A866" s="5" t="n">
        <f aca="false" ca="false" dt2D="false" dtr="false" t="normal">+A865+1</f>
        <v>841</v>
      </c>
      <c r="B866" s="6" t="n">
        <f aca="false" ca="false" dt2D="false" dtr="false" t="normal">+B865+1</f>
        <v>329</v>
      </c>
      <c r="C866" s="6" t="s">
        <v>177</v>
      </c>
      <c r="D866" s="6" t="s">
        <v>739</v>
      </c>
      <c r="E866" s="203" t="n">
        <f aca="false" ca="true" dt2D="false" dtr="false" t="normal">SUBTOTAL(9, F866:T866)</f>
        <v>4123351.24</v>
      </c>
      <c r="F866" s="17" t="n"/>
      <c r="G866" s="17" t="n"/>
      <c r="H866" s="17" t="n"/>
      <c r="I866" s="17" t="n"/>
      <c r="J866" s="17" t="n"/>
      <c r="K866" s="17" t="n"/>
      <c r="L866" s="17" t="n"/>
      <c r="M866" s="17" t="n"/>
      <c r="N866" s="17" t="n"/>
      <c r="O866" s="17" t="n"/>
      <c r="P866" s="18" t="n">
        <v>4123351.24</v>
      </c>
      <c r="Q866" s="17" t="n"/>
      <c r="R866" s="17" t="n"/>
      <c r="S866" s="17" t="n"/>
      <c r="T866" s="188" t="n"/>
    </row>
    <row outlineLevel="0" r="867">
      <c r="A867" s="5" t="n">
        <f aca="false" ca="false" dt2D="false" dtr="false" t="normal">+A866+1</f>
        <v>842</v>
      </c>
      <c r="B867" s="6" t="n">
        <f aca="false" ca="false" dt2D="false" dtr="false" t="normal">+B866+1</f>
        <v>330</v>
      </c>
      <c r="C867" s="6" t="s">
        <v>177</v>
      </c>
      <c r="D867" s="6" t="s">
        <v>741</v>
      </c>
      <c r="E867" s="203" t="n">
        <f aca="false" ca="true" dt2D="false" dtr="false" t="normal">SUBTOTAL(9, F867:T867)</f>
        <v>6306560.56</v>
      </c>
      <c r="F867" s="17" t="n"/>
      <c r="G867" s="17" t="n"/>
      <c r="H867" s="17" t="n"/>
      <c r="I867" s="17" t="n"/>
      <c r="J867" s="17" t="n"/>
      <c r="K867" s="17" t="n"/>
      <c r="L867" s="17" t="n"/>
      <c r="M867" s="17" t="n"/>
      <c r="N867" s="17" t="n"/>
      <c r="O867" s="17" t="n"/>
      <c r="P867" s="18" t="n">
        <v>6306560.56</v>
      </c>
      <c r="Q867" s="17" t="n"/>
      <c r="R867" s="17" t="n"/>
      <c r="S867" s="17" t="n"/>
      <c r="T867" s="188" t="n"/>
    </row>
    <row outlineLevel="0" r="868">
      <c r="A868" s="5" t="n">
        <f aca="false" ca="false" dt2D="false" dtr="false" t="normal">+A867+1</f>
        <v>843</v>
      </c>
      <c r="B868" s="6" t="n">
        <f aca="false" ca="false" dt2D="false" dtr="false" t="normal">+B867+1</f>
        <v>331</v>
      </c>
      <c r="C868" s="6" t="s">
        <v>177</v>
      </c>
      <c r="D868" s="6" t="s">
        <v>743</v>
      </c>
      <c r="E868" s="203" t="n">
        <f aca="false" ca="true" dt2D="false" dtr="false" t="normal">SUBTOTAL(9, F868:T868)</f>
        <v>2496013.47</v>
      </c>
      <c r="F868" s="17" t="n"/>
      <c r="G868" s="17" t="n"/>
      <c r="H868" s="17" t="n"/>
      <c r="I868" s="17" t="n"/>
      <c r="J868" s="17" t="n"/>
      <c r="K868" s="17" t="n"/>
      <c r="L868" s="17" t="n"/>
      <c r="M868" s="17" t="n"/>
      <c r="N868" s="17" t="n"/>
      <c r="O868" s="17" t="n"/>
      <c r="P868" s="18" t="n">
        <v>2496013.47</v>
      </c>
      <c r="Q868" s="17" t="n"/>
      <c r="R868" s="17" t="n"/>
      <c r="S868" s="17" t="n"/>
      <c r="T868" s="188" t="n"/>
    </row>
    <row outlineLevel="0" r="869">
      <c r="A869" s="262" t="n">
        <f aca="false" ca="false" dt2D="false" dtr="false" t="normal">+A868+1</f>
        <v>844</v>
      </c>
      <c r="B869" s="263" t="n">
        <f aca="false" ca="false" dt2D="false" dtr="false" t="normal">+B868+1</f>
        <v>332</v>
      </c>
      <c r="C869" s="263" t="s">
        <v>177</v>
      </c>
      <c r="D869" s="263" t="s">
        <v>744</v>
      </c>
      <c r="E869" s="268" t="n">
        <f aca="false" ca="true" dt2D="false" dtr="false" t="normal">SUBTOTAL(9, F869:T869)</f>
        <v>2568054.24</v>
      </c>
      <c r="F869" s="265" t="n"/>
      <c r="G869" s="265" t="n"/>
      <c r="H869" s="265" t="n"/>
      <c r="I869" s="265" t="n"/>
      <c r="J869" s="265" t="n"/>
      <c r="K869" s="265" t="n"/>
      <c r="L869" s="265" t="n"/>
      <c r="M869" s="265" t="n"/>
      <c r="N869" s="265" t="n"/>
      <c r="O869" s="265" t="n"/>
      <c r="P869" s="267" t="n">
        <v>2568054.24</v>
      </c>
      <c r="Q869" s="265" t="n"/>
      <c r="R869" s="265" t="n"/>
      <c r="S869" s="265" t="n"/>
      <c r="T869" s="271" t="n"/>
    </row>
    <row outlineLevel="0" r="870">
      <c r="A870" s="213" t="n"/>
      <c r="B870" s="213" t="n"/>
      <c r="E870" s="215" t="n"/>
      <c r="F870" s="12" t="n"/>
      <c r="G870" s="22" t="n"/>
      <c r="H870" s="22" t="n"/>
      <c r="I870" s="22" t="n"/>
      <c r="J870" s="22" t="n"/>
      <c r="K870" s="22" t="n"/>
      <c r="L870" s="12" t="n"/>
      <c r="M870" s="22" t="n"/>
      <c r="N870" s="22" t="n"/>
      <c r="O870" s="22" t="n"/>
      <c r="P870" s="22" t="n"/>
      <c r="Q870" s="22" t="n"/>
      <c r="R870" s="353" t="n"/>
      <c r="S870" s="353" t="n"/>
      <c r="T870" s="353" t="n"/>
    </row>
    <row outlineLevel="0" r="871">
      <c r="A871" s="213" t="n"/>
      <c r="B871" s="213" t="n"/>
      <c r="E871" s="215" t="n"/>
      <c r="F871" s="12" t="n"/>
      <c r="G871" s="22" t="n"/>
      <c r="H871" s="22" t="n"/>
      <c r="I871" s="22" t="n"/>
      <c r="J871" s="22" t="n"/>
      <c r="K871" s="22" t="n"/>
      <c r="L871" s="12" t="n"/>
      <c r="M871" s="22" t="n"/>
      <c r="N871" s="22" t="n"/>
      <c r="O871" s="22" t="n"/>
      <c r="P871" s="354" t="n"/>
      <c r="Q871" s="22" t="n"/>
      <c r="R871" s="353" t="n"/>
      <c r="S871" s="353" t="n"/>
      <c r="T871" s="353" t="n"/>
    </row>
    <row outlineLevel="0" r="872">
      <c r="A872" s="213" t="n"/>
      <c r="B872" s="213" t="n"/>
      <c r="E872" s="215" t="n"/>
      <c r="F872" s="12" t="n"/>
      <c r="G872" s="22" t="n"/>
      <c r="H872" s="22" t="n"/>
      <c r="I872" s="22" t="n"/>
      <c r="J872" s="22" t="n"/>
      <c r="K872" s="22" t="n"/>
      <c r="L872" s="12" t="n"/>
      <c r="M872" s="22" t="n"/>
      <c r="N872" s="22" t="n"/>
      <c r="O872" s="22" t="n"/>
      <c r="P872" s="22" t="n"/>
      <c r="Q872" s="22" t="n"/>
      <c r="R872" s="353" t="n"/>
      <c r="S872" s="353" t="n"/>
      <c r="T872" s="353" t="n"/>
    </row>
    <row outlineLevel="0" r="873">
      <c r="A873" s="213" t="n"/>
      <c r="B873" s="213" t="n"/>
      <c r="E873" s="215" t="n"/>
      <c r="F873" s="12" t="n"/>
      <c r="G873" s="22" t="n"/>
      <c r="H873" s="22" t="n"/>
      <c r="I873" s="22" t="n"/>
      <c r="J873" s="22" t="n"/>
      <c r="K873" s="22" t="n"/>
      <c r="L873" s="12" t="n"/>
      <c r="M873" s="22" t="n"/>
      <c r="N873" s="22" t="n"/>
      <c r="O873" s="22" t="n"/>
      <c r="P873" s="22" t="n"/>
      <c r="Q873" s="22" t="n"/>
      <c r="R873" s="353" t="n"/>
      <c r="S873" s="353" t="n"/>
      <c r="T873" s="353" t="n"/>
    </row>
    <row outlineLevel="0" r="874">
      <c r="S874" s="355" t="n"/>
    </row>
    <row outlineLevel="0" r="875">
      <c r="P875" s="12" t="n"/>
    </row>
    <row outlineLevel="0" r="876">
      <c r="E876" s="354" t="n"/>
      <c r="F876" s="354" t="n"/>
      <c r="G876" s="354" t="n"/>
      <c r="H876" s="354" t="n"/>
      <c r="I876" s="354" t="n"/>
      <c r="J876" s="354" t="n"/>
      <c r="K876" s="354" t="n"/>
      <c r="L876" s="354" t="n"/>
      <c r="M876" s="354" t="n"/>
      <c r="N876" s="354" t="n"/>
      <c r="O876" s="354" t="n"/>
      <c r="P876" s="354" t="n"/>
      <c r="Q876" s="354" t="n"/>
      <c r="R876" s="354" t="n"/>
      <c r="S876" s="355" t="n"/>
    </row>
    <row outlineLevel="0" r="877">
      <c r="R877" s="12" t="n"/>
    </row>
    <row outlineLevel="0" r="878">
      <c r="D878" s="202" t="n"/>
      <c r="E878" s="202" t="n"/>
      <c r="F878" s="202" t="n"/>
      <c r="G878" s="202" t="n"/>
      <c r="H878" s="202" t="n"/>
      <c r="I878" s="202" t="n"/>
      <c r="J878" s="202" t="n"/>
      <c r="K878" s="202" t="n"/>
      <c r="L878" s="202" t="n"/>
      <c r="M878" s="202" t="n"/>
      <c r="N878" s="202" t="n"/>
      <c r="O878" s="202" t="n"/>
      <c r="P878" s="3" t="n"/>
      <c r="S878" s="355" t="n"/>
    </row>
    <row outlineLevel="0" r="879">
      <c r="D879" s="356" t="n"/>
      <c r="E879" s="356" t="n"/>
      <c r="F879" s="356" t="n"/>
      <c r="G879" s="356" t="n"/>
      <c r="H879" s="356" t="n"/>
      <c r="I879" s="356" t="n"/>
      <c r="J879" s="356" t="n"/>
      <c r="K879" s="356" t="n"/>
      <c r="L879" s="356" t="n"/>
      <c r="M879" s="356" t="n"/>
      <c r="N879" s="356" t="n"/>
      <c r="O879" s="356" t="n"/>
    </row>
    <row outlineLevel="0" r="880">
      <c r="D880" s="202" t="n"/>
      <c r="E880" s="202" t="n"/>
      <c r="F880" s="202" t="n"/>
      <c r="G880" s="202" t="n"/>
      <c r="H880" s="202" t="n"/>
      <c r="I880" s="202" t="n"/>
      <c r="J880" s="202" t="n"/>
      <c r="K880" s="202" t="n"/>
      <c r="L880" s="202" t="n"/>
      <c r="M880" s="202" t="n"/>
      <c r="N880" s="202" t="n"/>
      <c r="O880" s="202" t="n"/>
    </row>
    <row outlineLevel="0" r="882">
      <c r="J882" s="357" t="n"/>
    </row>
    <row outlineLevel="0" r="884">
      <c r="R884" s="213" t="n"/>
    </row>
    <row outlineLevel="0" r="888">
      <c r="D888" s="275" t="n"/>
    </row>
  </sheetData>
  <autoFilter ref="A10:BN875"/>
  <mergeCells count="16">
    <mergeCell ref="A4:R4"/>
    <mergeCell ref="C7:C10"/>
    <mergeCell ref="B7:B10"/>
    <mergeCell ref="A7:A10"/>
    <mergeCell ref="E7:E9"/>
    <mergeCell ref="F8:L8"/>
    <mergeCell ref="P8:P9"/>
    <mergeCell ref="S8:S9"/>
    <mergeCell ref="D7:D10"/>
    <mergeCell ref="M8:M9"/>
    <mergeCell ref="R8:R9"/>
    <mergeCell ref="T8:T9"/>
    <mergeCell ref="Q8:Q9"/>
    <mergeCell ref="O8:O9"/>
    <mergeCell ref="N8:N9"/>
    <mergeCell ref="F7:T7"/>
  </mergeCells>
  <conditionalFormatting pivot="false" sqref="D822">
    <cfRule aboveAverage="true" bottom="false" dxfId="0" equalAverage="false" percent="false" priority="84" stopIfTrue="false" type="duplicateValues"/>
  </conditionalFormatting>
  <conditionalFormatting pivot="false" sqref="D457 D668 D746 D767:D770">
    <cfRule aboveAverage="true" bottom="false" dxfId="0" equalAverage="false" percent="false" priority="83" stopIfTrue="false" type="duplicateValues"/>
  </conditionalFormatting>
  <conditionalFormatting pivot="false" sqref="D669 D771:D772 D774">
    <cfRule aboveAverage="true" bottom="false" dxfId="0" equalAverage="false" percent="false" priority="82" stopIfTrue="false" type="duplicateValues"/>
  </conditionalFormatting>
  <conditionalFormatting pivot="false" sqref="D370">
    <cfRule aboveAverage="true" bottom="false" dxfId="0" equalAverage="false" percent="false" priority="81" stopIfTrue="false" type="duplicateValues"/>
  </conditionalFormatting>
  <conditionalFormatting pivot="false" sqref="D372 D476">
    <cfRule aboveAverage="true" bottom="false" dxfId="0" equalAverage="false" percent="false" priority="80" stopIfTrue="false" type="duplicateValues"/>
  </conditionalFormatting>
  <conditionalFormatting pivot="false" sqref="D214 D333 D336 D365:D366 D373 D656:D657 D665 D782 D784">
    <cfRule aboveAverage="true" bottom="false" dxfId="0" equalAverage="false" percent="false" priority="79" stopIfTrue="false" type="duplicateValues"/>
  </conditionalFormatting>
  <conditionalFormatting pivot="false" sqref="D342 D345">
    <cfRule aboveAverage="true" bottom="false" dxfId="0" equalAverage="false" percent="false" priority="78" stopIfTrue="false" type="duplicateValues"/>
  </conditionalFormatting>
  <conditionalFormatting pivot="false" sqref="D341">
    <cfRule aboveAverage="true" bottom="false" dxfId="0" equalAverage="false" percent="false" priority="77" stopIfTrue="false" type="duplicateValues"/>
  </conditionalFormatting>
  <conditionalFormatting pivot="false" sqref="D16:D23 D26:D46 D48:D49 D51 D54:D55 D57 D59:D63 D65:D66 D68:D72 D75 D78:D92 D94 D96:D103 D105:D106 D108 D111:D112 D115:D119 D121:D124 D126:D127 D130:D133 D135 D137 D143:D151 D153:D160 D162:D165 D168 D170 D174 D178:D189 D191:D200 D216 D222 D452">
    <cfRule aboveAverage="true" bottom="false" dxfId="0" equalAverage="false" percent="false" priority="76" stopIfTrue="false" type="duplicateValues"/>
  </conditionalFormatting>
  <conditionalFormatting pivot="false" sqref="D674">
    <cfRule aboveAverage="true" bottom="false" dxfId="0" equalAverage="false" percent="false" priority="75" stopIfTrue="false" type="duplicateValues"/>
  </conditionalFormatting>
  <conditionalFormatting pivot="false" sqref="D697 D870 D872:D873">
    <cfRule aboveAverage="true" bottom="false" dxfId="0" equalAverage="false" percent="false" priority="74" stopIfTrue="false" type="duplicateValues"/>
  </conditionalFormatting>
  <conditionalFormatting pivot="false" sqref="D241">
    <cfRule aboveAverage="true" bottom="false" dxfId="0" equalAverage="false" percent="false" priority="73" stopIfTrue="false" type="duplicateValues"/>
  </conditionalFormatting>
  <conditionalFormatting pivot="false" sqref="D777">
    <cfRule aboveAverage="true" bottom="false" dxfId="0" equalAverage="false" percent="false" priority="72" stopIfTrue="false" type="duplicateValues"/>
  </conditionalFormatting>
  <conditionalFormatting pivot="false" sqref="D52">
    <cfRule aboveAverage="true" bottom="false" dxfId="0" equalAverage="false" percent="false" priority="71" stopIfTrue="false" type="duplicateValues"/>
  </conditionalFormatting>
  <conditionalFormatting pivot="false" sqref="D691">
    <cfRule aboveAverage="true" bottom="false" dxfId="0" equalAverage="false" percent="false" priority="70" stopIfTrue="false" type="duplicateValues"/>
  </conditionalFormatting>
  <conditionalFormatting pivot="false" sqref="D692">
    <cfRule aboveAverage="true" bottom="false" dxfId="0" equalAverage="false" percent="false" priority="69" stopIfTrue="false" type="duplicateValues"/>
  </conditionalFormatting>
  <conditionalFormatting pivot="false" sqref="D688">
    <cfRule aboveAverage="true" bottom="false" dxfId="0" equalAverage="false" percent="false" priority="68" stopIfTrue="false" type="duplicateValues"/>
  </conditionalFormatting>
  <conditionalFormatting pivot="false" sqref="D211">
    <cfRule aboveAverage="true" bottom="false" dxfId="0" equalAverage="false" percent="false" priority="67" stopIfTrue="false" type="duplicateValues"/>
  </conditionalFormatting>
  <conditionalFormatting pivot="false" sqref="D229">
    <cfRule aboveAverage="true" bottom="false" dxfId="0" equalAverage="false" percent="false" priority="66" stopIfTrue="false" type="duplicateValues"/>
  </conditionalFormatting>
  <conditionalFormatting pivot="false" sqref="D239">
    <cfRule aboveAverage="true" bottom="false" dxfId="0" equalAverage="false" percent="false" priority="65" stopIfTrue="false" type="duplicateValues"/>
  </conditionalFormatting>
  <conditionalFormatting pivot="false" sqref="D64">
    <cfRule aboveAverage="true" bottom="false" dxfId="0" equalAverage="false" percent="false" priority="64" stopIfTrue="false" type="duplicateValues"/>
  </conditionalFormatting>
  <conditionalFormatting pivot="false" sqref="D104">
    <cfRule aboveAverage="true" bottom="false" dxfId="0" equalAverage="false" percent="false" priority="63" stopIfTrue="false" type="duplicateValues"/>
  </conditionalFormatting>
  <conditionalFormatting pivot="false" sqref="D300">
    <cfRule aboveAverage="true" bottom="false" dxfId="0" equalAverage="false" percent="false" priority="62" stopIfTrue="false" type="duplicateValues"/>
  </conditionalFormatting>
  <conditionalFormatting pivot="false" sqref="D134">
    <cfRule aboveAverage="true" bottom="false" dxfId="0" equalAverage="false" percent="false" priority="61" stopIfTrue="false" type="duplicateValues"/>
  </conditionalFormatting>
  <conditionalFormatting pivot="false" sqref="D136">
    <cfRule aboveAverage="true" bottom="false" dxfId="0" equalAverage="false" percent="false" priority="60" stopIfTrue="false" type="duplicateValues"/>
  </conditionalFormatting>
  <conditionalFormatting pivot="false" sqref="D678">
    <cfRule aboveAverage="true" bottom="false" dxfId="0" equalAverage="false" percent="false" priority="59" stopIfTrue="false" type="duplicateValues"/>
  </conditionalFormatting>
  <conditionalFormatting pivot="false" sqref="D475">
    <cfRule aboveAverage="true" bottom="false" dxfId="0" equalAverage="false" percent="false" priority="58" stopIfTrue="false" type="duplicateValues"/>
  </conditionalFormatting>
  <conditionalFormatting pivot="false" sqref="D367:D369">
    <cfRule aboveAverage="true" bottom="false" dxfId="0" equalAverage="false" percent="false" priority="57" stopIfTrue="false" type="duplicateValues"/>
  </conditionalFormatting>
  <conditionalFormatting pivot="false" sqref="D207">
    <cfRule aboveAverage="true" bottom="false" dxfId="0" equalAverage="false" percent="false" priority="56" stopIfTrue="false" type="duplicateValues"/>
  </conditionalFormatting>
  <conditionalFormatting pivot="false" sqref="D215">
    <cfRule aboveAverage="true" bottom="false" dxfId="0" equalAverage="false" percent="false" priority="55" stopIfTrue="false" type="duplicateValues"/>
  </conditionalFormatting>
  <conditionalFormatting pivot="false" sqref="D245">
    <cfRule aboveAverage="true" bottom="false" dxfId="0" equalAverage="false" percent="false" priority="54" stopIfTrue="false" type="duplicateValues"/>
  </conditionalFormatting>
  <conditionalFormatting pivot="false" sqref="D264">
    <cfRule aboveAverage="true" bottom="false" dxfId="0" equalAverage="false" percent="false" priority="53" stopIfTrue="false" type="duplicateValues"/>
  </conditionalFormatting>
  <conditionalFormatting pivot="false" sqref="D306">
    <cfRule aboveAverage="true" bottom="false" dxfId="0" equalAverage="false" percent="false" priority="52" stopIfTrue="false" type="duplicateValues"/>
  </conditionalFormatting>
  <conditionalFormatting pivot="false" sqref="D432">
    <cfRule aboveAverage="true" bottom="false" dxfId="0" equalAverage="false" percent="false" priority="51" stopIfTrue="false" type="duplicateValues"/>
  </conditionalFormatting>
  <conditionalFormatting pivot="false" sqref="D330:D331">
    <cfRule aboveAverage="true" bottom="false" dxfId="0" equalAverage="false" percent="false" priority="50" stopIfTrue="false" type="duplicateValues"/>
  </conditionalFormatting>
  <conditionalFormatting pivot="false" sqref="D352">
    <cfRule aboveAverage="true" bottom="false" dxfId="0" equalAverage="false" percent="false" priority="49" stopIfTrue="false" type="duplicateValues"/>
  </conditionalFormatting>
  <conditionalFormatting pivot="false" sqref="D243">
    <cfRule aboveAverage="true" bottom="false" dxfId="0" equalAverage="false" percent="false" priority="48" stopIfTrue="false" type="duplicateValues"/>
  </conditionalFormatting>
  <conditionalFormatting pivot="false" sqref="D267">
    <cfRule aboveAverage="true" bottom="false" dxfId="0" equalAverage="false" percent="false" priority="47" stopIfTrue="false" type="duplicateValues"/>
  </conditionalFormatting>
  <conditionalFormatting pivot="false" sqref="D280">
    <cfRule aboveAverage="true" bottom="false" dxfId="0" equalAverage="false" percent="false" priority="46" stopIfTrue="false" type="duplicateValues"/>
  </conditionalFormatting>
  <conditionalFormatting pivot="false" sqref="D292">
    <cfRule aboveAverage="true" bottom="false" dxfId="0" equalAverage="false" percent="false" priority="45" stopIfTrue="false" type="duplicateValues"/>
  </conditionalFormatting>
  <conditionalFormatting pivot="false" sqref="D312">
    <cfRule aboveAverage="true" bottom="false" dxfId="0" equalAverage="false" percent="false" priority="44" stopIfTrue="false" type="duplicateValues"/>
  </conditionalFormatting>
  <conditionalFormatting pivot="false" sqref="D451">
    <cfRule aboveAverage="true" bottom="false" dxfId="0" equalAverage="false" percent="false" priority="43" stopIfTrue="false" type="duplicateValues"/>
  </conditionalFormatting>
  <conditionalFormatting pivot="false" sqref="D173">
    <cfRule aboveAverage="true" bottom="false" dxfId="0" equalAverage="false" percent="false" priority="42" stopIfTrue="false" type="duplicateValues"/>
  </conditionalFormatting>
  <conditionalFormatting pivot="false" sqref="D47">
    <cfRule aboveAverage="true" bottom="false" dxfId="0" equalAverage="false" percent="false" priority="41" stopIfTrue="false" type="duplicateValues"/>
  </conditionalFormatting>
  <conditionalFormatting pivot="false" sqref="D240">
    <cfRule aboveAverage="true" bottom="false" dxfId="0" equalAverage="false" percent="false" priority="40" stopIfTrue="false" type="duplicateValues"/>
  </conditionalFormatting>
  <conditionalFormatting pivot="false" sqref="D334">
    <cfRule aboveAverage="true" bottom="false" dxfId="0" equalAverage="false" percent="false" priority="39" stopIfTrue="false" type="duplicateValues"/>
  </conditionalFormatting>
  <conditionalFormatting pivot="false" sqref="D384">
    <cfRule aboveAverage="true" bottom="false" dxfId="0" equalAverage="false" percent="false" priority="38" stopIfTrue="false" type="duplicateValues"/>
  </conditionalFormatting>
  <conditionalFormatting pivot="false" sqref="D218">
    <cfRule aboveAverage="true" bottom="false" dxfId="0" equalAverage="false" percent="false" priority="37" stopIfTrue="false" type="duplicateValues"/>
  </conditionalFormatting>
  <conditionalFormatting pivot="false" sqref="D219">
    <cfRule aboveAverage="true" bottom="false" dxfId="0" equalAverage="false" percent="false" priority="36" stopIfTrue="false" type="duplicateValues"/>
  </conditionalFormatting>
  <conditionalFormatting pivot="false" sqref="D242">
    <cfRule aboveAverage="true" bottom="false" dxfId="0" equalAverage="false" percent="false" priority="35" stopIfTrue="false" type="duplicateValues"/>
  </conditionalFormatting>
  <conditionalFormatting pivot="false" sqref="D246">
    <cfRule aboveAverage="true" bottom="false" dxfId="0" equalAverage="false" percent="false" priority="34" stopIfTrue="false" type="duplicateValues"/>
  </conditionalFormatting>
  <conditionalFormatting pivot="false" sqref="D277">
    <cfRule aboveAverage="true" bottom="false" dxfId="0" equalAverage="false" percent="false" priority="33" stopIfTrue="false" type="duplicateValues"/>
  </conditionalFormatting>
  <conditionalFormatting pivot="false" sqref="D316:D317">
    <cfRule aboveAverage="true" bottom="false" dxfId="0" equalAverage="false" percent="false" priority="32" stopIfTrue="false" type="duplicateValues"/>
  </conditionalFormatting>
  <conditionalFormatting pivot="false" sqref="D371">
    <cfRule aboveAverage="true" bottom="false" dxfId="0" equalAverage="false" percent="false" priority="31" stopIfTrue="false" type="duplicateValues"/>
  </conditionalFormatting>
  <conditionalFormatting pivot="false" sqref="D217">
    <cfRule aboveAverage="true" bottom="false" dxfId="0" equalAverage="false" percent="false" priority="30" stopIfTrue="false" type="duplicateValues"/>
  </conditionalFormatting>
  <conditionalFormatting pivot="false" sqref="D380">
    <cfRule aboveAverage="true" bottom="false" dxfId="0" equalAverage="false" percent="false" priority="29" stopIfTrue="false" type="duplicateValues"/>
  </conditionalFormatting>
  <conditionalFormatting pivot="false" sqref="D238">
    <cfRule aboveAverage="true" bottom="false" dxfId="0" equalAverage="false" percent="false" priority="28" stopIfTrue="false" type="duplicateValues"/>
  </conditionalFormatting>
  <conditionalFormatting pivot="false" sqref="D417">
    <cfRule aboveAverage="true" bottom="false" dxfId="0" equalAverage="false" percent="false" priority="27" stopIfTrue="false" type="duplicateValues"/>
  </conditionalFormatting>
  <conditionalFormatting pivot="false" sqref="D304">
    <cfRule aboveAverage="true" bottom="false" dxfId="0" equalAverage="false" percent="false" priority="26" stopIfTrue="false" type="duplicateValues"/>
  </conditionalFormatting>
  <conditionalFormatting pivot="false" sqref="D344">
    <cfRule aboveAverage="true" bottom="false" dxfId="0" equalAverage="false" percent="false" priority="25" stopIfTrue="false" type="duplicateValues"/>
  </conditionalFormatting>
  <conditionalFormatting pivot="false" sqref="D658">
    <cfRule aboveAverage="true" bottom="false" dxfId="0" equalAverage="false" percent="false" priority="24" stopIfTrue="false" type="duplicateValues"/>
  </conditionalFormatting>
  <conditionalFormatting pivot="false" sqref="D467">
    <cfRule aboveAverage="true" bottom="false" dxfId="0" equalAverage="false" percent="false" priority="23" stopIfTrue="false" type="duplicateValues"/>
  </conditionalFormatting>
  <conditionalFormatting pivot="false" sqref="D468">
    <cfRule aboveAverage="true" bottom="false" dxfId="0" equalAverage="false" percent="false" priority="22" stopIfTrue="false" type="duplicateValues"/>
  </conditionalFormatting>
  <conditionalFormatting pivot="false" sqref="D364">
    <cfRule aboveAverage="true" bottom="false" dxfId="0" equalAverage="false" percent="false" priority="21" stopIfTrue="false" type="duplicateValues"/>
  </conditionalFormatting>
  <conditionalFormatting pivot="false" sqref="D667">
    <cfRule aboveAverage="true" bottom="false" dxfId="0" equalAverage="false" percent="false" priority="20" stopIfTrue="false" type="duplicateValues"/>
  </conditionalFormatting>
  <conditionalFormatting pivot="false" sqref="D401">
    <cfRule aboveAverage="true" bottom="false" dxfId="0" equalAverage="false" percent="false" priority="19" stopIfTrue="false" type="duplicateValues"/>
  </conditionalFormatting>
  <conditionalFormatting pivot="false" sqref="D419">
    <cfRule aboveAverage="true" bottom="false" dxfId="0" equalAverage="false" percent="false" priority="18" stopIfTrue="false" type="duplicateValues"/>
  </conditionalFormatting>
  <conditionalFormatting pivot="false" sqref="D651">
    <cfRule aboveAverage="true" bottom="false" dxfId="0" equalAverage="false" percent="false" priority="17" stopIfTrue="false" type="duplicateValues"/>
  </conditionalFormatting>
  <conditionalFormatting pivot="false" sqref="D378">
    <cfRule aboveAverage="true" bottom="false" dxfId="0" equalAverage="false" percent="false" priority="16" stopIfTrue="false" type="duplicateValues"/>
  </conditionalFormatting>
  <conditionalFormatting pivot="false" sqref="D247">
    <cfRule aboveAverage="true" bottom="false" dxfId="0" equalAverage="false" percent="false" priority="15" stopIfTrue="false" type="duplicateValues"/>
  </conditionalFormatting>
  <conditionalFormatting pivot="false" sqref="D541">
    <cfRule aboveAverage="true" bottom="false" dxfId="0" equalAverage="false" percent="false" priority="14" stopIfTrue="false" type="duplicateValues"/>
  </conditionalFormatting>
  <conditionalFormatting pivot="false" sqref="D410">
    <cfRule aboveAverage="true" bottom="false" dxfId="0" equalAverage="false" percent="false" priority="13" stopIfTrue="false" type="duplicateValues"/>
  </conditionalFormatting>
  <conditionalFormatting pivot="false" sqref="D454">
    <cfRule aboveAverage="true" bottom="false" dxfId="0" equalAverage="false" percent="false" priority="12" stopIfTrue="false" type="duplicateValues"/>
  </conditionalFormatting>
  <conditionalFormatting pivot="false" sqref="D463">
    <cfRule aboveAverage="true" bottom="false" dxfId="0" equalAverage="false" percent="false" priority="11" stopIfTrue="false" type="duplicateValues"/>
  </conditionalFormatting>
  <conditionalFormatting pivot="false" sqref="D375">
    <cfRule aboveAverage="true" bottom="false" dxfId="0" equalAverage="false" percent="false" priority="10" stopIfTrue="false" type="duplicateValues"/>
  </conditionalFormatting>
  <conditionalFormatting pivot="false" sqref="D374">
    <cfRule aboveAverage="true" bottom="false" dxfId="0" equalAverage="false" percent="false" priority="9" stopIfTrue="false" type="duplicateValues"/>
  </conditionalFormatting>
  <conditionalFormatting pivot="false" sqref="D429">
    <cfRule aboveAverage="true" bottom="false" dxfId="0" equalAverage="false" percent="false" priority="8" stopIfTrue="false" type="duplicateValues"/>
  </conditionalFormatting>
  <conditionalFormatting pivot="false" sqref="D871">
    <cfRule aboveAverage="true" bottom="false" dxfId="0" equalAverage="false" percent="false" priority="7" stopIfTrue="false" type="duplicateValues"/>
  </conditionalFormatting>
  <conditionalFormatting pivot="false" sqref="D823">
    <cfRule aboveAverage="true" bottom="false" dxfId="0" equalAverage="false" percent="false" priority="6" stopIfTrue="false" type="duplicateValues"/>
  </conditionalFormatting>
  <conditionalFormatting pivot="false" sqref="D703">
    <cfRule aboveAverage="true" bottom="false" dxfId="0" equalAverage="false" percent="false" priority="5" stopIfTrue="false" type="duplicateValues"/>
  </conditionalFormatting>
  <conditionalFormatting pivot="false" sqref="D824">
    <cfRule aboveAverage="true" bottom="false" dxfId="0" equalAverage="false" percent="false" priority="4" stopIfTrue="false" type="duplicateValues"/>
  </conditionalFormatting>
  <conditionalFormatting pivot="false" sqref="D729">
    <cfRule aboveAverage="true" bottom="false" dxfId="0" equalAverage="false" percent="false" priority="3" stopIfTrue="false" type="duplicateValues"/>
  </conditionalFormatting>
  <conditionalFormatting pivot="false" sqref="D747">
    <cfRule aboveAverage="true" bottom="false" dxfId="0" equalAverage="false" percent="false" priority="2" stopIfTrue="false" type="duplicateValues"/>
  </conditionalFormatting>
  <conditionalFormatting pivot="false" sqref="D745">
    <cfRule aboveAverage="true" bottom="false" dxfId="0" equalAverage="false" percent="false" priority="1" stopIfTrue="false" type="duplicateValues"/>
  </conditionalFormatting>
  <pageMargins bottom="0.748031497001648" footer="0.31496062874794" header="0.31496062874794" left="0.236220464110374" right="0.236220464110374" top="0.748031497001648"/>
  <pageSetup fitToHeight="0" fitToWidth="1" orientation="landscape" paperHeight="420mm" paperSize="8" paperWidth="297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C41"/>
  <sheetViews>
    <sheetView showZeros="true" workbookViewId="0"/>
  </sheetViews>
  <sheetFormatPr baseColWidth="8" customHeight="false" defaultColWidth="9.14062530925693" defaultRowHeight="15" zeroHeight="false"/>
  <cols>
    <col customWidth="true" max="3" min="3" outlineLevel="0" width="110.855470335272"/>
  </cols>
  <sheetData>
    <row outlineLevel="0" r="3">
      <c r="C3" s="358" t="s">
        <v>147</v>
      </c>
    </row>
    <row outlineLevel="0" r="4">
      <c r="C4" s="358" t="s">
        <v>80</v>
      </c>
    </row>
    <row outlineLevel="0" r="5">
      <c r="C5" s="358" t="s">
        <v>88</v>
      </c>
    </row>
    <row outlineLevel="0" r="6">
      <c r="C6" s="358" t="s">
        <v>97</v>
      </c>
    </row>
    <row outlineLevel="0" r="7">
      <c r="C7" s="358" t="s">
        <v>104</v>
      </c>
    </row>
    <row outlineLevel="0" r="8">
      <c r="C8" s="358" t="s">
        <v>110</v>
      </c>
    </row>
    <row outlineLevel="0" r="9">
      <c r="C9" s="358" t="s">
        <v>177</v>
      </c>
    </row>
    <row outlineLevel="0" r="10">
      <c r="C10" s="358" t="s">
        <v>331</v>
      </c>
    </row>
    <row outlineLevel="0" r="11">
      <c r="C11" s="358" t="s">
        <v>42</v>
      </c>
    </row>
    <row outlineLevel="0" r="12">
      <c r="C12" s="358" t="s">
        <v>68</v>
      </c>
    </row>
    <row outlineLevel="0" r="13">
      <c r="C13" s="358" t="s">
        <v>82</v>
      </c>
    </row>
    <row outlineLevel="0" r="14">
      <c r="C14" s="358" t="s">
        <v>350</v>
      </c>
    </row>
    <row outlineLevel="0" r="15">
      <c r="C15" s="358" t="s">
        <v>90</v>
      </c>
    </row>
    <row outlineLevel="0" r="16">
      <c r="C16" s="358" t="s">
        <v>356</v>
      </c>
    </row>
    <row outlineLevel="0" r="17">
      <c r="C17" s="358" t="s">
        <v>93</v>
      </c>
    </row>
    <row outlineLevel="0" r="18">
      <c r="C18" s="358" t="s">
        <v>114</v>
      </c>
    </row>
    <row outlineLevel="0" r="19">
      <c r="C19" s="358" t="s">
        <v>397</v>
      </c>
    </row>
    <row outlineLevel="0" r="20">
      <c r="C20" s="358" t="s">
        <v>119</v>
      </c>
    </row>
    <row outlineLevel="0" r="21">
      <c r="C21" s="358" t="s">
        <v>403</v>
      </c>
    </row>
    <row outlineLevel="0" r="22">
      <c r="C22" s="358" t="s">
        <v>405</v>
      </c>
    </row>
    <row outlineLevel="0" r="23">
      <c r="C23" s="358" t="s">
        <v>751</v>
      </c>
    </row>
    <row outlineLevel="0" r="24">
      <c r="C24" s="358" t="s">
        <v>138</v>
      </c>
    </row>
    <row outlineLevel="0" r="25">
      <c r="C25" s="358" t="s">
        <v>141</v>
      </c>
    </row>
    <row outlineLevel="0" r="26">
      <c r="C26" s="358" t="s">
        <v>454</v>
      </c>
    </row>
    <row outlineLevel="0" r="27">
      <c r="C27" s="358" t="s">
        <v>761</v>
      </c>
    </row>
    <row outlineLevel="0" r="28">
      <c r="C28" s="358" t="s">
        <v>533</v>
      </c>
    </row>
    <row outlineLevel="0" r="29">
      <c r="C29" s="358" t="s">
        <v>133</v>
      </c>
    </row>
    <row outlineLevel="0" r="30">
      <c r="C30" s="358" t="s">
        <v>552</v>
      </c>
    </row>
    <row outlineLevel="0" r="31">
      <c r="C31" s="358" t="s">
        <v>549</v>
      </c>
    </row>
    <row outlineLevel="0" r="32">
      <c r="C32" s="358" t="s">
        <v>759</v>
      </c>
    </row>
    <row outlineLevel="0" r="33">
      <c r="C33" s="358" t="s">
        <v>711</v>
      </c>
    </row>
    <row outlineLevel="0" r="34">
      <c r="C34" s="358" t="s">
        <v>760</v>
      </c>
    </row>
    <row outlineLevel="0" r="35">
      <c r="C35" s="358" t="s">
        <v>0</v>
      </c>
    </row>
    <row outlineLevel="0" r="36">
      <c r="C36" s="358" t="s">
        <v>467</v>
      </c>
    </row>
    <row outlineLevel="0" r="37">
      <c r="C37" s="358" t="s">
        <v>663</v>
      </c>
    </row>
    <row outlineLevel="0" r="38">
      <c r="C38" s="358" t="s">
        <v>541</v>
      </c>
    </row>
    <row outlineLevel="0" r="39">
      <c r="C39" s="358" t="s">
        <v>652</v>
      </c>
    </row>
    <row outlineLevel="0" r="40">
      <c r="C40" s="358" t="s">
        <v>667</v>
      </c>
    </row>
    <row outlineLevel="0" r="41">
      <c r="C41" s="358" t="s">
        <v>566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2025-07-28T08:36:34Z</dcterms:created>
  <dcterms:modified xsi:type="dcterms:W3CDTF">2025-07-28T08:36:34Z</dcterms:modified>
</cp:coreProperties>
</file>