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krserver2\ОАП\Утвержденный КПКР\5. Приказ №405ОД от 31.08.2022 (с периодом 2022-2024)\17. Приказ МЖКХ 314-ОД от 15.08.2025г. 2022-2024гг\"/>
    </mc:Choice>
  </mc:AlternateContent>
  <bookViews>
    <workbookView xWindow="0" yWindow="0" windowWidth="28770" windowHeight="10260"/>
  </bookViews>
  <sheets>
    <sheet name="Приложение №1" sheetId="1" r:id="rId1"/>
    <sheet name="Приложение №2" sheetId="2" r:id="rId2"/>
    <sheet name="Лист1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'Приложение №1'!$A$12:$AJ$865</definedName>
    <definedName name="_xlnm._FilterDatabase" localSheetId="1" hidden="1">'Приложение №2'!$A$10:$BN$865</definedName>
    <definedName name="_xlnm.Print_Area" localSheetId="0">'Приложение №1'!$A$1:$AJ$699</definedName>
    <definedName name="_xlnm.Print_Area" localSheetId="1">'Приложение №2'!$A$1:$R$697</definedName>
  </definedNames>
  <calcPr calcId="162913"/>
</workbook>
</file>

<file path=xl/calcChain.xml><?xml version="1.0" encoding="utf-8"?>
<calcChain xmlns="http://schemas.openxmlformats.org/spreadsheetml/2006/main">
  <c r="E859" i="2" l="1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T833" i="2"/>
  <c r="S833" i="2"/>
  <c r="R833" i="2"/>
  <c r="Q833" i="2"/>
  <c r="P833" i="2"/>
  <c r="O833" i="2"/>
  <c r="N833" i="2"/>
  <c r="M833" i="2"/>
  <c r="L833" i="2"/>
  <c r="K833" i="2"/>
  <c r="J833" i="2"/>
  <c r="I833" i="2"/>
  <c r="H833" i="2"/>
  <c r="G833" i="2"/>
  <c r="F833" i="2"/>
  <c r="E832" i="2"/>
  <c r="AL834" i="1" s="1"/>
  <c r="E831" i="2"/>
  <c r="AL833" i="1" s="1"/>
  <c r="E830" i="2"/>
  <c r="AL832" i="1" s="1"/>
  <c r="E829" i="2"/>
  <c r="AL831" i="1" s="1"/>
  <c r="V828" i="2"/>
  <c r="E828" i="2"/>
  <c r="AL830" i="1" s="1"/>
  <c r="V827" i="2"/>
  <c r="E827" i="2"/>
  <c r="AL829" i="1" s="1"/>
  <c r="V826" i="2"/>
  <c r="E826" i="2"/>
  <c r="AL828" i="1" s="1"/>
  <c r="V825" i="2"/>
  <c r="E825" i="2"/>
  <c r="AL827" i="1" s="1"/>
  <c r="E824" i="2"/>
  <c r="AL826" i="1" s="1"/>
  <c r="V823" i="2"/>
  <c r="E823" i="2"/>
  <c r="AL825" i="1" s="1"/>
  <c r="V822" i="2"/>
  <c r="E822" i="2"/>
  <c r="AL824" i="1" s="1"/>
  <c r="V821" i="2"/>
  <c r="E821" i="2"/>
  <c r="AL823" i="1" s="1"/>
  <c r="V820" i="2"/>
  <c r="E820" i="2"/>
  <c r="AL822" i="1" s="1"/>
  <c r="V819" i="2"/>
  <c r="E819" i="2"/>
  <c r="AL821" i="1" s="1"/>
  <c r="V818" i="2"/>
  <c r="E818" i="2"/>
  <c r="AL820" i="1" s="1"/>
  <c r="E817" i="2"/>
  <c r="AL819" i="1" s="1"/>
  <c r="V816" i="2"/>
  <c r="E816" i="2"/>
  <c r="AL818" i="1" s="1"/>
  <c r="V815" i="2"/>
  <c r="E815" i="2"/>
  <c r="AL817" i="1" s="1"/>
  <c r="E814" i="2"/>
  <c r="AL816" i="1" s="1"/>
  <c r="T813" i="2"/>
  <c r="S813" i="2"/>
  <c r="R813" i="2"/>
  <c r="Q813" i="2"/>
  <c r="P813" i="2"/>
  <c r="O813" i="2"/>
  <c r="N813" i="2"/>
  <c r="M813" i="2"/>
  <c r="L813" i="2"/>
  <c r="K813" i="2"/>
  <c r="J813" i="2"/>
  <c r="I813" i="2"/>
  <c r="H813" i="2"/>
  <c r="G813" i="2"/>
  <c r="F813" i="2"/>
  <c r="V812" i="2"/>
  <c r="E812" i="2"/>
  <c r="AL814" i="1" s="1"/>
  <c r="V811" i="2"/>
  <c r="E811" i="2"/>
  <c r="AL813" i="1" s="1"/>
  <c r="V810" i="2"/>
  <c r="E810" i="2"/>
  <c r="AL812" i="1" s="1"/>
  <c r="V809" i="2"/>
  <c r="E809" i="2"/>
  <c r="AL811" i="1" s="1"/>
  <c r="V808" i="2"/>
  <c r="E808" i="2"/>
  <c r="AL810" i="1" s="1"/>
  <c r="V807" i="2"/>
  <c r="E807" i="2"/>
  <c r="AL809" i="1" s="1"/>
  <c r="V806" i="2"/>
  <c r="E806" i="2"/>
  <c r="AL808" i="1" s="1"/>
  <c r="V805" i="2"/>
  <c r="E805" i="2"/>
  <c r="AL807" i="1" s="1"/>
  <c r="V804" i="2"/>
  <c r="E804" i="2"/>
  <c r="AL806" i="1" s="1"/>
  <c r="V803" i="2"/>
  <c r="E803" i="2"/>
  <c r="AL805" i="1" s="1"/>
  <c r="V802" i="2"/>
  <c r="E802" i="2"/>
  <c r="AL804" i="1" s="1"/>
  <c r="V801" i="2"/>
  <c r="E801" i="2"/>
  <c r="AL803" i="1" s="1"/>
  <c r="V800" i="2"/>
  <c r="E800" i="2"/>
  <c r="AL802" i="1" s="1"/>
  <c r="V799" i="2"/>
  <c r="E799" i="2"/>
  <c r="AL801" i="1" s="1"/>
  <c r="V798" i="2"/>
  <c r="E798" i="2"/>
  <c r="AL800" i="1" s="1"/>
  <c r="V797" i="2"/>
  <c r="E797" i="2"/>
  <c r="AL799" i="1" s="1"/>
  <c r="V796" i="2"/>
  <c r="E796" i="2"/>
  <c r="AL798" i="1" s="1"/>
  <c r="V795" i="2"/>
  <c r="E795" i="2"/>
  <c r="AL797" i="1" s="1"/>
  <c r="V794" i="2"/>
  <c r="E794" i="2"/>
  <c r="AL796" i="1" s="1"/>
  <c r="V793" i="2"/>
  <c r="E793" i="2"/>
  <c r="AL795" i="1" s="1"/>
  <c r="V792" i="2"/>
  <c r="E792" i="2"/>
  <c r="AL794" i="1" s="1"/>
  <c r="V791" i="2"/>
  <c r="E791" i="2"/>
  <c r="AL793" i="1" s="1"/>
  <c r="V790" i="2"/>
  <c r="E790" i="2"/>
  <c r="AL792" i="1" s="1"/>
  <c r="V789" i="2"/>
  <c r="E789" i="2"/>
  <c r="AL791" i="1" s="1"/>
  <c r="V788" i="2"/>
  <c r="E788" i="2"/>
  <c r="AL790" i="1" s="1"/>
  <c r="V787" i="2"/>
  <c r="E787" i="2"/>
  <c r="AL789" i="1" s="1"/>
  <c r="V786" i="2"/>
  <c r="E786" i="2"/>
  <c r="AL788" i="1" s="1"/>
  <c r="V785" i="2"/>
  <c r="E785" i="2"/>
  <c r="AL787" i="1" s="1"/>
  <c r="V784" i="2"/>
  <c r="E784" i="2"/>
  <c r="AL786" i="1" s="1"/>
  <c r="V783" i="2"/>
  <c r="E783" i="2"/>
  <c r="AL785" i="1" s="1"/>
  <c r="V782" i="2"/>
  <c r="E782" i="2"/>
  <c r="AL784" i="1" s="1"/>
  <c r="V781" i="2"/>
  <c r="E781" i="2"/>
  <c r="AL783" i="1" s="1"/>
  <c r="V780" i="2"/>
  <c r="E780" i="2"/>
  <c r="AL782" i="1" s="1"/>
  <c r="V779" i="2"/>
  <c r="E779" i="2"/>
  <c r="AL781" i="1" s="1"/>
  <c r="V778" i="2"/>
  <c r="E778" i="2"/>
  <c r="AL780" i="1" s="1"/>
  <c r="V777" i="2"/>
  <c r="E777" i="2"/>
  <c r="AL779" i="1" s="1"/>
  <c r="V776" i="2"/>
  <c r="E776" i="2"/>
  <c r="AL778" i="1" s="1"/>
  <c r="V775" i="2"/>
  <c r="E775" i="2"/>
  <c r="AL777" i="1" s="1"/>
  <c r="V774" i="2"/>
  <c r="E774" i="2"/>
  <c r="AL776" i="1" s="1"/>
  <c r="V773" i="2"/>
  <c r="E773" i="2"/>
  <c r="AL775" i="1" s="1"/>
  <c r="V772" i="2"/>
  <c r="E772" i="2"/>
  <c r="AL774" i="1" s="1"/>
  <c r="V771" i="2"/>
  <c r="E771" i="2"/>
  <c r="AL773" i="1" s="1"/>
  <c r="V770" i="2"/>
  <c r="E770" i="2"/>
  <c r="AL772" i="1" s="1"/>
  <c r="V769" i="2"/>
  <c r="E769" i="2"/>
  <c r="AL771" i="1" s="1"/>
  <c r="V768" i="2"/>
  <c r="E768" i="2"/>
  <c r="AL770" i="1" s="1"/>
  <c r="V767" i="2"/>
  <c r="E767" i="2"/>
  <c r="AL769" i="1" s="1"/>
  <c r="V766" i="2"/>
  <c r="E766" i="2"/>
  <c r="AL768" i="1" s="1"/>
  <c r="V765" i="2"/>
  <c r="E765" i="2"/>
  <c r="AL767" i="1" s="1"/>
  <c r="V764" i="2"/>
  <c r="E764" i="2"/>
  <c r="AL766" i="1" s="1"/>
  <c r="V763" i="2"/>
  <c r="E763" i="2"/>
  <c r="AL765" i="1" s="1"/>
  <c r="V762" i="2"/>
  <c r="E762" i="2"/>
  <c r="AL764" i="1" s="1"/>
  <c r="V761" i="2"/>
  <c r="E761" i="2"/>
  <c r="AL763" i="1" s="1"/>
  <c r="V760" i="2"/>
  <c r="E760" i="2"/>
  <c r="AL762" i="1" s="1"/>
  <c r="V759" i="2"/>
  <c r="E759" i="2"/>
  <c r="AL761" i="1" s="1"/>
  <c r="V758" i="2"/>
  <c r="E758" i="2"/>
  <c r="AL760" i="1" s="1"/>
  <c r="V757" i="2"/>
  <c r="E757" i="2"/>
  <c r="AL759" i="1" s="1"/>
  <c r="V756" i="2"/>
  <c r="E756" i="2"/>
  <c r="AL758" i="1" s="1"/>
  <c r="V755" i="2"/>
  <c r="E755" i="2"/>
  <c r="AL757" i="1" s="1"/>
  <c r="V754" i="2"/>
  <c r="E754" i="2"/>
  <c r="AL756" i="1" s="1"/>
  <c r="V753" i="2"/>
  <c r="E753" i="2"/>
  <c r="AL755" i="1" s="1"/>
  <c r="V752" i="2"/>
  <c r="E752" i="2"/>
  <c r="V751" i="2"/>
  <c r="E751" i="2"/>
  <c r="AL753" i="1" s="1"/>
  <c r="V750" i="2"/>
  <c r="E750" i="2"/>
  <c r="AL752" i="1" s="1"/>
  <c r="V749" i="2"/>
  <c r="E749" i="2"/>
  <c r="AL751" i="1" s="1"/>
  <c r="V748" i="2"/>
  <c r="E748" i="2"/>
  <c r="AL750" i="1" s="1"/>
  <c r="V747" i="2"/>
  <c r="E747" i="2"/>
  <c r="AL749" i="1" s="1"/>
  <c r="V746" i="2"/>
  <c r="E746" i="2"/>
  <c r="AL748" i="1" s="1"/>
  <c r="V745" i="2"/>
  <c r="E745" i="2"/>
  <c r="AL747" i="1" s="1"/>
  <c r="V744" i="2"/>
  <c r="E744" i="2"/>
  <c r="AL746" i="1" s="1"/>
  <c r="V743" i="2"/>
  <c r="E743" i="2"/>
  <c r="AL745" i="1" s="1"/>
  <c r="V742" i="2"/>
  <c r="E742" i="2"/>
  <c r="AL744" i="1" s="1"/>
  <c r="V741" i="2"/>
  <c r="E741" i="2"/>
  <c r="AL743" i="1" s="1"/>
  <c r="V740" i="2"/>
  <c r="E740" i="2"/>
  <c r="AL742" i="1" s="1"/>
  <c r="V739" i="2"/>
  <c r="E739" i="2"/>
  <c r="AL741" i="1" s="1"/>
  <c r="V738" i="2"/>
  <c r="E738" i="2"/>
  <c r="AL740" i="1" s="1"/>
  <c r="V737" i="2"/>
  <c r="E737" i="2"/>
  <c r="AL739" i="1" s="1"/>
  <c r="V736" i="2"/>
  <c r="E736" i="2"/>
  <c r="AL738" i="1" s="1"/>
  <c r="V735" i="2"/>
  <c r="E735" i="2"/>
  <c r="AL737" i="1" s="1"/>
  <c r="V734" i="2"/>
  <c r="E734" i="2"/>
  <c r="AL736" i="1" s="1"/>
  <c r="V733" i="2"/>
  <c r="E733" i="2"/>
  <c r="AL735" i="1" s="1"/>
  <c r="V732" i="2"/>
  <c r="E732" i="2"/>
  <c r="AL734" i="1" s="1"/>
  <c r="V731" i="2"/>
  <c r="E731" i="2"/>
  <c r="AL733" i="1" s="1"/>
  <c r="V730" i="2"/>
  <c r="E730" i="2"/>
  <c r="AL732" i="1" s="1"/>
  <c r="V729" i="2"/>
  <c r="E729" i="2"/>
  <c r="AL731" i="1" s="1"/>
  <c r="V728" i="2"/>
  <c r="E728" i="2"/>
  <c r="AL730" i="1" s="1"/>
  <c r="V727" i="2"/>
  <c r="E727" i="2"/>
  <c r="AL729" i="1" s="1"/>
  <c r="V726" i="2"/>
  <c r="E726" i="2"/>
  <c r="AL728" i="1" s="1"/>
  <c r="V725" i="2"/>
  <c r="E725" i="2"/>
  <c r="AL727" i="1" s="1"/>
  <c r="V724" i="2"/>
  <c r="E724" i="2"/>
  <c r="AL726" i="1" s="1"/>
  <c r="V723" i="2"/>
  <c r="E723" i="2"/>
  <c r="AL725" i="1" s="1"/>
  <c r="V722" i="2"/>
  <c r="E722" i="2"/>
  <c r="AL724" i="1" s="1"/>
  <c r="V721" i="2"/>
  <c r="E721" i="2"/>
  <c r="AL723" i="1" s="1"/>
  <c r="V720" i="2"/>
  <c r="E720" i="2"/>
  <c r="AL722" i="1" s="1"/>
  <c r="V719" i="2"/>
  <c r="E719" i="2"/>
  <c r="AL721" i="1" s="1"/>
  <c r="V718" i="2"/>
  <c r="E718" i="2"/>
  <c r="AL720" i="1" s="1"/>
  <c r="V717" i="2"/>
  <c r="E717" i="2"/>
  <c r="AL719" i="1" s="1"/>
  <c r="V716" i="2"/>
  <c r="E716" i="2"/>
  <c r="V715" i="2"/>
  <c r="E715" i="2"/>
  <c r="AL717" i="1" s="1"/>
  <c r="V714" i="2"/>
  <c r="E714" i="2"/>
  <c r="AL716" i="1" s="1"/>
  <c r="V713" i="2"/>
  <c r="E713" i="2"/>
  <c r="AL715" i="1" s="1"/>
  <c r="V712" i="2"/>
  <c r="E712" i="2"/>
  <c r="AL714" i="1" s="1"/>
  <c r="V711" i="2"/>
  <c r="E711" i="2"/>
  <c r="AL713" i="1" s="1"/>
  <c r="V710" i="2"/>
  <c r="E710" i="2"/>
  <c r="AL712" i="1" s="1"/>
  <c r="V709" i="2"/>
  <c r="E709" i="2"/>
  <c r="AL711" i="1" s="1"/>
  <c r="V708" i="2"/>
  <c r="E708" i="2"/>
  <c r="AL710" i="1" s="1"/>
  <c r="V707" i="2"/>
  <c r="E707" i="2"/>
  <c r="AL709" i="1" s="1"/>
  <c r="V706" i="2"/>
  <c r="E706" i="2"/>
  <c r="AL708" i="1" s="1"/>
  <c r="V705" i="2"/>
  <c r="E705" i="2"/>
  <c r="AL707" i="1" s="1"/>
  <c r="V704" i="2"/>
  <c r="E704" i="2"/>
  <c r="AL706" i="1" s="1"/>
  <c r="T703" i="2"/>
  <c r="S703" i="2"/>
  <c r="R703" i="2"/>
  <c r="Q703" i="2"/>
  <c r="P703" i="2"/>
  <c r="O703" i="2"/>
  <c r="N703" i="2"/>
  <c r="M703" i="2"/>
  <c r="L703" i="2"/>
  <c r="K703" i="2"/>
  <c r="J703" i="2"/>
  <c r="I703" i="2"/>
  <c r="H703" i="2"/>
  <c r="G703" i="2"/>
  <c r="F703" i="2"/>
  <c r="V702" i="2"/>
  <c r="V701" i="2"/>
  <c r="T700" i="2"/>
  <c r="S700" i="2"/>
  <c r="R700" i="2"/>
  <c r="Q700" i="2"/>
  <c r="P700" i="2"/>
  <c r="O700" i="2"/>
  <c r="N700" i="2"/>
  <c r="M700" i="2"/>
  <c r="L700" i="2"/>
  <c r="K700" i="2"/>
  <c r="J700" i="2"/>
  <c r="I700" i="2"/>
  <c r="H700" i="2"/>
  <c r="G700" i="2"/>
  <c r="F700" i="2"/>
  <c r="V699" i="2"/>
  <c r="E699" i="2"/>
  <c r="E698" i="2"/>
  <c r="V697" i="2"/>
  <c r="E697" i="2"/>
  <c r="V696" i="2"/>
  <c r="E696" i="2"/>
  <c r="V695" i="2"/>
  <c r="E695" i="2"/>
  <c r="V694" i="2"/>
  <c r="E694" i="2"/>
  <c r="V693" i="2"/>
  <c r="E693" i="2"/>
  <c r="V692" i="2"/>
  <c r="E692" i="2"/>
  <c r="V691" i="2"/>
  <c r="E691" i="2"/>
  <c r="V690" i="2"/>
  <c r="E690" i="2"/>
  <c r="V689" i="2"/>
  <c r="E689" i="2"/>
  <c r="V688" i="2"/>
  <c r="E688" i="2"/>
  <c r="V687" i="2"/>
  <c r="E687" i="2"/>
  <c r="V686" i="2"/>
  <c r="E686" i="2"/>
  <c r="V685" i="2"/>
  <c r="E685" i="2"/>
  <c r="V684" i="2"/>
  <c r="E684" i="2"/>
  <c r="V683" i="2"/>
  <c r="E683" i="2"/>
  <c r="V682" i="2"/>
  <c r="E682" i="2"/>
  <c r="V681" i="2"/>
  <c r="E681" i="2"/>
  <c r="V680" i="2"/>
  <c r="E680" i="2"/>
  <c r="V679" i="2"/>
  <c r="E679" i="2"/>
  <c r="V678" i="2"/>
  <c r="E678" i="2"/>
  <c r="V677" i="2"/>
  <c r="E677" i="2"/>
  <c r="V676" i="2"/>
  <c r="E676" i="2"/>
  <c r="V675" i="2"/>
  <c r="E675" i="2"/>
  <c r="V674" i="2"/>
  <c r="E674" i="2"/>
  <c r="V673" i="2"/>
  <c r="E673" i="2"/>
  <c r="V672" i="2"/>
  <c r="E672" i="2"/>
  <c r="V671" i="2"/>
  <c r="E671" i="2"/>
  <c r="V670" i="2"/>
  <c r="E670" i="2"/>
  <c r="V669" i="2"/>
  <c r="E669" i="2"/>
  <c r="V668" i="2"/>
  <c r="E668" i="2"/>
  <c r="V667" i="2"/>
  <c r="E667" i="2"/>
  <c r="V666" i="2"/>
  <c r="E666" i="2"/>
  <c r="V665" i="2"/>
  <c r="E665" i="2"/>
  <c r="V664" i="2"/>
  <c r="E664" i="2"/>
  <c r="V663" i="2"/>
  <c r="E663" i="2"/>
  <c r="V662" i="2"/>
  <c r="E662" i="2"/>
  <c r="V661" i="2"/>
  <c r="E661" i="2"/>
  <c r="V660" i="2"/>
  <c r="E660" i="2"/>
  <c r="V659" i="2"/>
  <c r="E659" i="2"/>
  <c r="V658" i="2"/>
  <c r="E658" i="2"/>
  <c r="V657" i="2"/>
  <c r="E657" i="2"/>
  <c r="V656" i="2"/>
  <c r="E656" i="2"/>
  <c r="V655" i="2"/>
  <c r="E655" i="2"/>
  <c r="V654" i="2"/>
  <c r="E654" i="2"/>
  <c r="V653" i="2"/>
  <c r="E653" i="2"/>
  <c r="V652" i="2"/>
  <c r="E652" i="2"/>
  <c r="V651" i="2"/>
  <c r="E651" i="2"/>
  <c r="V650" i="2"/>
  <c r="E650" i="2"/>
  <c r="V649" i="2"/>
  <c r="E649" i="2"/>
  <c r="V648" i="2"/>
  <c r="E648" i="2"/>
  <c r="V647" i="2"/>
  <c r="E647" i="2"/>
  <c r="V646" i="2"/>
  <c r="E646" i="2"/>
  <c r="V645" i="2"/>
  <c r="E645" i="2"/>
  <c r="V644" i="2"/>
  <c r="E644" i="2"/>
  <c r="V643" i="2"/>
  <c r="E643" i="2"/>
  <c r="V642" i="2"/>
  <c r="E642" i="2"/>
  <c r="V641" i="2"/>
  <c r="E641" i="2"/>
  <c r="V640" i="2"/>
  <c r="E640" i="2"/>
  <c r="V639" i="2"/>
  <c r="E639" i="2"/>
  <c r="V638" i="2"/>
  <c r="E638" i="2"/>
  <c r="V637" i="2"/>
  <c r="E637" i="2"/>
  <c r="V636" i="2"/>
  <c r="E636" i="2"/>
  <c r="V635" i="2"/>
  <c r="E635" i="2"/>
  <c r="V634" i="2"/>
  <c r="E634" i="2"/>
  <c r="V633" i="2"/>
  <c r="E633" i="2"/>
  <c r="V632" i="2"/>
  <c r="E632" i="2"/>
  <c r="V631" i="2"/>
  <c r="E631" i="2"/>
  <c r="V630" i="2"/>
  <c r="E630" i="2"/>
  <c r="V629" i="2"/>
  <c r="E629" i="2"/>
  <c r="V628" i="2"/>
  <c r="E628" i="2"/>
  <c r="V627" i="2"/>
  <c r="E627" i="2"/>
  <c r="V626" i="2"/>
  <c r="E626" i="2"/>
  <c r="V625" i="2"/>
  <c r="E625" i="2"/>
  <c r="V624" i="2"/>
  <c r="E624" i="2"/>
  <c r="V623" i="2"/>
  <c r="E623" i="2"/>
  <c r="V622" i="2"/>
  <c r="E622" i="2"/>
  <c r="V621" i="2"/>
  <c r="E621" i="2"/>
  <c r="V620" i="2"/>
  <c r="E620" i="2"/>
  <c r="V619" i="2"/>
  <c r="E619" i="2"/>
  <c r="V618" i="2"/>
  <c r="E618" i="2"/>
  <c r="V617" i="2"/>
  <c r="E617" i="2"/>
  <c r="V616" i="2"/>
  <c r="E616" i="2"/>
  <c r="V615" i="2"/>
  <c r="E615" i="2"/>
  <c r="V614" i="2"/>
  <c r="E614" i="2"/>
  <c r="V613" i="2"/>
  <c r="E613" i="2"/>
  <c r="V612" i="2"/>
  <c r="E612" i="2"/>
  <c r="V611" i="2"/>
  <c r="E611" i="2"/>
  <c r="V610" i="2"/>
  <c r="E610" i="2"/>
  <c r="V609" i="2"/>
  <c r="E609" i="2"/>
  <c r="V608" i="2"/>
  <c r="E608" i="2"/>
  <c r="V607" i="2"/>
  <c r="E607" i="2"/>
  <c r="V606" i="2"/>
  <c r="E606" i="2"/>
  <c r="V605" i="2"/>
  <c r="E605" i="2"/>
  <c r="V604" i="2"/>
  <c r="E604" i="2"/>
  <c r="V603" i="2"/>
  <c r="E603" i="2"/>
  <c r="V602" i="2"/>
  <c r="E602" i="2"/>
  <c r="V601" i="2"/>
  <c r="E601" i="2"/>
  <c r="V600" i="2"/>
  <c r="E600" i="2"/>
  <c r="V599" i="2"/>
  <c r="E599" i="2"/>
  <c r="V598" i="2"/>
  <c r="E598" i="2"/>
  <c r="V597" i="2"/>
  <c r="E597" i="2"/>
  <c r="V596" i="2"/>
  <c r="E596" i="2"/>
  <c r="V595" i="2"/>
  <c r="E595" i="2"/>
  <c r="V594" i="2"/>
  <c r="E594" i="2"/>
  <c r="V593" i="2"/>
  <c r="E593" i="2"/>
  <c r="V592" i="2"/>
  <c r="E592" i="2"/>
  <c r="V591" i="2"/>
  <c r="E591" i="2"/>
  <c r="V590" i="2"/>
  <c r="E590" i="2"/>
  <c r="V589" i="2"/>
  <c r="E589" i="2"/>
  <c r="V588" i="2"/>
  <c r="E588" i="2"/>
  <c r="V587" i="2"/>
  <c r="E587" i="2"/>
  <c r="V586" i="2"/>
  <c r="E586" i="2"/>
  <c r="V585" i="2"/>
  <c r="E585" i="2"/>
  <c r="V584" i="2"/>
  <c r="E584" i="2"/>
  <c r="V583" i="2"/>
  <c r="E583" i="2"/>
  <c r="V582" i="2"/>
  <c r="E582" i="2"/>
  <c r="V581" i="2"/>
  <c r="E581" i="2"/>
  <c r="V580" i="2"/>
  <c r="E580" i="2"/>
  <c r="V579" i="2"/>
  <c r="E579" i="2"/>
  <c r="V578" i="2"/>
  <c r="E578" i="2"/>
  <c r="V577" i="2"/>
  <c r="E577" i="2"/>
  <c r="V576" i="2"/>
  <c r="E576" i="2"/>
  <c r="V575" i="2"/>
  <c r="E575" i="2"/>
  <c r="V574" i="2"/>
  <c r="E574" i="2"/>
  <c r="V573" i="2"/>
  <c r="E573" i="2"/>
  <c r="V572" i="2"/>
  <c r="E572" i="2"/>
  <c r="V571" i="2"/>
  <c r="E571" i="2"/>
  <c r="V570" i="2"/>
  <c r="E570" i="2"/>
  <c r="V569" i="2"/>
  <c r="E569" i="2"/>
  <c r="V568" i="2"/>
  <c r="E568" i="2"/>
  <c r="V567" i="2"/>
  <c r="E567" i="2"/>
  <c r="V566" i="2"/>
  <c r="E566" i="2"/>
  <c r="V565" i="2"/>
  <c r="E565" i="2"/>
  <c r="V564" i="2"/>
  <c r="E564" i="2"/>
  <c r="V563" i="2"/>
  <c r="E563" i="2"/>
  <c r="V562" i="2"/>
  <c r="E562" i="2"/>
  <c r="V561" i="2"/>
  <c r="E561" i="2"/>
  <c r="V560" i="2"/>
  <c r="E560" i="2"/>
  <c r="V559" i="2"/>
  <c r="E559" i="2"/>
  <c r="V558" i="2"/>
  <c r="E558" i="2"/>
  <c r="V557" i="2"/>
  <c r="E557" i="2"/>
  <c r="V556" i="2"/>
  <c r="E556" i="2"/>
  <c r="V555" i="2"/>
  <c r="E555" i="2"/>
  <c r="V554" i="2"/>
  <c r="E554" i="2"/>
  <c r="V553" i="2"/>
  <c r="E553" i="2"/>
  <c r="V552" i="2"/>
  <c r="E552" i="2"/>
  <c r="V551" i="2"/>
  <c r="E551" i="2"/>
  <c r="V550" i="2"/>
  <c r="E550" i="2"/>
  <c r="V549" i="2"/>
  <c r="E549" i="2"/>
  <c r="V548" i="2"/>
  <c r="E548" i="2"/>
  <c r="V547" i="2"/>
  <c r="E547" i="2"/>
  <c r="V546" i="2"/>
  <c r="E546" i="2"/>
  <c r="V545" i="2"/>
  <c r="E545" i="2"/>
  <c r="V544" i="2"/>
  <c r="E544" i="2"/>
  <c r="V543" i="2"/>
  <c r="E543" i="2"/>
  <c r="V542" i="2"/>
  <c r="E542" i="2"/>
  <c r="V541" i="2"/>
  <c r="E541" i="2"/>
  <c r="V540" i="2"/>
  <c r="E540" i="2"/>
  <c r="V539" i="2"/>
  <c r="E539" i="2"/>
  <c r="V538" i="2"/>
  <c r="E538" i="2"/>
  <c r="V537" i="2"/>
  <c r="E537" i="2"/>
  <c r="V536" i="2"/>
  <c r="E536" i="2"/>
  <c r="V535" i="2"/>
  <c r="E535" i="2"/>
  <c r="V534" i="2"/>
  <c r="E534" i="2"/>
  <c r="V533" i="2"/>
  <c r="E533" i="2"/>
  <c r="V532" i="2"/>
  <c r="E532" i="2"/>
  <c r="V531" i="2"/>
  <c r="E531" i="2"/>
  <c r="V530" i="2"/>
  <c r="E530" i="2"/>
  <c r="V529" i="2"/>
  <c r="E529" i="2"/>
  <c r="V528" i="2"/>
  <c r="E528" i="2"/>
  <c r="V527" i="2"/>
  <c r="E527" i="2"/>
  <c r="V526" i="2"/>
  <c r="E526" i="2"/>
  <c r="V525" i="2"/>
  <c r="E525" i="2"/>
  <c r="V524" i="2"/>
  <c r="E524" i="2"/>
  <c r="V523" i="2"/>
  <c r="E523" i="2"/>
  <c r="V522" i="2"/>
  <c r="E522" i="2"/>
  <c r="V521" i="2"/>
  <c r="E521" i="2"/>
  <c r="V520" i="2"/>
  <c r="E520" i="2"/>
  <c r="V519" i="2"/>
  <c r="E519" i="2"/>
  <c r="V518" i="2"/>
  <c r="E518" i="2"/>
  <c r="V517" i="2"/>
  <c r="E517" i="2"/>
  <c r="V516" i="2"/>
  <c r="E516" i="2"/>
  <c r="V515" i="2"/>
  <c r="E515" i="2"/>
  <c r="V514" i="2"/>
  <c r="E514" i="2"/>
  <c r="V513" i="2"/>
  <c r="E513" i="2"/>
  <c r="V512" i="2"/>
  <c r="E512" i="2"/>
  <c r="V511" i="2"/>
  <c r="E511" i="2"/>
  <c r="V510" i="2"/>
  <c r="E510" i="2"/>
  <c r="V509" i="2"/>
  <c r="E509" i="2"/>
  <c r="V508" i="2"/>
  <c r="E508" i="2"/>
  <c r="V507" i="2"/>
  <c r="E507" i="2"/>
  <c r="V506" i="2"/>
  <c r="E506" i="2"/>
  <c r="V505" i="2"/>
  <c r="E505" i="2"/>
  <c r="V504" i="2"/>
  <c r="E504" i="2"/>
  <c r="V503" i="2"/>
  <c r="E503" i="2"/>
  <c r="V502" i="2"/>
  <c r="E502" i="2"/>
  <c r="V501" i="2"/>
  <c r="E501" i="2"/>
  <c r="V500" i="2"/>
  <c r="E500" i="2"/>
  <c r="V499" i="2"/>
  <c r="E499" i="2"/>
  <c r="V498" i="2"/>
  <c r="E498" i="2"/>
  <c r="V497" i="2"/>
  <c r="E497" i="2"/>
  <c r="V496" i="2"/>
  <c r="E496" i="2"/>
  <c r="V495" i="2"/>
  <c r="E495" i="2"/>
  <c r="V494" i="2"/>
  <c r="E494" i="2"/>
  <c r="V493" i="2"/>
  <c r="E493" i="2"/>
  <c r="V492" i="2"/>
  <c r="E492" i="2"/>
  <c r="V491" i="2"/>
  <c r="E491" i="2"/>
  <c r="V490" i="2"/>
  <c r="E490" i="2"/>
  <c r="V489" i="2"/>
  <c r="E489" i="2"/>
  <c r="V488" i="2"/>
  <c r="E488" i="2"/>
  <c r="V487" i="2"/>
  <c r="E487" i="2"/>
  <c r="V486" i="2"/>
  <c r="E486" i="2"/>
  <c r="V485" i="2"/>
  <c r="E485" i="2"/>
  <c r="V484" i="2"/>
  <c r="E484" i="2"/>
  <c r="V483" i="2"/>
  <c r="E483" i="2"/>
  <c r="V482" i="2"/>
  <c r="E482" i="2"/>
  <c r="V481" i="2"/>
  <c r="E481" i="2"/>
  <c r="V480" i="2"/>
  <c r="E480" i="2"/>
  <c r="A480" i="2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V479" i="2"/>
  <c r="E479" i="2"/>
  <c r="B479" i="2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5" i="2" s="1"/>
  <c r="B706" i="2" s="1"/>
  <c r="B708" i="2" s="1"/>
  <c r="B710" i="2" s="1"/>
  <c r="B712" i="2" s="1"/>
  <c r="B716" i="2" s="1"/>
  <c r="B717" i="2" s="1"/>
  <c r="B719" i="2" s="1"/>
  <c r="B721" i="2" s="1"/>
  <c r="B725" i="2" s="1"/>
  <c r="B729" i="2" s="1"/>
  <c r="B730" i="2" s="1"/>
  <c r="B733" i="2" s="1"/>
  <c r="B734" i="2" s="1"/>
  <c r="B735" i="2" s="1"/>
  <c r="B736" i="2" s="1"/>
  <c r="B740" i="2" s="1"/>
  <c r="B741" i="2" s="1"/>
  <c r="B742" i="2" s="1"/>
  <c r="B744" i="2" s="1"/>
  <c r="B747" i="2" s="1"/>
  <c r="B748" i="2" s="1"/>
  <c r="B750" i="2" s="1"/>
  <c r="B752" i="2" s="1"/>
  <c r="B754" i="2" s="1"/>
  <c r="B755" i="2" s="1"/>
  <c r="B756" i="2" s="1"/>
  <c r="B757" i="2" s="1"/>
  <c r="B758" i="2" s="1"/>
  <c r="B759" i="2" s="1"/>
  <c r="B760" i="2" s="1"/>
  <c r="B761" i="2" s="1"/>
  <c r="B762" i="2" s="1"/>
  <c r="B763" i="2" s="1"/>
  <c r="B764" i="2" s="1"/>
  <c r="B765" i="2" s="1"/>
  <c r="B766" i="2" s="1"/>
  <c r="B767" i="2" s="1"/>
  <c r="B768" i="2" s="1"/>
  <c r="B769" i="2" s="1"/>
  <c r="B770" i="2" s="1"/>
  <c r="B771" i="2" s="1"/>
  <c r="B772" i="2" s="1"/>
  <c r="B773" i="2" s="1"/>
  <c r="B774" i="2" s="1"/>
  <c r="B775" i="2" s="1"/>
  <c r="B776" i="2" s="1"/>
  <c r="B777" i="2" s="1"/>
  <c r="B778" i="2" s="1"/>
  <c r="B779" i="2" s="1"/>
  <c r="B780" i="2" s="1"/>
  <c r="B782" i="2" s="1"/>
  <c r="B784" i="2" s="1"/>
  <c r="B785" i="2" s="1"/>
  <c r="B790" i="2" s="1"/>
  <c r="B791" i="2" s="1"/>
  <c r="B792" i="2" s="1"/>
  <c r="B793" i="2" s="1"/>
  <c r="B798" i="2" s="1"/>
  <c r="B799" i="2" s="1"/>
  <c r="B800" i="2" s="1"/>
  <c r="B801" i="2" s="1"/>
  <c r="B809" i="2" s="1"/>
  <c r="B811" i="2" s="1"/>
  <c r="B814" i="2" s="1"/>
  <c r="B815" i="2" s="1"/>
  <c r="B816" i="2" s="1"/>
  <c r="B817" i="2" s="1"/>
  <c r="B818" i="2" s="1"/>
  <c r="B819" i="2" s="1"/>
  <c r="B820" i="2" s="1"/>
  <c r="B821" i="2" s="1"/>
  <c r="B822" i="2" s="1"/>
  <c r="B823" i="2" s="1"/>
  <c r="B824" i="2" s="1"/>
  <c r="B825" i="2" s="1"/>
  <c r="B826" i="2" s="1"/>
  <c r="B827" i="2" s="1"/>
  <c r="B828" i="2" s="1"/>
  <c r="B829" i="2" s="1"/>
  <c r="B830" i="2" s="1"/>
  <c r="B831" i="2" s="1"/>
  <c r="B832" i="2" s="1"/>
  <c r="B834" i="2" s="1"/>
  <c r="B835" i="2" s="1"/>
  <c r="B837" i="2" s="1"/>
  <c r="B838" i="2" s="1"/>
  <c r="B839" i="2" s="1"/>
  <c r="B840" i="2" s="1"/>
  <c r="B841" i="2" s="1"/>
  <c r="B843" i="2" s="1"/>
  <c r="B844" i="2" s="1"/>
  <c r="B846" i="2" s="1"/>
  <c r="B847" i="2" s="1"/>
  <c r="B848" i="2" s="1"/>
  <c r="B849" i="2" s="1"/>
  <c r="B850" i="2" s="1"/>
  <c r="B851" i="2" s="1"/>
  <c r="B852" i="2" s="1"/>
  <c r="B853" i="2" s="1"/>
  <c r="B855" i="2" s="1"/>
  <c r="B856" i="2" s="1"/>
  <c r="B857" i="2" s="1"/>
  <c r="B858" i="2" s="1"/>
  <c r="B859" i="2" s="1"/>
  <c r="T478" i="2"/>
  <c r="S478" i="2"/>
  <c r="R478" i="2"/>
  <c r="Q478" i="2"/>
  <c r="P478" i="2"/>
  <c r="O478" i="2"/>
  <c r="N478" i="2"/>
  <c r="M478" i="2"/>
  <c r="L478" i="2"/>
  <c r="K478" i="2"/>
  <c r="J478" i="2"/>
  <c r="I478" i="2"/>
  <c r="H478" i="2"/>
  <c r="G478" i="2"/>
  <c r="F478" i="2"/>
  <c r="E476" i="2"/>
  <c r="E475" i="2"/>
  <c r="E474" i="2"/>
  <c r="E473" i="2"/>
  <c r="E472" i="2"/>
  <c r="E471" i="2"/>
  <c r="E470" i="2"/>
  <c r="E469" i="2"/>
  <c r="E468" i="2"/>
  <c r="E467" i="2"/>
  <c r="E466" i="2"/>
  <c r="B466" i="2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B437" i="2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E436" i="2"/>
  <c r="E435" i="2"/>
  <c r="B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B416" i="2"/>
  <c r="B417" i="2" s="1"/>
  <c r="B418" i="2" s="1"/>
  <c r="E415" i="2"/>
  <c r="E414" i="2"/>
  <c r="E413" i="2"/>
  <c r="E412" i="2"/>
  <c r="E411" i="2"/>
  <c r="E410" i="2"/>
  <c r="E409" i="2"/>
  <c r="E408" i="2"/>
  <c r="E407" i="2"/>
  <c r="E406" i="2"/>
  <c r="E405" i="2"/>
  <c r="E404" i="2"/>
  <c r="B404" i="2"/>
  <c r="E403" i="2"/>
  <c r="E402" i="2"/>
  <c r="E401" i="2"/>
  <c r="E400" i="2"/>
  <c r="E399" i="2"/>
  <c r="E398" i="2"/>
  <c r="B398" i="2"/>
  <c r="B399" i="2" s="1"/>
  <c r="B400" i="2" s="1"/>
  <c r="E397" i="2"/>
  <c r="E396" i="2"/>
  <c r="E395" i="2"/>
  <c r="E394" i="2"/>
  <c r="E393" i="2"/>
  <c r="E392" i="2"/>
  <c r="T391" i="2"/>
  <c r="E391" i="2" s="1"/>
  <c r="E390" i="2"/>
  <c r="E389" i="2"/>
  <c r="E388" i="2"/>
  <c r="E387" i="2"/>
  <c r="E386" i="2"/>
  <c r="E385" i="2"/>
  <c r="E384" i="2"/>
  <c r="E383" i="2"/>
  <c r="E382" i="2"/>
  <c r="E381" i="2"/>
  <c r="T380" i="2"/>
  <c r="E380" i="2" s="1"/>
  <c r="E379" i="2"/>
  <c r="B379" i="2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E378" i="2"/>
  <c r="A378" i="2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T330" i="2"/>
  <c r="E330" i="2" s="1"/>
  <c r="E329" i="2"/>
  <c r="E328" i="2"/>
  <c r="E327" i="2"/>
  <c r="E326" i="2"/>
  <c r="E325" i="2"/>
  <c r="E324" i="2"/>
  <c r="E323" i="2"/>
  <c r="E322" i="2"/>
  <c r="E321" i="2"/>
  <c r="E320" i="2"/>
  <c r="T319" i="2"/>
  <c r="E319" i="2" s="1"/>
  <c r="E318" i="2"/>
  <c r="E317" i="2"/>
  <c r="E316" i="2"/>
  <c r="E315" i="2"/>
  <c r="T314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T294" i="2"/>
  <c r="E294" i="2" s="1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T275" i="2"/>
  <c r="E275" i="2"/>
  <c r="E274" i="2"/>
  <c r="T273" i="2"/>
  <c r="E273" i="2" s="1"/>
  <c r="E272" i="2"/>
  <c r="E271" i="2"/>
  <c r="E270" i="2"/>
  <c r="E269" i="2"/>
  <c r="T268" i="2"/>
  <c r="E268" i="2" s="1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T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T217" i="2"/>
  <c r="E217" i="2" s="1"/>
  <c r="E216" i="2"/>
  <c r="E215" i="2"/>
  <c r="E214" i="2"/>
  <c r="E213" i="2"/>
  <c r="E212" i="2"/>
  <c r="T211" i="2"/>
  <c r="E211" i="2"/>
  <c r="E210" i="2"/>
  <c r="E209" i="2"/>
  <c r="E208" i="2"/>
  <c r="E207" i="2"/>
  <c r="E206" i="2"/>
  <c r="B206" i="2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E205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P163" i="2"/>
  <c r="E163" i="2" s="1"/>
  <c r="T162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T121" i="2"/>
  <c r="E121" i="2" s="1"/>
  <c r="E120" i="2"/>
  <c r="E119" i="2"/>
  <c r="E118" i="2"/>
  <c r="E117" i="2"/>
  <c r="E116" i="2"/>
  <c r="E115" i="2"/>
  <c r="E114" i="2"/>
  <c r="E113" i="2"/>
  <c r="E112" i="2"/>
  <c r="E111" i="2"/>
  <c r="E110" i="2"/>
  <c r="T109" i="2"/>
  <c r="E109" i="2"/>
  <c r="E108" i="2"/>
  <c r="T107" i="2"/>
  <c r="E107" i="2"/>
  <c r="E106" i="2"/>
  <c r="E105" i="2"/>
  <c r="E104" i="2"/>
  <c r="E103" i="2"/>
  <c r="E102" i="2"/>
  <c r="T101" i="2"/>
  <c r="E101" i="2" s="1"/>
  <c r="T100" i="2"/>
  <c r="E100" i="2" s="1"/>
  <c r="T99" i="2"/>
  <c r="E99" i="2" s="1"/>
  <c r="E98" i="2"/>
  <c r="T97" i="2"/>
  <c r="E97" i="2" s="1"/>
  <c r="E96" i="2"/>
  <c r="T95" i="2"/>
  <c r="E95" i="2" s="1"/>
  <c r="T94" i="2"/>
  <c r="E94" i="2" s="1"/>
  <c r="E93" i="2"/>
  <c r="E92" i="2"/>
  <c r="E91" i="2"/>
  <c r="E90" i="2"/>
  <c r="E89" i="2"/>
  <c r="E88" i="2"/>
  <c r="T87" i="2"/>
  <c r="E87" i="2" s="1"/>
  <c r="T86" i="2"/>
  <c r="E86" i="2" s="1"/>
  <c r="E85" i="2"/>
  <c r="E84" i="2"/>
  <c r="E83" i="2"/>
  <c r="T82" i="2"/>
  <c r="E82" i="2" s="1"/>
  <c r="E81" i="2"/>
  <c r="T80" i="2"/>
  <c r="E80" i="2" s="1"/>
  <c r="T79" i="2"/>
  <c r="E79" i="2" s="1"/>
  <c r="T78" i="2"/>
  <c r="E78" i="2" s="1"/>
  <c r="E77" i="2"/>
  <c r="Q76" i="2"/>
  <c r="Q15" i="2" s="1"/>
  <c r="Q12" i="2" s="1"/>
  <c r="E75" i="2"/>
  <c r="E74" i="2"/>
  <c r="E73" i="2"/>
  <c r="S72" i="2"/>
  <c r="E72" i="2" s="1"/>
  <c r="E71" i="2"/>
  <c r="E70" i="2"/>
  <c r="E69" i="2"/>
  <c r="T68" i="2"/>
  <c r="E68" i="2"/>
  <c r="J67" i="2"/>
  <c r="E67" i="2"/>
  <c r="E66" i="2"/>
  <c r="E65" i="2"/>
  <c r="E64" i="2"/>
  <c r="T63" i="2"/>
  <c r="E63" i="2" s="1"/>
  <c r="S63" i="2"/>
  <c r="T62" i="2"/>
  <c r="E62" i="2"/>
  <c r="E61" i="2"/>
  <c r="E60" i="2"/>
  <c r="S59" i="2"/>
  <c r="S15" i="2" s="1"/>
  <c r="S12" i="2" s="1"/>
  <c r="E59" i="2"/>
  <c r="T58" i="2"/>
  <c r="E58" i="2"/>
  <c r="T57" i="2"/>
  <c r="E57" i="2"/>
  <c r="E56" i="2"/>
  <c r="E55" i="2"/>
  <c r="E54" i="2"/>
  <c r="T53" i="2"/>
  <c r="E53" i="2" s="1"/>
  <c r="E52" i="2"/>
  <c r="T51" i="2"/>
  <c r="E51" i="2"/>
  <c r="E50" i="2"/>
  <c r="E49" i="2"/>
  <c r="T48" i="2"/>
  <c r="E48" i="2" s="1"/>
  <c r="E47" i="2"/>
  <c r="E46" i="2"/>
  <c r="E45" i="2"/>
  <c r="E44" i="2"/>
  <c r="E43" i="2"/>
  <c r="E42" i="2"/>
  <c r="E41" i="2"/>
  <c r="T40" i="2"/>
  <c r="E39" i="2"/>
  <c r="E38" i="2"/>
  <c r="E37" i="2"/>
  <c r="T36" i="2"/>
  <c r="E36" i="2"/>
  <c r="E35" i="2"/>
  <c r="T34" i="2"/>
  <c r="E34" i="2" s="1"/>
  <c r="E33" i="2"/>
  <c r="T32" i="2"/>
  <c r="E32" i="2"/>
  <c r="E31" i="2"/>
  <c r="T30" i="2"/>
  <c r="E30" i="2" s="1"/>
  <c r="E29" i="2"/>
  <c r="E28" i="2"/>
  <c r="E27" i="2"/>
  <c r="T26" i="2"/>
  <c r="E26" i="2"/>
  <c r="R25" i="2"/>
  <c r="E25" i="2"/>
  <c r="T24" i="2"/>
  <c r="E24" i="2" s="1"/>
  <c r="E23" i="2"/>
  <c r="E22" i="2"/>
  <c r="T21" i="2"/>
  <c r="E21" i="2" s="1"/>
  <c r="E20" i="2"/>
  <c r="E19" i="2"/>
  <c r="E18" i="2"/>
  <c r="E17" i="2"/>
  <c r="B17" i="2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A17" i="2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E16" i="2"/>
  <c r="R15" i="2"/>
  <c r="R12" i="2" s="1"/>
  <c r="P15" i="2"/>
  <c r="P12" i="2" s="1"/>
  <c r="O15" i="2"/>
  <c r="O12" i="2" s="1"/>
  <c r="N15" i="2"/>
  <c r="N12" i="2" s="1"/>
  <c r="M15" i="2"/>
  <c r="L15" i="2"/>
  <c r="L12" i="2" s="1"/>
  <c r="K15" i="2"/>
  <c r="K12" i="2" s="1"/>
  <c r="J15" i="2"/>
  <c r="J12" i="2" s="1"/>
  <c r="I15" i="2"/>
  <c r="I12" i="2" s="1"/>
  <c r="H15" i="2"/>
  <c r="H12" i="2" s="1"/>
  <c r="G15" i="2"/>
  <c r="G12" i="2" s="1"/>
  <c r="F15" i="2"/>
  <c r="F12" i="2" s="1"/>
  <c r="E14" i="2"/>
  <c r="M12" i="2"/>
  <c r="AL861" i="1"/>
  <c r="N861" i="1"/>
  <c r="AL860" i="1"/>
  <c r="N860" i="1"/>
  <c r="AL859" i="1"/>
  <c r="N859" i="1"/>
  <c r="AL858" i="1"/>
  <c r="N858" i="1"/>
  <c r="AL857" i="1"/>
  <c r="N857" i="1"/>
  <c r="AL856" i="1"/>
  <c r="N856" i="1"/>
  <c r="AL855" i="1"/>
  <c r="N855" i="1"/>
  <c r="AL854" i="1"/>
  <c r="N854" i="1"/>
  <c r="AL853" i="1"/>
  <c r="N853" i="1"/>
  <c r="AL852" i="1"/>
  <c r="N852" i="1"/>
  <c r="AL851" i="1"/>
  <c r="N851" i="1"/>
  <c r="AL850" i="1"/>
  <c r="N850" i="1"/>
  <c r="AL849" i="1"/>
  <c r="N849" i="1"/>
  <c r="AL848" i="1"/>
  <c r="N848" i="1"/>
  <c r="AL847" i="1"/>
  <c r="N847" i="1"/>
  <c r="AL846" i="1"/>
  <c r="N846" i="1"/>
  <c r="AL845" i="1"/>
  <c r="N845" i="1"/>
  <c r="AL844" i="1"/>
  <c r="N844" i="1"/>
  <c r="AL843" i="1"/>
  <c r="N843" i="1"/>
  <c r="AL842" i="1"/>
  <c r="N842" i="1"/>
  <c r="AL841" i="1"/>
  <c r="N841" i="1"/>
  <c r="AL840" i="1"/>
  <c r="N840" i="1"/>
  <c r="AL839" i="1"/>
  <c r="N839" i="1"/>
  <c r="AL838" i="1"/>
  <c r="N838" i="1"/>
  <c r="AL837" i="1"/>
  <c r="N837" i="1"/>
  <c r="AL836" i="1"/>
  <c r="N836" i="1"/>
  <c r="BA835" i="1"/>
  <c r="AZ835" i="1"/>
  <c r="AY835" i="1"/>
  <c r="AX835" i="1"/>
  <c r="AW835" i="1"/>
  <c r="AV835" i="1"/>
  <c r="AU835" i="1"/>
  <c r="AT835" i="1"/>
  <c r="AS835" i="1"/>
  <c r="AR835" i="1"/>
  <c r="AQ835" i="1"/>
  <c r="AP835" i="1"/>
  <c r="AO835" i="1"/>
  <c r="AN835" i="1"/>
  <c r="AM835" i="1"/>
  <c r="U835" i="1"/>
  <c r="T835" i="1"/>
  <c r="S835" i="1"/>
  <c r="P835" i="1"/>
  <c r="O835" i="1"/>
  <c r="N834" i="1"/>
  <c r="N833" i="1"/>
  <c r="N832" i="1"/>
  <c r="N831" i="1"/>
  <c r="BB830" i="1"/>
  <c r="AI830" i="1"/>
  <c r="N830" i="1"/>
  <c r="BB829" i="1"/>
  <c r="AI829" i="1"/>
  <c r="N829" i="1"/>
  <c r="BB828" i="1"/>
  <c r="AI828" i="1"/>
  <c r="N828" i="1"/>
  <c r="BB827" i="1"/>
  <c r="AI827" i="1"/>
  <c r="N827" i="1"/>
  <c r="N826" i="1"/>
  <c r="N825" i="1"/>
  <c r="BB824" i="1"/>
  <c r="AI824" i="1"/>
  <c r="N824" i="1"/>
  <c r="BB823" i="1"/>
  <c r="AI823" i="1"/>
  <c r="N823" i="1"/>
  <c r="BB822" i="1"/>
  <c r="AI822" i="1"/>
  <c r="N822" i="1"/>
  <c r="BB821" i="1"/>
  <c r="AI821" i="1"/>
  <c r="N821" i="1"/>
  <c r="N820" i="1"/>
  <c r="N819" i="1"/>
  <c r="N818" i="1"/>
  <c r="BB817" i="1"/>
  <c r="AI817" i="1"/>
  <c r="N817" i="1"/>
  <c r="N816" i="1"/>
  <c r="BA815" i="1"/>
  <c r="AZ815" i="1"/>
  <c r="AY815" i="1"/>
  <c r="AX815" i="1"/>
  <c r="AW815" i="1"/>
  <c r="AV815" i="1"/>
  <c r="AU815" i="1"/>
  <c r="AT815" i="1"/>
  <c r="AS815" i="1"/>
  <c r="AR815" i="1"/>
  <c r="AQ815" i="1"/>
  <c r="AP815" i="1"/>
  <c r="AO815" i="1"/>
  <c r="AN815" i="1"/>
  <c r="AM815" i="1"/>
  <c r="AD815" i="1"/>
  <c r="AC815" i="1"/>
  <c r="AB815" i="1"/>
  <c r="Y815" i="1"/>
  <c r="V815" i="1"/>
  <c r="U815" i="1"/>
  <c r="T815" i="1"/>
  <c r="S815" i="1"/>
  <c r="P815" i="1"/>
  <c r="O815" i="1"/>
  <c r="BB814" i="1"/>
  <c r="AJ814" i="1"/>
  <c r="AI814" i="1"/>
  <c r="P814" i="1"/>
  <c r="N814" i="1" s="1"/>
  <c r="BB813" i="1"/>
  <c r="AJ813" i="1"/>
  <c r="AI813" i="1"/>
  <c r="P813" i="1"/>
  <c r="N813" i="1" s="1"/>
  <c r="BB812" i="1"/>
  <c r="AJ812" i="1"/>
  <c r="AI812" i="1"/>
  <c r="P812" i="1"/>
  <c r="N812" i="1" s="1"/>
  <c r="BB811" i="1"/>
  <c r="AJ811" i="1"/>
  <c r="AI811" i="1"/>
  <c r="P811" i="1"/>
  <c r="N811" i="1" s="1"/>
  <c r="BB810" i="1"/>
  <c r="AJ810" i="1"/>
  <c r="AI810" i="1"/>
  <c r="P810" i="1"/>
  <c r="N810" i="1" s="1"/>
  <c r="BB809" i="1"/>
  <c r="AJ809" i="1"/>
  <c r="AI809" i="1"/>
  <c r="P809" i="1"/>
  <c r="N809" i="1" s="1"/>
  <c r="BB808" i="1"/>
  <c r="AJ808" i="1"/>
  <c r="AI808" i="1"/>
  <c r="P808" i="1"/>
  <c r="N808" i="1" s="1"/>
  <c r="BB807" i="1"/>
  <c r="AJ807" i="1"/>
  <c r="AI807" i="1"/>
  <c r="P807" i="1"/>
  <c r="N807" i="1" s="1"/>
  <c r="BB806" i="1"/>
  <c r="AJ806" i="1"/>
  <c r="AI806" i="1"/>
  <c r="P806" i="1"/>
  <c r="N806" i="1" s="1"/>
  <c r="BB805" i="1"/>
  <c r="AJ805" i="1"/>
  <c r="AI805" i="1"/>
  <c r="P805" i="1"/>
  <c r="N805" i="1" s="1"/>
  <c r="BB804" i="1"/>
  <c r="AJ804" i="1"/>
  <c r="AI804" i="1"/>
  <c r="P804" i="1"/>
  <c r="N804" i="1" s="1"/>
  <c r="BB803" i="1"/>
  <c r="AJ803" i="1"/>
  <c r="AI803" i="1"/>
  <c r="P803" i="1"/>
  <c r="N803" i="1" s="1"/>
  <c r="BB802" i="1"/>
  <c r="AJ802" i="1"/>
  <c r="AI802" i="1"/>
  <c r="P802" i="1"/>
  <c r="N802" i="1" s="1"/>
  <c r="BB801" i="1"/>
  <c r="AJ801" i="1"/>
  <c r="AI801" i="1"/>
  <c r="P801" i="1"/>
  <c r="N801" i="1" s="1"/>
  <c r="BB800" i="1"/>
  <c r="AJ800" i="1"/>
  <c r="AI800" i="1"/>
  <c r="P800" i="1"/>
  <c r="N800" i="1" s="1"/>
  <c r="BB799" i="1"/>
  <c r="AJ799" i="1"/>
  <c r="AI799" i="1"/>
  <c r="AH799" i="1"/>
  <c r="P799" i="1"/>
  <c r="N799" i="1" s="1"/>
  <c r="BB798" i="1"/>
  <c r="AJ798" i="1"/>
  <c r="AI798" i="1"/>
  <c r="P798" i="1"/>
  <c r="N798" i="1" s="1"/>
  <c r="BB797" i="1"/>
  <c r="AJ797" i="1"/>
  <c r="AI797" i="1"/>
  <c r="AH797" i="1"/>
  <c r="P797" i="1"/>
  <c r="N797" i="1" s="1"/>
  <c r="BB796" i="1"/>
  <c r="AJ796" i="1"/>
  <c r="AI796" i="1"/>
  <c r="P796" i="1"/>
  <c r="N796" i="1" s="1"/>
  <c r="BB795" i="1"/>
  <c r="AJ795" i="1"/>
  <c r="AI795" i="1"/>
  <c r="P795" i="1"/>
  <c r="N795" i="1" s="1"/>
  <c r="BB794" i="1"/>
  <c r="AJ794" i="1"/>
  <c r="AI794" i="1"/>
  <c r="P794" i="1"/>
  <c r="N794" i="1" s="1"/>
  <c r="BB793" i="1"/>
  <c r="AJ793" i="1"/>
  <c r="AI793" i="1"/>
  <c r="N793" i="1"/>
  <c r="BB792" i="1"/>
  <c r="AJ792" i="1"/>
  <c r="AI792" i="1"/>
  <c r="P792" i="1"/>
  <c r="N792" i="1" s="1"/>
  <c r="BB791" i="1"/>
  <c r="AJ791" i="1"/>
  <c r="AI791" i="1"/>
  <c r="P791" i="1"/>
  <c r="N791" i="1" s="1"/>
  <c r="BB790" i="1"/>
  <c r="AJ790" i="1"/>
  <c r="AI790" i="1"/>
  <c r="P790" i="1"/>
  <c r="N790" i="1" s="1"/>
  <c r="BB789" i="1"/>
  <c r="AJ789" i="1"/>
  <c r="AI789" i="1"/>
  <c r="AH789" i="1"/>
  <c r="N789" i="1"/>
  <c r="BB788" i="1"/>
  <c r="AJ788" i="1"/>
  <c r="AI788" i="1"/>
  <c r="AH788" i="1"/>
  <c r="P788" i="1"/>
  <c r="N788" i="1" s="1"/>
  <c r="BB787" i="1"/>
  <c r="AJ787" i="1"/>
  <c r="AI787" i="1"/>
  <c r="P787" i="1"/>
  <c r="N787" i="1" s="1"/>
  <c r="BB786" i="1"/>
  <c r="AJ786" i="1"/>
  <c r="AI786" i="1"/>
  <c r="P786" i="1"/>
  <c r="N786" i="1" s="1"/>
  <c r="BB785" i="1"/>
  <c r="AJ785" i="1"/>
  <c r="AI785" i="1"/>
  <c r="P785" i="1"/>
  <c r="N785" i="1" s="1"/>
  <c r="BB784" i="1"/>
  <c r="AJ784" i="1"/>
  <c r="AI784" i="1"/>
  <c r="P784" i="1"/>
  <c r="N784" i="1" s="1"/>
  <c r="BB783" i="1"/>
  <c r="AJ783" i="1"/>
  <c r="AI783" i="1"/>
  <c r="P783" i="1"/>
  <c r="N783" i="1" s="1"/>
  <c r="BB782" i="1"/>
  <c r="AJ782" i="1"/>
  <c r="AI782" i="1"/>
  <c r="P782" i="1"/>
  <c r="N782" i="1" s="1"/>
  <c r="BB781" i="1"/>
  <c r="AJ781" i="1"/>
  <c r="AI781" i="1"/>
  <c r="P781" i="1"/>
  <c r="N781" i="1" s="1"/>
  <c r="BB780" i="1"/>
  <c r="AJ780" i="1"/>
  <c r="AI780" i="1"/>
  <c r="P780" i="1"/>
  <c r="N780" i="1" s="1"/>
  <c r="BB779" i="1"/>
  <c r="AJ779" i="1"/>
  <c r="AI779" i="1"/>
  <c r="P779" i="1"/>
  <c r="N779" i="1" s="1"/>
  <c r="BB778" i="1"/>
  <c r="AJ778" i="1"/>
  <c r="AI778" i="1"/>
  <c r="P778" i="1"/>
  <c r="N778" i="1" s="1"/>
  <c r="BB777" i="1"/>
  <c r="AJ777" i="1"/>
  <c r="AI777" i="1"/>
  <c r="P777" i="1"/>
  <c r="N777" i="1" s="1"/>
  <c r="BB776" i="1"/>
  <c r="AJ776" i="1"/>
  <c r="AI776" i="1"/>
  <c r="P776" i="1"/>
  <c r="N776" i="1" s="1"/>
  <c r="BB775" i="1"/>
  <c r="AJ775" i="1"/>
  <c r="AI775" i="1"/>
  <c r="P775" i="1"/>
  <c r="N775" i="1" s="1"/>
  <c r="BB774" i="1"/>
  <c r="AJ774" i="1"/>
  <c r="AI774" i="1"/>
  <c r="P774" i="1"/>
  <c r="N774" i="1" s="1"/>
  <c r="BB773" i="1"/>
  <c r="AJ773" i="1"/>
  <c r="AI773" i="1"/>
  <c r="AH773" i="1"/>
  <c r="P773" i="1"/>
  <c r="N773" i="1" s="1"/>
  <c r="BB772" i="1"/>
  <c r="AJ772" i="1"/>
  <c r="AI772" i="1"/>
  <c r="P772" i="1"/>
  <c r="N772" i="1" s="1"/>
  <c r="BB771" i="1"/>
  <c r="AJ771" i="1"/>
  <c r="AI771" i="1"/>
  <c r="P771" i="1"/>
  <c r="N771" i="1" s="1"/>
  <c r="BB770" i="1"/>
  <c r="AJ770" i="1"/>
  <c r="AI770" i="1"/>
  <c r="P770" i="1"/>
  <c r="N770" i="1" s="1"/>
  <c r="BB769" i="1"/>
  <c r="AJ769" i="1"/>
  <c r="AI769" i="1"/>
  <c r="P769" i="1"/>
  <c r="N769" i="1" s="1"/>
  <c r="BB768" i="1"/>
  <c r="AJ768" i="1"/>
  <c r="AI768" i="1"/>
  <c r="P768" i="1"/>
  <c r="N768" i="1" s="1"/>
  <c r="BB767" i="1"/>
  <c r="AJ767" i="1"/>
  <c r="AI767" i="1"/>
  <c r="P767" i="1"/>
  <c r="N767" i="1" s="1"/>
  <c r="BB766" i="1"/>
  <c r="AJ766" i="1"/>
  <c r="AI766" i="1"/>
  <c r="P766" i="1"/>
  <c r="N766" i="1" s="1"/>
  <c r="BB765" i="1"/>
  <c r="AJ765" i="1"/>
  <c r="AI765" i="1"/>
  <c r="P765" i="1"/>
  <c r="N765" i="1" s="1"/>
  <c r="BB764" i="1"/>
  <c r="AJ764" i="1"/>
  <c r="AI764" i="1"/>
  <c r="P764" i="1"/>
  <c r="N764" i="1" s="1"/>
  <c r="BB763" i="1"/>
  <c r="AJ763" i="1"/>
  <c r="AI763" i="1"/>
  <c r="P763" i="1"/>
  <c r="N763" i="1" s="1"/>
  <c r="BB762" i="1"/>
  <c r="AJ762" i="1"/>
  <c r="AI762" i="1"/>
  <c r="P762" i="1"/>
  <c r="N762" i="1" s="1"/>
  <c r="BB761" i="1"/>
  <c r="AJ761" i="1"/>
  <c r="AI761" i="1"/>
  <c r="P761" i="1"/>
  <c r="N761" i="1" s="1"/>
  <c r="BB760" i="1"/>
  <c r="AJ760" i="1"/>
  <c r="AI760" i="1"/>
  <c r="P760" i="1"/>
  <c r="N760" i="1" s="1"/>
  <c r="BB759" i="1"/>
  <c r="AJ759" i="1"/>
  <c r="AI759" i="1"/>
  <c r="P759" i="1"/>
  <c r="N759" i="1" s="1"/>
  <c r="BB758" i="1"/>
  <c r="AJ758" i="1"/>
  <c r="AI758" i="1"/>
  <c r="P758" i="1"/>
  <c r="N758" i="1" s="1"/>
  <c r="BB757" i="1"/>
  <c r="AJ757" i="1"/>
  <c r="AI757" i="1"/>
  <c r="P757" i="1"/>
  <c r="N757" i="1" s="1"/>
  <c r="BB756" i="1"/>
  <c r="AJ756" i="1"/>
  <c r="AI756" i="1"/>
  <c r="P756" i="1"/>
  <c r="N756" i="1" s="1"/>
  <c r="BB755" i="1"/>
  <c r="AJ755" i="1"/>
  <c r="AI755" i="1"/>
  <c r="P755" i="1"/>
  <c r="N755" i="1" s="1"/>
  <c r="BB754" i="1"/>
  <c r="AL754" i="1"/>
  <c r="AJ754" i="1"/>
  <c r="AI754" i="1"/>
  <c r="P754" i="1"/>
  <c r="N754" i="1" s="1"/>
  <c r="BB753" i="1"/>
  <c r="AJ753" i="1"/>
  <c r="AI753" i="1"/>
  <c r="P753" i="1"/>
  <c r="N753" i="1" s="1"/>
  <c r="BB752" i="1"/>
  <c r="AJ752" i="1"/>
  <c r="AI752" i="1"/>
  <c r="P752" i="1"/>
  <c r="N752" i="1" s="1"/>
  <c r="BB751" i="1"/>
  <c r="AJ751" i="1"/>
  <c r="AI751" i="1"/>
  <c r="P751" i="1"/>
  <c r="N751" i="1" s="1"/>
  <c r="BB750" i="1"/>
  <c r="AJ750" i="1"/>
  <c r="AI750" i="1"/>
  <c r="P750" i="1"/>
  <c r="N750" i="1" s="1"/>
  <c r="V2" i="1" s="1"/>
  <c r="BB749" i="1"/>
  <c r="AJ749" i="1"/>
  <c r="AI749" i="1"/>
  <c r="P749" i="1"/>
  <c r="N749" i="1" s="1"/>
  <c r="BB748" i="1"/>
  <c r="AJ748" i="1"/>
  <c r="AI748" i="1"/>
  <c r="P748" i="1"/>
  <c r="N748" i="1" s="1"/>
  <c r="BB747" i="1"/>
  <c r="AJ747" i="1"/>
  <c r="AI747" i="1"/>
  <c r="P747" i="1"/>
  <c r="N747" i="1" s="1"/>
  <c r="BB746" i="1"/>
  <c r="AJ746" i="1"/>
  <c r="AI746" i="1"/>
  <c r="P746" i="1"/>
  <c r="N746" i="1" s="1"/>
  <c r="BB745" i="1"/>
  <c r="AJ745" i="1"/>
  <c r="AI745" i="1"/>
  <c r="P745" i="1"/>
  <c r="N745" i="1" s="1"/>
  <c r="BB744" i="1"/>
  <c r="AJ744" i="1"/>
  <c r="AI744" i="1"/>
  <c r="P744" i="1"/>
  <c r="N744" i="1" s="1"/>
  <c r="BB743" i="1"/>
  <c r="AJ743" i="1"/>
  <c r="AI743" i="1"/>
  <c r="P743" i="1"/>
  <c r="N743" i="1" s="1"/>
  <c r="BB742" i="1"/>
  <c r="AJ742" i="1"/>
  <c r="AI742" i="1"/>
  <c r="P742" i="1"/>
  <c r="N742" i="1" s="1"/>
  <c r="BB741" i="1"/>
  <c r="AJ741" i="1"/>
  <c r="AI741" i="1"/>
  <c r="P741" i="1"/>
  <c r="N741" i="1" s="1"/>
  <c r="BB740" i="1"/>
  <c r="AJ740" i="1"/>
  <c r="AI740" i="1"/>
  <c r="P740" i="1"/>
  <c r="N740" i="1" s="1"/>
  <c r="BB739" i="1"/>
  <c r="AJ739" i="1"/>
  <c r="AI739" i="1"/>
  <c r="P739" i="1"/>
  <c r="N739" i="1" s="1"/>
  <c r="BB738" i="1"/>
  <c r="AJ738" i="1"/>
  <c r="AI738" i="1"/>
  <c r="P738" i="1"/>
  <c r="N738" i="1" s="1"/>
  <c r="BB737" i="1"/>
  <c r="AJ737" i="1"/>
  <c r="AI737" i="1"/>
  <c r="P737" i="1"/>
  <c r="N737" i="1" s="1"/>
  <c r="BB736" i="1"/>
  <c r="AJ736" i="1"/>
  <c r="AI736" i="1"/>
  <c r="P736" i="1"/>
  <c r="N736" i="1" s="1"/>
  <c r="BB735" i="1"/>
  <c r="AJ735" i="1"/>
  <c r="AI735" i="1"/>
  <c r="P735" i="1"/>
  <c r="N735" i="1" s="1"/>
  <c r="BB734" i="1"/>
  <c r="AJ734" i="1"/>
  <c r="AI734" i="1"/>
  <c r="P734" i="1"/>
  <c r="N734" i="1" s="1"/>
  <c r="BB733" i="1"/>
  <c r="AJ733" i="1"/>
  <c r="AI733" i="1"/>
  <c r="P733" i="1"/>
  <c r="N733" i="1" s="1"/>
  <c r="BB732" i="1"/>
  <c r="AJ732" i="1"/>
  <c r="AI732" i="1"/>
  <c r="P732" i="1"/>
  <c r="N732" i="1" s="1"/>
  <c r="BB731" i="1"/>
  <c r="AJ731" i="1"/>
  <c r="AI731" i="1"/>
  <c r="P731" i="1"/>
  <c r="N731" i="1" s="1"/>
  <c r="BB730" i="1"/>
  <c r="AJ730" i="1"/>
  <c r="AI730" i="1"/>
  <c r="P730" i="1"/>
  <c r="N730" i="1" s="1"/>
  <c r="BB729" i="1"/>
  <c r="AJ729" i="1"/>
  <c r="AI729" i="1"/>
  <c r="P729" i="1"/>
  <c r="N729" i="1" s="1"/>
  <c r="BB728" i="1"/>
  <c r="AJ728" i="1"/>
  <c r="AI728" i="1"/>
  <c r="P728" i="1"/>
  <c r="N728" i="1" s="1"/>
  <c r="BB727" i="1"/>
  <c r="AJ727" i="1"/>
  <c r="AI727" i="1"/>
  <c r="P727" i="1"/>
  <c r="N727" i="1" s="1"/>
  <c r="BB726" i="1"/>
  <c r="AJ726" i="1"/>
  <c r="AI726" i="1"/>
  <c r="P726" i="1"/>
  <c r="N726" i="1" s="1"/>
  <c r="BB725" i="1"/>
  <c r="AJ725" i="1"/>
  <c r="AI725" i="1"/>
  <c r="P725" i="1"/>
  <c r="N725" i="1" s="1"/>
  <c r="BB724" i="1"/>
  <c r="AJ724" i="1"/>
  <c r="AI724" i="1"/>
  <c r="P724" i="1"/>
  <c r="N724" i="1" s="1"/>
  <c r="BB723" i="1"/>
  <c r="AJ723" i="1"/>
  <c r="AI723" i="1"/>
  <c r="P723" i="1"/>
  <c r="N723" i="1" s="1"/>
  <c r="BB722" i="1"/>
  <c r="AJ722" i="1"/>
  <c r="AI722" i="1"/>
  <c r="P722" i="1"/>
  <c r="N722" i="1" s="1"/>
  <c r="BB721" i="1"/>
  <c r="AJ721" i="1"/>
  <c r="AI721" i="1"/>
  <c r="P721" i="1"/>
  <c r="N721" i="1" s="1"/>
  <c r="BB720" i="1"/>
  <c r="AJ720" i="1"/>
  <c r="AI720" i="1"/>
  <c r="P720" i="1"/>
  <c r="N720" i="1" s="1"/>
  <c r="BB719" i="1"/>
  <c r="AJ719" i="1"/>
  <c r="AI719" i="1"/>
  <c r="P719" i="1"/>
  <c r="N719" i="1" s="1"/>
  <c r="BB718" i="1"/>
  <c r="AL718" i="1"/>
  <c r="AJ718" i="1"/>
  <c r="AI718" i="1"/>
  <c r="AH718" i="1"/>
  <c r="P718" i="1"/>
  <c r="N718" i="1" s="1"/>
  <c r="BB717" i="1"/>
  <c r="AJ717" i="1"/>
  <c r="AK717" i="1" s="1"/>
  <c r="AI717" i="1"/>
  <c r="P717" i="1"/>
  <c r="N717" i="1" s="1"/>
  <c r="BB716" i="1"/>
  <c r="AJ716" i="1"/>
  <c r="AI716" i="1"/>
  <c r="P716" i="1"/>
  <c r="N716" i="1" s="1"/>
  <c r="BB715" i="1"/>
  <c r="AJ715" i="1"/>
  <c r="AI715" i="1"/>
  <c r="P715" i="1"/>
  <c r="N715" i="1" s="1"/>
  <c r="BB714" i="1"/>
  <c r="AJ714" i="1"/>
  <c r="AI714" i="1"/>
  <c r="P714" i="1"/>
  <c r="N714" i="1" s="1"/>
  <c r="BB713" i="1"/>
  <c r="AJ713" i="1"/>
  <c r="AI713" i="1"/>
  <c r="N713" i="1"/>
  <c r="BB712" i="1"/>
  <c r="AJ712" i="1"/>
  <c r="AI712" i="1"/>
  <c r="P712" i="1"/>
  <c r="N712" i="1" s="1"/>
  <c r="BB711" i="1"/>
  <c r="AJ711" i="1"/>
  <c r="AI711" i="1"/>
  <c r="P711" i="1"/>
  <c r="N711" i="1" s="1"/>
  <c r="BB710" i="1"/>
  <c r="AJ710" i="1"/>
  <c r="AI710" i="1"/>
  <c r="P710" i="1"/>
  <c r="N710" i="1" s="1"/>
  <c r="BB709" i="1"/>
  <c r="AJ709" i="1"/>
  <c r="AI709" i="1"/>
  <c r="AH709" i="1"/>
  <c r="P709" i="1"/>
  <c r="N709" i="1" s="1"/>
  <c r="BB708" i="1"/>
  <c r="AJ708" i="1"/>
  <c r="AI708" i="1"/>
  <c r="P708" i="1"/>
  <c r="N708" i="1" s="1"/>
  <c r="BB707" i="1"/>
  <c r="AJ707" i="1"/>
  <c r="AI707" i="1"/>
  <c r="P707" i="1"/>
  <c r="N707" i="1" s="1"/>
  <c r="BB706" i="1"/>
  <c r="AJ706" i="1"/>
  <c r="AI706" i="1"/>
  <c r="P706" i="1"/>
  <c r="N706" i="1" s="1"/>
  <c r="BA705" i="1"/>
  <c r="AZ705" i="1"/>
  <c r="AY705" i="1"/>
  <c r="AX705" i="1"/>
  <c r="AW705" i="1"/>
  <c r="AV705" i="1"/>
  <c r="AU705" i="1"/>
  <c r="AT705" i="1"/>
  <c r="AS705" i="1"/>
  <c r="AR705" i="1"/>
  <c r="AQ705" i="1"/>
  <c r="AP705" i="1"/>
  <c r="AO705" i="1"/>
  <c r="AN705" i="1"/>
  <c r="AM705" i="1"/>
  <c r="AD705" i="1"/>
  <c r="AC705" i="1"/>
  <c r="AB705" i="1"/>
  <c r="AA705" i="1"/>
  <c r="Z705" i="1"/>
  <c r="Y705" i="1"/>
  <c r="X705" i="1"/>
  <c r="W705" i="1"/>
  <c r="V705" i="1"/>
  <c r="U705" i="1"/>
  <c r="T705" i="1"/>
  <c r="S705" i="1"/>
  <c r="R705" i="1"/>
  <c r="Q705" i="1"/>
  <c r="O705" i="1"/>
  <c r="BB704" i="1"/>
  <c r="P704" i="1"/>
  <c r="N704" i="1" s="1"/>
  <c r="AK704" i="1" s="1"/>
  <c r="BB703" i="1"/>
  <c r="P703" i="1"/>
  <c r="N703" i="1" s="1"/>
  <c r="AK703" i="1" s="1"/>
  <c r="BA702" i="1"/>
  <c r="AZ702" i="1"/>
  <c r="AY702" i="1"/>
  <c r="AX702" i="1"/>
  <c r="AW702" i="1"/>
  <c r="AV702" i="1"/>
  <c r="AU702" i="1"/>
  <c r="AT702" i="1"/>
  <c r="AS702" i="1"/>
  <c r="AR702" i="1"/>
  <c r="AQ702" i="1"/>
  <c r="AP702" i="1"/>
  <c r="AO702" i="1"/>
  <c r="AN702" i="1"/>
  <c r="AM702" i="1"/>
  <c r="AA702" i="1"/>
  <c r="Z702" i="1"/>
  <c r="Y702" i="1"/>
  <c r="X702" i="1"/>
  <c r="W702" i="1"/>
  <c r="V702" i="1"/>
  <c r="U702" i="1"/>
  <c r="T702" i="1"/>
  <c r="S702" i="1"/>
  <c r="R702" i="1"/>
  <c r="Q702" i="1"/>
  <c r="BB701" i="1"/>
  <c r="AL701" i="1"/>
  <c r="AJ701" i="1"/>
  <c r="AI701" i="1"/>
  <c r="AB701" i="1"/>
  <c r="Y701" i="1"/>
  <c r="V701" i="1"/>
  <c r="P701" i="1"/>
  <c r="AL700" i="1"/>
  <c r="AB700" i="1"/>
  <c r="Y700" i="1"/>
  <c r="V700" i="1"/>
  <c r="P700" i="1"/>
  <c r="BB699" i="1"/>
  <c r="AL699" i="1"/>
  <c r="AJ699" i="1"/>
  <c r="AI699" i="1"/>
  <c r="AB699" i="1"/>
  <c r="Y699" i="1"/>
  <c r="V699" i="1"/>
  <c r="P699" i="1"/>
  <c r="BB698" i="1"/>
  <c r="AL698" i="1"/>
  <c r="AJ698" i="1"/>
  <c r="AI698" i="1"/>
  <c r="AB698" i="1"/>
  <c r="Y698" i="1"/>
  <c r="V698" i="1"/>
  <c r="P698" i="1"/>
  <c r="BB697" i="1"/>
  <c r="AL697" i="1"/>
  <c r="AJ697" i="1"/>
  <c r="AI697" i="1"/>
  <c r="AB697" i="1"/>
  <c r="Y697" i="1"/>
  <c r="V697" i="1"/>
  <c r="P697" i="1"/>
  <c r="BB696" i="1"/>
  <c r="AL696" i="1"/>
  <c r="AJ696" i="1"/>
  <c r="AI696" i="1"/>
  <c r="AB696" i="1"/>
  <c r="Y696" i="1"/>
  <c r="V696" i="1"/>
  <c r="P696" i="1"/>
  <c r="BB695" i="1"/>
  <c r="AL695" i="1"/>
  <c r="AJ695" i="1"/>
  <c r="AI695" i="1"/>
  <c r="AB695" i="1"/>
  <c r="Y695" i="1"/>
  <c r="V695" i="1"/>
  <c r="Q695" i="1"/>
  <c r="P695" i="1"/>
  <c r="BB694" i="1"/>
  <c r="AL694" i="1"/>
  <c r="AJ694" i="1"/>
  <c r="AI694" i="1"/>
  <c r="AD694" i="1"/>
  <c r="AB694" i="1"/>
  <c r="Y694" i="1"/>
  <c r="V694" i="1"/>
  <c r="Q694" i="1"/>
  <c r="P694" i="1" s="1"/>
  <c r="BB693" i="1"/>
  <c r="AL693" i="1"/>
  <c r="AJ693" i="1"/>
  <c r="AI693" i="1"/>
  <c r="AH693" i="1"/>
  <c r="AB693" i="1"/>
  <c r="Y693" i="1"/>
  <c r="V693" i="1"/>
  <c r="P693" i="1"/>
  <c r="BB692" i="1"/>
  <c r="AL692" i="1"/>
  <c r="AJ692" i="1"/>
  <c r="AI692" i="1"/>
  <c r="AB692" i="1"/>
  <c r="Y692" i="1"/>
  <c r="V692" i="1"/>
  <c r="P692" i="1"/>
  <c r="BB691" i="1"/>
  <c r="AL691" i="1"/>
  <c r="AJ691" i="1"/>
  <c r="AI691" i="1"/>
  <c r="AB691" i="1"/>
  <c r="Y691" i="1"/>
  <c r="V691" i="1"/>
  <c r="P691" i="1"/>
  <c r="BB690" i="1"/>
  <c r="AL690" i="1"/>
  <c r="AJ690" i="1"/>
  <c r="AI690" i="1"/>
  <c r="AH690" i="1"/>
  <c r="AB690" i="1"/>
  <c r="Y690" i="1"/>
  <c r="V690" i="1"/>
  <c r="P690" i="1"/>
  <c r="BB689" i="1"/>
  <c r="AL689" i="1"/>
  <c r="AJ689" i="1"/>
  <c r="AI689" i="1"/>
  <c r="AB689" i="1"/>
  <c r="Y689" i="1"/>
  <c r="V689" i="1"/>
  <c r="P689" i="1"/>
  <c r="BB688" i="1"/>
  <c r="AL688" i="1"/>
  <c r="AJ688" i="1"/>
  <c r="AI688" i="1"/>
  <c r="AB688" i="1"/>
  <c r="Y688" i="1"/>
  <c r="V688" i="1"/>
  <c r="P688" i="1"/>
  <c r="BB687" i="1"/>
  <c r="AL687" i="1"/>
  <c r="AJ687" i="1"/>
  <c r="AI687" i="1"/>
  <c r="AH687" i="1"/>
  <c r="AB687" i="1"/>
  <c r="Y687" i="1"/>
  <c r="V687" i="1"/>
  <c r="P687" i="1"/>
  <c r="BB686" i="1"/>
  <c r="AL686" i="1"/>
  <c r="AJ686" i="1"/>
  <c r="AI686" i="1"/>
  <c r="AH686" i="1"/>
  <c r="AB686" i="1"/>
  <c r="Y686" i="1"/>
  <c r="V686" i="1"/>
  <c r="P686" i="1"/>
  <c r="BB685" i="1"/>
  <c r="AL685" i="1"/>
  <c r="AJ685" i="1"/>
  <c r="AI685" i="1"/>
  <c r="AH685" i="1"/>
  <c r="AB685" i="1"/>
  <c r="Y685" i="1"/>
  <c r="V685" i="1"/>
  <c r="P685" i="1"/>
  <c r="BB684" i="1"/>
  <c r="AL684" i="1"/>
  <c r="AJ684" i="1"/>
  <c r="AI684" i="1"/>
  <c r="AB684" i="1"/>
  <c r="Y684" i="1"/>
  <c r="V684" i="1"/>
  <c r="P684" i="1"/>
  <c r="BB683" i="1"/>
  <c r="AL683" i="1"/>
  <c r="AJ683" i="1"/>
  <c r="AI683" i="1"/>
  <c r="AB683" i="1"/>
  <c r="Y683" i="1"/>
  <c r="V683" i="1"/>
  <c r="P683" i="1"/>
  <c r="BB682" i="1"/>
  <c r="AL682" i="1"/>
  <c r="AJ682" i="1"/>
  <c r="AI682" i="1"/>
  <c r="AB682" i="1"/>
  <c r="Y682" i="1"/>
  <c r="V682" i="1"/>
  <c r="P682" i="1"/>
  <c r="BB681" i="1"/>
  <c r="AL681" i="1"/>
  <c r="AJ681" i="1"/>
  <c r="AI681" i="1"/>
  <c r="AB681" i="1"/>
  <c r="Y681" i="1"/>
  <c r="V681" i="1"/>
  <c r="P681" i="1"/>
  <c r="BB680" i="1"/>
  <c r="AL680" i="1"/>
  <c r="AJ680" i="1"/>
  <c r="AI680" i="1"/>
  <c r="AB680" i="1"/>
  <c r="Y680" i="1"/>
  <c r="V680" i="1"/>
  <c r="P680" i="1"/>
  <c r="BB679" i="1"/>
  <c r="AL679" i="1"/>
  <c r="AJ679" i="1"/>
  <c r="AI679" i="1"/>
  <c r="AB679" i="1"/>
  <c r="Y679" i="1"/>
  <c r="V679" i="1"/>
  <c r="Q679" i="1"/>
  <c r="P679" i="1"/>
  <c r="BB678" i="1"/>
  <c r="AL678" i="1"/>
  <c r="AJ678" i="1"/>
  <c r="AI678" i="1"/>
  <c r="AB678" i="1"/>
  <c r="Y678" i="1"/>
  <c r="V678" i="1"/>
  <c r="P678" i="1"/>
  <c r="BB677" i="1"/>
  <c r="AL677" i="1"/>
  <c r="AJ677" i="1"/>
  <c r="AI677" i="1"/>
  <c r="AB677" i="1"/>
  <c r="Y677" i="1"/>
  <c r="V677" i="1"/>
  <c r="Q677" i="1"/>
  <c r="P677" i="1" s="1"/>
  <c r="BB676" i="1"/>
  <c r="AL676" i="1"/>
  <c r="AJ676" i="1"/>
  <c r="AI676" i="1"/>
  <c r="AB676" i="1"/>
  <c r="Y676" i="1"/>
  <c r="V676" i="1"/>
  <c r="P676" i="1"/>
  <c r="BB675" i="1"/>
  <c r="AL675" i="1"/>
  <c r="AJ675" i="1"/>
  <c r="AI675" i="1"/>
  <c r="AB675" i="1"/>
  <c r="Y675" i="1"/>
  <c r="V675" i="1"/>
  <c r="P675" i="1"/>
  <c r="BB674" i="1"/>
  <c r="AL674" i="1"/>
  <c r="AJ674" i="1"/>
  <c r="AI674" i="1"/>
  <c r="AB674" i="1"/>
  <c r="Y674" i="1"/>
  <c r="V674" i="1"/>
  <c r="P674" i="1"/>
  <c r="BB673" i="1"/>
  <c r="AL673" i="1"/>
  <c r="AJ673" i="1"/>
  <c r="AI673" i="1"/>
  <c r="AD673" i="1"/>
  <c r="AB673" i="1"/>
  <c r="Y673" i="1"/>
  <c r="V673" i="1"/>
  <c r="P673" i="1"/>
  <c r="BB672" i="1"/>
  <c r="AL672" i="1"/>
  <c r="AJ672" i="1"/>
  <c r="AI672" i="1"/>
  <c r="AB672" i="1"/>
  <c r="Y672" i="1"/>
  <c r="V672" i="1"/>
  <c r="P672" i="1"/>
  <c r="BB671" i="1"/>
  <c r="AL671" i="1"/>
  <c r="AJ671" i="1"/>
  <c r="AI671" i="1"/>
  <c r="AB671" i="1"/>
  <c r="Y671" i="1"/>
  <c r="V671" i="1"/>
  <c r="Q671" i="1"/>
  <c r="P671" i="1" s="1"/>
  <c r="BB670" i="1"/>
  <c r="AL670" i="1"/>
  <c r="AJ670" i="1"/>
  <c r="AI670" i="1"/>
  <c r="AB670" i="1"/>
  <c r="Y670" i="1"/>
  <c r="V670" i="1"/>
  <c r="P670" i="1"/>
  <c r="BB669" i="1"/>
  <c r="AL669" i="1"/>
  <c r="AJ669" i="1"/>
  <c r="AI669" i="1"/>
  <c r="AB669" i="1"/>
  <c r="Y669" i="1"/>
  <c r="V669" i="1"/>
  <c r="P669" i="1"/>
  <c r="BB668" i="1"/>
  <c r="AL668" i="1"/>
  <c r="AJ668" i="1"/>
  <c r="AI668" i="1"/>
  <c r="AB668" i="1"/>
  <c r="Y668" i="1"/>
  <c r="V668" i="1"/>
  <c r="P668" i="1"/>
  <c r="BB667" i="1"/>
  <c r="AL667" i="1"/>
  <c r="AJ667" i="1"/>
  <c r="AI667" i="1"/>
  <c r="AB667" i="1"/>
  <c r="Y667" i="1"/>
  <c r="V667" i="1"/>
  <c r="P667" i="1"/>
  <c r="BB666" i="1"/>
  <c r="AL666" i="1"/>
  <c r="AJ666" i="1"/>
  <c r="AI666" i="1"/>
  <c r="AB666" i="1"/>
  <c r="Y666" i="1"/>
  <c r="V666" i="1"/>
  <c r="P666" i="1"/>
  <c r="BB665" i="1"/>
  <c r="AL665" i="1"/>
  <c r="AJ665" i="1"/>
  <c r="AI665" i="1"/>
  <c r="AB665" i="1"/>
  <c r="Y665" i="1"/>
  <c r="V665" i="1"/>
  <c r="P665" i="1"/>
  <c r="BB664" i="1"/>
  <c r="AL664" i="1"/>
  <c r="AJ664" i="1"/>
  <c r="AI664" i="1"/>
  <c r="AH664" i="1"/>
  <c r="AB664" i="1"/>
  <c r="Y664" i="1"/>
  <c r="V664" i="1"/>
  <c r="P664" i="1"/>
  <c r="BB663" i="1"/>
  <c r="AL663" i="1"/>
  <c r="AJ663" i="1"/>
  <c r="AI663" i="1"/>
  <c r="AB663" i="1"/>
  <c r="Y663" i="1"/>
  <c r="V663" i="1"/>
  <c r="P663" i="1"/>
  <c r="BB662" i="1"/>
  <c r="AL662" i="1"/>
  <c r="AJ662" i="1"/>
  <c r="AI662" i="1"/>
  <c r="AB662" i="1"/>
  <c r="Y662" i="1"/>
  <c r="V662" i="1"/>
  <c r="P662" i="1"/>
  <c r="BB661" i="1"/>
  <c r="AL661" i="1"/>
  <c r="AJ661" i="1"/>
  <c r="AI661" i="1"/>
  <c r="AH661" i="1"/>
  <c r="AB661" i="1"/>
  <c r="Y661" i="1"/>
  <c r="V661" i="1"/>
  <c r="P661" i="1"/>
  <c r="BB660" i="1"/>
  <c r="AL660" i="1"/>
  <c r="AJ660" i="1"/>
  <c r="AI660" i="1"/>
  <c r="AB660" i="1"/>
  <c r="Y660" i="1"/>
  <c r="V660" i="1"/>
  <c r="P660" i="1"/>
  <c r="BB659" i="1"/>
  <c r="AL659" i="1"/>
  <c r="AJ659" i="1"/>
  <c r="AI659" i="1"/>
  <c r="AB659" i="1"/>
  <c r="Y659" i="1"/>
  <c r="V659" i="1"/>
  <c r="P659" i="1"/>
  <c r="BB658" i="1"/>
  <c r="AL658" i="1"/>
  <c r="AJ658" i="1"/>
  <c r="AI658" i="1"/>
  <c r="AH658" i="1"/>
  <c r="AB658" i="1"/>
  <c r="Y658" i="1"/>
  <c r="V658" i="1"/>
  <c r="P658" i="1"/>
  <c r="BB657" i="1"/>
  <c r="AL657" i="1"/>
  <c r="AJ657" i="1"/>
  <c r="AI657" i="1"/>
  <c r="AH657" i="1"/>
  <c r="AB657" i="1"/>
  <c r="Y657" i="1"/>
  <c r="V657" i="1"/>
  <c r="P657" i="1"/>
  <c r="BB656" i="1"/>
  <c r="AL656" i="1"/>
  <c r="AJ656" i="1"/>
  <c r="AI656" i="1"/>
  <c r="AH656" i="1"/>
  <c r="AB656" i="1"/>
  <c r="Y656" i="1"/>
  <c r="V656" i="1"/>
  <c r="P656" i="1"/>
  <c r="BB655" i="1"/>
  <c r="AL655" i="1"/>
  <c r="AJ655" i="1"/>
  <c r="AI655" i="1"/>
  <c r="AB655" i="1"/>
  <c r="Y655" i="1"/>
  <c r="V655" i="1"/>
  <c r="P655" i="1"/>
  <c r="BB654" i="1"/>
  <c r="AL654" i="1"/>
  <c r="AJ654" i="1"/>
  <c r="AI654" i="1"/>
  <c r="AB654" i="1"/>
  <c r="Y654" i="1"/>
  <c r="V654" i="1"/>
  <c r="P654" i="1"/>
  <c r="BB653" i="1"/>
  <c r="AL653" i="1"/>
  <c r="AJ653" i="1"/>
  <c r="AI653" i="1"/>
  <c r="AB653" i="1"/>
  <c r="Y653" i="1"/>
  <c r="V653" i="1"/>
  <c r="P653" i="1"/>
  <c r="BB652" i="1"/>
  <c r="AL652" i="1"/>
  <c r="AJ652" i="1"/>
  <c r="AI652" i="1"/>
  <c r="AB652" i="1"/>
  <c r="Y652" i="1"/>
  <c r="V652" i="1"/>
  <c r="P652" i="1"/>
  <c r="BB651" i="1"/>
  <c r="AL651" i="1"/>
  <c r="AJ651" i="1"/>
  <c r="AI651" i="1"/>
  <c r="AB651" i="1"/>
  <c r="Y651" i="1"/>
  <c r="V651" i="1"/>
  <c r="P651" i="1"/>
  <c r="BB650" i="1"/>
  <c r="AL650" i="1"/>
  <c r="AJ650" i="1"/>
  <c r="AI650" i="1"/>
  <c r="AH650" i="1"/>
  <c r="AB650" i="1"/>
  <c r="Y650" i="1"/>
  <c r="V650" i="1"/>
  <c r="P650" i="1"/>
  <c r="BB649" i="1"/>
  <c r="AL649" i="1"/>
  <c r="AJ649" i="1"/>
  <c r="AI649" i="1"/>
  <c r="AB649" i="1"/>
  <c r="Y649" i="1"/>
  <c r="V649" i="1"/>
  <c r="P649" i="1"/>
  <c r="BB648" i="1"/>
  <c r="AL648" i="1"/>
  <c r="AJ648" i="1"/>
  <c r="AI648" i="1"/>
  <c r="AB648" i="1"/>
  <c r="Y648" i="1"/>
  <c r="V648" i="1"/>
  <c r="P648" i="1"/>
  <c r="BB647" i="1"/>
  <c r="AL647" i="1"/>
  <c r="AJ647" i="1"/>
  <c r="AI647" i="1"/>
  <c r="AH647" i="1"/>
  <c r="AB647" i="1"/>
  <c r="Y647" i="1"/>
  <c r="V647" i="1"/>
  <c r="P647" i="1"/>
  <c r="BB646" i="1"/>
  <c r="AL646" i="1"/>
  <c r="AJ646" i="1"/>
  <c r="AI646" i="1"/>
  <c r="AB646" i="1"/>
  <c r="Y646" i="1"/>
  <c r="V646" i="1"/>
  <c r="P646" i="1"/>
  <c r="BB645" i="1"/>
  <c r="AL645" i="1"/>
  <c r="AJ645" i="1"/>
  <c r="AI645" i="1"/>
  <c r="AB645" i="1"/>
  <c r="Y645" i="1"/>
  <c r="V645" i="1"/>
  <c r="P645" i="1"/>
  <c r="BB644" i="1"/>
  <c r="AL644" i="1"/>
  <c r="AJ644" i="1"/>
  <c r="AI644" i="1"/>
  <c r="AB644" i="1"/>
  <c r="Y644" i="1"/>
  <c r="V644" i="1"/>
  <c r="P644" i="1"/>
  <c r="BB643" i="1"/>
  <c r="AL643" i="1"/>
  <c r="AJ643" i="1"/>
  <c r="AI643" i="1"/>
  <c r="AB643" i="1"/>
  <c r="Y643" i="1"/>
  <c r="V643" i="1"/>
  <c r="P643" i="1"/>
  <c r="BB642" i="1"/>
  <c r="AL642" i="1"/>
  <c r="AJ642" i="1"/>
  <c r="AI642" i="1"/>
  <c r="AB642" i="1"/>
  <c r="Y642" i="1"/>
  <c r="V642" i="1"/>
  <c r="P642" i="1"/>
  <c r="BB641" i="1"/>
  <c r="AL641" i="1"/>
  <c r="AJ641" i="1"/>
  <c r="AI641" i="1"/>
  <c r="AB641" i="1"/>
  <c r="Y641" i="1"/>
  <c r="V641" i="1"/>
  <c r="P641" i="1"/>
  <c r="BB640" i="1"/>
  <c r="AL640" i="1"/>
  <c r="AJ640" i="1"/>
  <c r="AI640" i="1"/>
  <c r="AB640" i="1"/>
  <c r="Y640" i="1"/>
  <c r="V640" i="1"/>
  <c r="P640" i="1"/>
  <c r="BB639" i="1"/>
  <c r="AL639" i="1"/>
  <c r="AJ639" i="1"/>
  <c r="AI639" i="1"/>
  <c r="AB639" i="1"/>
  <c r="Y639" i="1"/>
  <c r="V639" i="1"/>
  <c r="P639" i="1"/>
  <c r="BB638" i="1"/>
  <c r="AL638" i="1"/>
  <c r="AJ638" i="1"/>
  <c r="AI638" i="1"/>
  <c r="AB638" i="1"/>
  <c r="Y638" i="1"/>
  <c r="V638" i="1"/>
  <c r="P638" i="1"/>
  <c r="BB637" i="1"/>
  <c r="AL637" i="1"/>
  <c r="AJ637" i="1"/>
  <c r="AI637" i="1"/>
  <c r="AB637" i="1"/>
  <c r="Y637" i="1"/>
  <c r="V637" i="1"/>
  <c r="P637" i="1"/>
  <c r="BB636" i="1"/>
  <c r="AL636" i="1"/>
  <c r="AJ636" i="1"/>
  <c r="AI636" i="1"/>
  <c r="AH636" i="1"/>
  <c r="AB636" i="1"/>
  <c r="Y636" i="1"/>
  <c r="V636" i="1"/>
  <c r="P636" i="1"/>
  <c r="BB635" i="1"/>
  <c r="AL635" i="1"/>
  <c r="AJ635" i="1"/>
  <c r="AI635" i="1"/>
  <c r="AB635" i="1"/>
  <c r="Y635" i="1"/>
  <c r="V635" i="1"/>
  <c r="P635" i="1"/>
  <c r="BB634" i="1"/>
  <c r="AL634" i="1"/>
  <c r="AJ634" i="1"/>
  <c r="AI634" i="1"/>
  <c r="AB634" i="1"/>
  <c r="Y634" i="1"/>
  <c r="V634" i="1"/>
  <c r="P634" i="1"/>
  <c r="BB633" i="1"/>
  <c r="AL633" i="1"/>
  <c r="AJ633" i="1"/>
  <c r="AI633" i="1"/>
  <c r="AB633" i="1"/>
  <c r="Y633" i="1"/>
  <c r="V633" i="1"/>
  <c r="P633" i="1"/>
  <c r="BB632" i="1"/>
  <c r="AL632" i="1"/>
  <c r="AJ632" i="1"/>
  <c r="AI632" i="1"/>
  <c r="AB632" i="1"/>
  <c r="Y632" i="1"/>
  <c r="V632" i="1"/>
  <c r="Q632" i="1"/>
  <c r="P632" i="1"/>
  <c r="BB631" i="1"/>
  <c r="AL631" i="1"/>
  <c r="AJ631" i="1"/>
  <c r="AI631" i="1"/>
  <c r="AB631" i="1"/>
  <c r="Y631" i="1"/>
  <c r="V631" i="1"/>
  <c r="P631" i="1"/>
  <c r="BB630" i="1"/>
  <c r="AL630" i="1"/>
  <c r="AJ630" i="1"/>
  <c r="AI630" i="1"/>
  <c r="AB630" i="1"/>
  <c r="Y630" i="1"/>
  <c r="V630" i="1"/>
  <c r="P630" i="1"/>
  <c r="BB629" i="1"/>
  <c r="AL629" i="1"/>
  <c r="AJ629" i="1"/>
  <c r="AI629" i="1"/>
  <c r="AB629" i="1"/>
  <c r="Y629" i="1"/>
  <c r="V629" i="1"/>
  <c r="P629" i="1"/>
  <c r="BB628" i="1"/>
  <c r="AL628" i="1"/>
  <c r="AJ628" i="1"/>
  <c r="AI628" i="1"/>
  <c r="AB628" i="1"/>
  <c r="Y628" i="1"/>
  <c r="V628" i="1"/>
  <c r="P628" i="1"/>
  <c r="BB627" i="1"/>
  <c r="AL627" i="1"/>
  <c r="AB627" i="1"/>
  <c r="Y627" i="1"/>
  <c r="V627" i="1"/>
  <c r="P627" i="1"/>
  <c r="BB626" i="1"/>
  <c r="AL626" i="1"/>
  <c r="AJ626" i="1"/>
  <c r="AI626" i="1"/>
  <c r="AB626" i="1"/>
  <c r="Y626" i="1"/>
  <c r="V626" i="1"/>
  <c r="P626" i="1"/>
  <c r="BB625" i="1"/>
  <c r="AL625" i="1"/>
  <c r="AJ625" i="1"/>
  <c r="AI625" i="1"/>
  <c r="AB625" i="1"/>
  <c r="Y625" i="1"/>
  <c r="V625" i="1"/>
  <c r="P625" i="1"/>
  <c r="BB624" i="1"/>
  <c r="AL624" i="1"/>
  <c r="AJ624" i="1"/>
  <c r="AI624" i="1"/>
  <c r="AB624" i="1"/>
  <c r="Y624" i="1"/>
  <c r="V624" i="1"/>
  <c r="P624" i="1"/>
  <c r="BB623" i="1"/>
  <c r="AL623" i="1"/>
  <c r="AJ623" i="1"/>
  <c r="AI623" i="1"/>
  <c r="AB623" i="1"/>
  <c r="Y623" i="1"/>
  <c r="V623" i="1"/>
  <c r="P623" i="1"/>
  <c r="BB622" i="1"/>
  <c r="AL622" i="1"/>
  <c r="AJ622" i="1"/>
  <c r="AI622" i="1"/>
  <c r="AB622" i="1"/>
  <c r="Y622" i="1"/>
  <c r="V622" i="1"/>
  <c r="Q622" i="1"/>
  <c r="P622" i="1"/>
  <c r="BB621" i="1"/>
  <c r="AL621" i="1"/>
  <c r="AJ621" i="1"/>
  <c r="AI621" i="1"/>
  <c r="AB621" i="1"/>
  <c r="Y621" i="1"/>
  <c r="V621" i="1"/>
  <c r="P621" i="1"/>
  <c r="BB620" i="1"/>
  <c r="AL620" i="1"/>
  <c r="AJ620" i="1"/>
  <c r="AI620" i="1"/>
  <c r="AH620" i="1"/>
  <c r="AB620" i="1"/>
  <c r="Y620" i="1"/>
  <c r="V620" i="1"/>
  <c r="P620" i="1"/>
  <c r="BB619" i="1"/>
  <c r="AL619" i="1"/>
  <c r="AJ619" i="1"/>
  <c r="AI619" i="1"/>
  <c r="AB619" i="1"/>
  <c r="Y619" i="1"/>
  <c r="V619" i="1"/>
  <c r="P619" i="1"/>
  <c r="BB618" i="1"/>
  <c r="AL618" i="1"/>
  <c r="AJ618" i="1"/>
  <c r="AI618" i="1"/>
  <c r="AH618" i="1"/>
  <c r="AB618" i="1"/>
  <c r="Y618" i="1"/>
  <c r="V618" i="1"/>
  <c r="P618" i="1"/>
  <c r="BB617" i="1"/>
  <c r="AL617" i="1"/>
  <c r="AJ617" i="1"/>
  <c r="AI617" i="1"/>
  <c r="AB617" i="1"/>
  <c r="Y617" i="1"/>
  <c r="V617" i="1"/>
  <c r="P617" i="1"/>
  <c r="BB616" i="1"/>
  <c r="AL616" i="1"/>
  <c r="AJ616" i="1"/>
  <c r="AI616" i="1"/>
  <c r="AB616" i="1"/>
  <c r="Y616" i="1"/>
  <c r="V616" i="1"/>
  <c r="P616" i="1"/>
  <c r="BB615" i="1"/>
  <c r="AL615" i="1"/>
  <c r="AJ615" i="1"/>
  <c r="AI615" i="1"/>
  <c r="AB615" i="1"/>
  <c r="Y615" i="1"/>
  <c r="V615" i="1"/>
  <c r="P615" i="1"/>
  <c r="BB614" i="1"/>
  <c r="AL614" i="1"/>
  <c r="AJ614" i="1"/>
  <c r="AI614" i="1"/>
  <c r="AB614" i="1"/>
  <c r="Y614" i="1"/>
  <c r="V614" i="1"/>
  <c r="P614" i="1"/>
  <c r="BB613" i="1"/>
  <c r="AL613" i="1"/>
  <c r="AJ613" i="1"/>
  <c r="AI613" i="1"/>
  <c r="AB613" i="1"/>
  <c r="Y613" i="1"/>
  <c r="V613" i="1"/>
  <c r="P613" i="1"/>
  <c r="BB612" i="1"/>
  <c r="AL612" i="1"/>
  <c r="AJ612" i="1"/>
  <c r="AI612" i="1"/>
  <c r="AH612" i="1"/>
  <c r="AB612" i="1"/>
  <c r="Y612" i="1"/>
  <c r="V612" i="1"/>
  <c r="P612" i="1"/>
  <c r="BB611" i="1"/>
  <c r="AL611" i="1"/>
  <c r="AJ611" i="1"/>
  <c r="AI611" i="1"/>
  <c r="AB611" i="1"/>
  <c r="Y611" i="1"/>
  <c r="V611" i="1"/>
  <c r="P611" i="1"/>
  <c r="BB610" i="1"/>
  <c r="AL610" i="1"/>
  <c r="AJ610" i="1"/>
  <c r="AI610" i="1"/>
  <c r="AB610" i="1"/>
  <c r="Y610" i="1"/>
  <c r="V610" i="1"/>
  <c r="P610" i="1"/>
  <c r="BB609" i="1"/>
  <c r="AL609" i="1"/>
  <c r="AJ609" i="1"/>
  <c r="AI609" i="1"/>
  <c r="AB609" i="1"/>
  <c r="Y609" i="1"/>
  <c r="V609" i="1"/>
  <c r="P609" i="1"/>
  <c r="BB608" i="1"/>
  <c r="AL608" i="1"/>
  <c r="AJ608" i="1"/>
  <c r="AI608" i="1"/>
  <c r="AB608" i="1"/>
  <c r="Y608" i="1"/>
  <c r="V608" i="1"/>
  <c r="P608" i="1"/>
  <c r="BB607" i="1"/>
  <c r="AL607" i="1"/>
  <c r="AJ607" i="1"/>
  <c r="AI607" i="1"/>
  <c r="AB607" i="1"/>
  <c r="Y607" i="1"/>
  <c r="V607" i="1"/>
  <c r="P607" i="1"/>
  <c r="BB606" i="1"/>
  <c r="AL606" i="1"/>
  <c r="AJ606" i="1"/>
  <c r="AI606" i="1"/>
  <c r="AB606" i="1"/>
  <c r="Y606" i="1"/>
  <c r="V606" i="1"/>
  <c r="P606" i="1"/>
  <c r="BB605" i="1"/>
  <c r="AL605" i="1"/>
  <c r="AJ605" i="1"/>
  <c r="AI605" i="1"/>
  <c r="AB605" i="1"/>
  <c r="Y605" i="1"/>
  <c r="V605" i="1"/>
  <c r="P605" i="1"/>
  <c r="BB604" i="1"/>
  <c r="AL604" i="1"/>
  <c r="AJ604" i="1"/>
  <c r="AI604" i="1"/>
  <c r="AB604" i="1"/>
  <c r="Y604" i="1"/>
  <c r="P604" i="1"/>
  <c r="BB603" i="1"/>
  <c r="AL603" i="1"/>
  <c r="AJ603" i="1"/>
  <c r="AI603" i="1"/>
  <c r="AB603" i="1"/>
  <c r="Y603" i="1"/>
  <c r="V603" i="1"/>
  <c r="P603" i="1"/>
  <c r="BB602" i="1"/>
  <c r="AL602" i="1"/>
  <c r="AJ602" i="1"/>
  <c r="AI602" i="1"/>
  <c r="AB602" i="1"/>
  <c r="Y602" i="1"/>
  <c r="V602" i="1"/>
  <c r="P602" i="1"/>
  <c r="BB601" i="1"/>
  <c r="AL601" i="1"/>
  <c r="AJ601" i="1"/>
  <c r="AI601" i="1"/>
  <c r="AB601" i="1"/>
  <c r="Y601" i="1"/>
  <c r="V601" i="1"/>
  <c r="P601" i="1"/>
  <c r="BB600" i="1"/>
  <c r="AL600" i="1"/>
  <c r="AJ600" i="1"/>
  <c r="AI600" i="1"/>
  <c r="AB600" i="1"/>
  <c r="Y600" i="1"/>
  <c r="V600" i="1"/>
  <c r="P600" i="1"/>
  <c r="BB599" i="1"/>
  <c r="AL599" i="1"/>
  <c r="AJ599" i="1"/>
  <c r="AI599" i="1"/>
  <c r="AB599" i="1"/>
  <c r="Y599" i="1"/>
  <c r="V599" i="1"/>
  <c r="P599" i="1"/>
  <c r="BB598" i="1"/>
  <c r="AL598" i="1"/>
  <c r="AJ598" i="1"/>
  <c r="AI598" i="1"/>
  <c r="AB598" i="1"/>
  <c r="Y598" i="1"/>
  <c r="V598" i="1"/>
  <c r="P598" i="1"/>
  <c r="BB597" i="1"/>
  <c r="AL597" i="1"/>
  <c r="AJ597" i="1"/>
  <c r="AI597" i="1"/>
  <c r="AB597" i="1"/>
  <c r="Y597" i="1"/>
  <c r="V597" i="1"/>
  <c r="P597" i="1"/>
  <c r="BB596" i="1"/>
  <c r="AL596" i="1"/>
  <c r="AJ596" i="1"/>
  <c r="AI596" i="1"/>
  <c r="AB596" i="1"/>
  <c r="Y596" i="1"/>
  <c r="V596" i="1"/>
  <c r="P596" i="1"/>
  <c r="BB595" i="1"/>
  <c r="AL595" i="1"/>
  <c r="AJ595" i="1"/>
  <c r="AI595" i="1"/>
  <c r="AH595" i="1"/>
  <c r="AB595" i="1"/>
  <c r="Y595" i="1"/>
  <c r="V595" i="1"/>
  <c r="P595" i="1"/>
  <c r="BB594" i="1"/>
  <c r="AL594" i="1"/>
  <c r="AJ594" i="1"/>
  <c r="AI594" i="1"/>
  <c r="AH594" i="1"/>
  <c r="AB594" i="1"/>
  <c r="Y594" i="1"/>
  <c r="V594" i="1"/>
  <c r="P594" i="1"/>
  <c r="BB593" i="1"/>
  <c r="AL593" i="1"/>
  <c r="AJ593" i="1"/>
  <c r="AI593" i="1"/>
  <c r="AB593" i="1"/>
  <c r="Y593" i="1"/>
  <c r="V593" i="1"/>
  <c r="P593" i="1"/>
  <c r="BB592" i="1"/>
  <c r="AL592" i="1"/>
  <c r="AJ592" i="1"/>
  <c r="AI592" i="1"/>
  <c r="AB592" i="1"/>
  <c r="Y592" i="1"/>
  <c r="V592" i="1"/>
  <c r="P592" i="1"/>
  <c r="BB591" i="1"/>
  <c r="AL591" i="1"/>
  <c r="AJ591" i="1"/>
  <c r="AI591" i="1"/>
  <c r="AB591" i="1"/>
  <c r="Y591" i="1"/>
  <c r="V591" i="1"/>
  <c r="P591" i="1"/>
  <c r="BB590" i="1"/>
  <c r="AL590" i="1"/>
  <c r="AJ590" i="1"/>
  <c r="AI590" i="1"/>
  <c r="AB590" i="1"/>
  <c r="Y590" i="1"/>
  <c r="V590" i="1"/>
  <c r="P590" i="1"/>
  <c r="BB589" i="1"/>
  <c r="AL589" i="1"/>
  <c r="AJ589" i="1"/>
  <c r="AI589" i="1"/>
  <c r="AB589" i="1"/>
  <c r="Y589" i="1"/>
  <c r="V589" i="1"/>
  <c r="P589" i="1"/>
  <c r="BB588" i="1"/>
  <c r="AL588" i="1"/>
  <c r="AJ588" i="1"/>
  <c r="AI588" i="1"/>
  <c r="AH588" i="1"/>
  <c r="AB588" i="1"/>
  <c r="Y588" i="1"/>
  <c r="V588" i="1"/>
  <c r="P588" i="1"/>
  <c r="BB587" i="1"/>
  <c r="AL587" i="1"/>
  <c r="AJ587" i="1"/>
  <c r="AI587" i="1"/>
  <c r="AD587" i="1"/>
  <c r="AB587" i="1" s="1"/>
  <c r="Y587" i="1"/>
  <c r="V587" i="1"/>
  <c r="Q587" i="1"/>
  <c r="P587" i="1"/>
  <c r="BB586" i="1"/>
  <c r="AL586" i="1"/>
  <c r="AJ586" i="1"/>
  <c r="AI586" i="1"/>
  <c r="AB586" i="1"/>
  <c r="Y586" i="1"/>
  <c r="V586" i="1"/>
  <c r="P586" i="1"/>
  <c r="BB585" i="1"/>
  <c r="AL585" i="1"/>
  <c r="AJ585" i="1"/>
  <c r="AI585" i="1"/>
  <c r="AB585" i="1"/>
  <c r="Y585" i="1"/>
  <c r="V585" i="1"/>
  <c r="P585" i="1"/>
  <c r="BB584" i="1"/>
  <c r="AL584" i="1"/>
  <c r="AJ584" i="1"/>
  <c r="AI584" i="1"/>
  <c r="AH584" i="1"/>
  <c r="AB584" i="1"/>
  <c r="Y584" i="1"/>
  <c r="V584" i="1"/>
  <c r="P584" i="1"/>
  <c r="BB583" i="1"/>
  <c r="AL583" i="1"/>
  <c r="AJ583" i="1"/>
  <c r="AI583" i="1"/>
  <c r="AH583" i="1"/>
  <c r="AB583" i="1"/>
  <c r="Y583" i="1"/>
  <c r="V583" i="1"/>
  <c r="P583" i="1"/>
  <c r="BB582" i="1"/>
  <c r="AL582" i="1"/>
  <c r="AJ582" i="1"/>
  <c r="AI582" i="1"/>
  <c r="AB582" i="1"/>
  <c r="Y582" i="1"/>
  <c r="V582" i="1"/>
  <c r="P582" i="1"/>
  <c r="BB581" i="1"/>
  <c r="AL581" i="1"/>
  <c r="AJ581" i="1"/>
  <c r="AI581" i="1"/>
  <c r="AB581" i="1"/>
  <c r="Y581" i="1"/>
  <c r="V581" i="1"/>
  <c r="P581" i="1"/>
  <c r="BB580" i="1"/>
  <c r="AL580" i="1"/>
  <c r="AJ580" i="1"/>
  <c r="AI580" i="1"/>
  <c r="AB580" i="1"/>
  <c r="Y580" i="1"/>
  <c r="V580" i="1"/>
  <c r="P580" i="1"/>
  <c r="BB579" i="1"/>
  <c r="AL579" i="1"/>
  <c r="AJ579" i="1"/>
  <c r="AI579" i="1"/>
  <c r="AB579" i="1"/>
  <c r="Y579" i="1"/>
  <c r="V579" i="1"/>
  <c r="P579" i="1"/>
  <c r="BB578" i="1"/>
  <c r="AL578" i="1"/>
  <c r="AJ578" i="1"/>
  <c r="AI578" i="1"/>
  <c r="AB578" i="1"/>
  <c r="Y578" i="1"/>
  <c r="V578" i="1"/>
  <c r="P578" i="1"/>
  <c r="BB577" i="1"/>
  <c r="AL577" i="1"/>
  <c r="AJ577" i="1"/>
  <c r="AI577" i="1"/>
  <c r="AB577" i="1"/>
  <c r="Y577" i="1"/>
  <c r="V577" i="1"/>
  <c r="P577" i="1"/>
  <c r="BB576" i="1"/>
  <c r="AL576" i="1"/>
  <c r="AJ576" i="1"/>
  <c r="AI576" i="1"/>
  <c r="AB576" i="1"/>
  <c r="Y576" i="1"/>
  <c r="V576" i="1"/>
  <c r="P576" i="1"/>
  <c r="BB575" i="1"/>
  <c r="AL575" i="1"/>
  <c r="AJ575" i="1"/>
  <c r="AI575" i="1"/>
  <c r="AB575" i="1"/>
  <c r="Y575" i="1"/>
  <c r="V575" i="1"/>
  <c r="P575" i="1"/>
  <c r="BB574" i="1"/>
  <c r="AL574" i="1"/>
  <c r="AJ574" i="1"/>
  <c r="AI574" i="1"/>
  <c r="AB574" i="1"/>
  <c r="Y574" i="1"/>
  <c r="V574" i="1"/>
  <c r="P574" i="1"/>
  <c r="BB573" i="1"/>
  <c r="AL573" i="1"/>
  <c r="AJ573" i="1"/>
  <c r="AI573" i="1"/>
  <c r="AH573" i="1"/>
  <c r="AB573" i="1"/>
  <c r="Y573" i="1"/>
  <c r="V573" i="1"/>
  <c r="P573" i="1"/>
  <c r="BB572" i="1"/>
  <c r="AL572" i="1"/>
  <c r="AJ572" i="1"/>
  <c r="AI572" i="1"/>
  <c r="AH572" i="1"/>
  <c r="AB572" i="1"/>
  <c r="Y572" i="1"/>
  <c r="V572" i="1"/>
  <c r="P572" i="1"/>
  <c r="BB571" i="1"/>
  <c r="AL571" i="1"/>
  <c r="AJ571" i="1"/>
  <c r="AI571" i="1"/>
  <c r="AB571" i="1"/>
  <c r="Y571" i="1"/>
  <c r="V571" i="1"/>
  <c r="P571" i="1"/>
  <c r="BB570" i="1"/>
  <c r="AL570" i="1"/>
  <c r="AJ570" i="1"/>
  <c r="AI570" i="1"/>
  <c r="AH570" i="1"/>
  <c r="AB570" i="1"/>
  <c r="Y570" i="1"/>
  <c r="V570" i="1"/>
  <c r="P570" i="1"/>
  <c r="BB569" i="1"/>
  <c r="AL569" i="1"/>
  <c r="AJ569" i="1"/>
  <c r="AI569" i="1"/>
  <c r="AB569" i="1"/>
  <c r="Y569" i="1"/>
  <c r="V569" i="1"/>
  <c r="P569" i="1"/>
  <c r="BB568" i="1"/>
  <c r="AL568" i="1"/>
  <c r="AJ568" i="1"/>
  <c r="AI568" i="1"/>
  <c r="AB568" i="1"/>
  <c r="Y568" i="1"/>
  <c r="V568" i="1"/>
  <c r="P568" i="1"/>
  <c r="BB567" i="1"/>
  <c r="AL567" i="1"/>
  <c r="AJ567" i="1"/>
  <c r="AI567" i="1"/>
  <c r="AB567" i="1"/>
  <c r="Y567" i="1"/>
  <c r="V567" i="1"/>
  <c r="P567" i="1"/>
  <c r="BB566" i="1"/>
  <c r="AL566" i="1"/>
  <c r="AJ566" i="1"/>
  <c r="AI566" i="1"/>
  <c r="AH566" i="1"/>
  <c r="AB566" i="1"/>
  <c r="Y566" i="1"/>
  <c r="V566" i="1"/>
  <c r="P566" i="1"/>
  <c r="BB565" i="1"/>
  <c r="AL565" i="1"/>
  <c r="AJ565" i="1"/>
  <c r="AI565" i="1"/>
  <c r="AB565" i="1"/>
  <c r="Y565" i="1"/>
  <c r="V565" i="1"/>
  <c r="P565" i="1"/>
  <c r="BB564" i="1"/>
  <c r="AL564" i="1"/>
  <c r="AJ564" i="1"/>
  <c r="AI564" i="1"/>
  <c r="AB564" i="1"/>
  <c r="Y564" i="1"/>
  <c r="V564" i="1"/>
  <c r="P564" i="1"/>
  <c r="BB563" i="1"/>
  <c r="AL563" i="1"/>
  <c r="AJ563" i="1"/>
  <c r="AI563" i="1"/>
  <c r="AB563" i="1"/>
  <c r="Y563" i="1"/>
  <c r="V563" i="1"/>
  <c r="P563" i="1"/>
  <c r="BB562" i="1"/>
  <c r="AL562" i="1"/>
  <c r="AJ562" i="1"/>
  <c r="AI562" i="1"/>
  <c r="AB562" i="1"/>
  <c r="Y562" i="1"/>
  <c r="V562" i="1"/>
  <c r="P562" i="1"/>
  <c r="BB561" i="1"/>
  <c r="AL561" i="1"/>
  <c r="AJ561" i="1"/>
  <c r="AI561" i="1"/>
  <c r="AD561" i="1"/>
  <c r="AB561" i="1" s="1"/>
  <c r="Y561" i="1"/>
  <c r="V561" i="1"/>
  <c r="Q561" i="1"/>
  <c r="P561" i="1"/>
  <c r="BB560" i="1"/>
  <c r="AL560" i="1"/>
  <c r="AJ560" i="1"/>
  <c r="AI560" i="1"/>
  <c r="AH560" i="1"/>
  <c r="AB560" i="1"/>
  <c r="Y560" i="1"/>
  <c r="V560" i="1"/>
  <c r="P560" i="1"/>
  <c r="BB559" i="1"/>
  <c r="AL559" i="1"/>
  <c r="AJ559" i="1"/>
  <c r="AI559" i="1"/>
  <c r="AB559" i="1"/>
  <c r="Y559" i="1"/>
  <c r="V559" i="1"/>
  <c r="P559" i="1"/>
  <c r="BB558" i="1"/>
  <c r="AL558" i="1"/>
  <c r="AJ558" i="1"/>
  <c r="AI558" i="1"/>
  <c r="AB558" i="1"/>
  <c r="Y558" i="1"/>
  <c r="V558" i="1"/>
  <c r="P558" i="1"/>
  <c r="BB557" i="1"/>
  <c r="AL557" i="1"/>
  <c r="AJ557" i="1"/>
  <c r="AI557" i="1"/>
  <c r="AB557" i="1"/>
  <c r="Y557" i="1"/>
  <c r="V557" i="1"/>
  <c r="P557" i="1"/>
  <c r="BB556" i="1"/>
  <c r="AL556" i="1"/>
  <c r="AJ556" i="1"/>
  <c r="AI556" i="1"/>
  <c r="AB556" i="1"/>
  <c r="Y556" i="1"/>
  <c r="V556" i="1"/>
  <c r="Q556" i="1"/>
  <c r="P556" i="1" s="1"/>
  <c r="BB555" i="1"/>
  <c r="AL555" i="1"/>
  <c r="AJ555" i="1"/>
  <c r="AI555" i="1"/>
  <c r="Y555" i="1"/>
  <c r="V555" i="1"/>
  <c r="P555" i="1"/>
  <c r="BB554" i="1"/>
  <c r="AL554" i="1"/>
  <c r="AJ554" i="1"/>
  <c r="AI554" i="1"/>
  <c r="AB554" i="1"/>
  <c r="Y554" i="1"/>
  <c r="V554" i="1"/>
  <c r="P554" i="1"/>
  <c r="BB553" i="1"/>
  <c r="AL553" i="1"/>
  <c r="AJ553" i="1"/>
  <c r="AI553" i="1"/>
  <c r="AH553" i="1"/>
  <c r="AB553" i="1"/>
  <c r="Y553" i="1"/>
  <c r="V553" i="1"/>
  <c r="P553" i="1"/>
  <c r="BB552" i="1"/>
  <c r="AL552" i="1"/>
  <c r="AJ552" i="1"/>
  <c r="AI552" i="1"/>
  <c r="AB552" i="1"/>
  <c r="Y552" i="1"/>
  <c r="V552" i="1"/>
  <c r="P552" i="1"/>
  <c r="BB551" i="1"/>
  <c r="AL551" i="1"/>
  <c r="AJ551" i="1"/>
  <c r="AI551" i="1"/>
  <c r="AB551" i="1"/>
  <c r="Y551" i="1"/>
  <c r="V551" i="1"/>
  <c r="P551" i="1"/>
  <c r="BB550" i="1"/>
  <c r="AL550" i="1"/>
  <c r="AJ550" i="1"/>
  <c r="AI550" i="1"/>
  <c r="AB550" i="1"/>
  <c r="Y550" i="1"/>
  <c r="V550" i="1"/>
  <c r="P550" i="1"/>
  <c r="BB549" i="1"/>
  <c r="AL549" i="1"/>
  <c r="AJ549" i="1"/>
  <c r="AI549" i="1"/>
  <c r="AB549" i="1"/>
  <c r="Y549" i="1"/>
  <c r="V549" i="1"/>
  <c r="P549" i="1"/>
  <c r="BB548" i="1"/>
  <c r="AL548" i="1"/>
  <c r="AJ548" i="1"/>
  <c r="AI548" i="1"/>
  <c r="AB548" i="1"/>
  <c r="Y548" i="1"/>
  <c r="V548" i="1"/>
  <c r="P548" i="1"/>
  <c r="BB547" i="1"/>
  <c r="AL547" i="1"/>
  <c r="AJ547" i="1"/>
  <c r="AI547" i="1"/>
  <c r="Y547" i="1"/>
  <c r="V547" i="1"/>
  <c r="P547" i="1"/>
  <c r="BB546" i="1"/>
  <c r="AL546" i="1"/>
  <c r="AJ546" i="1"/>
  <c r="AI546" i="1"/>
  <c r="Y546" i="1"/>
  <c r="V546" i="1"/>
  <c r="P546" i="1"/>
  <c r="BB545" i="1"/>
  <c r="AL545" i="1"/>
  <c r="AJ545" i="1"/>
  <c r="AI545" i="1"/>
  <c r="AB545" i="1"/>
  <c r="Y545" i="1"/>
  <c r="V545" i="1"/>
  <c r="P545" i="1"/>
  <c r="BB544" i="1"/>
  <c r="AL544" i="1"/>
  <c r="AJ544" i="1"/>
  <c r="AI544" i="1"/>
  <c r="Y544" i="1"/>
  <c r="V544" i="1"/>
  <c r="P544" i="1"/>
  <c r="BB543" i="1"/>
  <c r="AL543" i="1"/>
  <c r="AJ543" i="1"/>
  <c r="AI543" i="1"/>
  <c r="AB543" i="1"/>
  <c r="Y543" i="1"/>
  <c r="V543" i="1"/>
  <c r="P543" i="1"/>
  <c r="BB542" i="1"/>
  <c r="AL542" i="1"/>
  <c r="AJ542" i="1"/>
  <c r="AI542" i="1"/>
  <c r="AD542" i="1"/>
  <c r="AB542" i="1" s="1"/>
  <c r="Y542" i="1"/>
  <c r="V542" i="1"/>
  <c r="P542" i="1"/>
  <c r="BB541" i="1"/>
  <c r="AL541" i="1"/>
  <c r="AJ541" i="1"/>
  <c r="AI541" i="1"/>
  <c r="AH541" i="1"/>
  <c r="AB541" i="1"/>
  <c r="Y541" i="1"/>
  <c r="V541" i="1"/>
  <c r="P541" i="1"/>
  <c r="BB540" i="1"/>
  <c r="AL540" i="1"/>
  <c r="AJ540" i="1"/>
  <c r="AI540" i="1"/>
  <c r="AB540" i="1"/>
  <c r="Y540" i="1"/>
  <c r="V540" i="1"/>
  <c r="P540" i="1"/>
  <c r="BB539" i="1"/>
  <c r="AL539" i="1"/>
  <c r="AJ539" i="1"/>
  <c r="AI539" i="1"/>
  <c r="AD539" i="1"/>
  <c r="Y539" i="1"/>
  <c r="V539" i="1"/>
  <c r="Q539" i="1"/>
  <c r="P539" i="1"/>
  <c r="BB538" i="1"/>
  <c r="AL538" i="1"/>
  <c r="AJ538" i="1"/>
  <c r="AI538" i="1"/>
  <c r="AD538" i="1"/>
  <c r="AB538" i="1"/>
  <c r="Y538" i="1"/>
  <c r="V538" i="1"/>
  <c r="Q538" i="1"/>
  <c r="P538" i="1" s="1"/>
  <c r="BB537" i="1"/>
  <c r="AL537" i="1"/>
  <c r="AJ537" i="1"/>
  <c r="AI537" i="1"/>
  <c r="AB537" i="1"/>
  <c r="Y537" i="1"/>
  <c r="V537" i="1"/>
  <c r="P537" i="1"/>
  <c r="BB536" i="1"/>
  <c r="AL536" i="1"/>
  <c r="AJ536" i="1"/>
  <c r="AI536" i="1"/>
  <c r="AB536" i="1"/>
  <c r="Y536" i="1"/>
  <c r="AJ390" i="1" s="1"/>
  <c r="V536" i="1"/>
  <c r="AH390" i="1" s="1"/>
  <c r="P536" i="1"/>
  <c r="BB535" i="1"/>
  <c r="AL535" i="1"/>
  <c r="AJ535" i="1"/>
  <c r="AI535" i="1"/>
  <c r="AB535" i="1"/>
  <c r="Y535" i="1"/>
  <c r="V535" i="1"/>
  <c r="P535" i="1"/>
  <c r="BB534" i="1"/>
  <c r="AL534" i="1"/>
  <c r="AJ534" i="1"/>
  <c r="AI534" i="1"/>
  <c r="Y534" i="1"/>
  <c r="V534" i="1"/>
  <c r="P534" i="1"/>
  <c r="BB533" i="1"/>
  <c r="AL533" i="1"/>
  <c r="AJ533" i="1"/>
  <c r="AI533" i="1"/>
  <c r="Y533" i="1"/>
  <c r="V533" i="1"/>
  <c r="P533" i="1"/>
  <c r="BB532" i="1"/>
  <c r="AL532" i="1"/>
  <c r="AJ532" i="1"/>
  <c r="AI532" i="1"/>
  <c r="AB532" i="1"/>
  <c r="Y532" i="1"/>
  <c r="V532" i="1"/>
  <c r="P532" i="1"/>
  <c r="BB531" i="1"/>
  <c r="AL531" i="1"/>
  <c r="AJ531" i="1"/>
  <c r="AI531" i="1"/>
  <c r="Y531" i="1"/>
  <c r="V531" i="1"/>
  <c r="P531" i="1"/>
  <c r="BB530" i="1"/>
  <c r="AL530" i="1"/>
  <c r="AJ530" i="1"/>
  <c r="AI530" i="1"/>
  <c r="Y530" i="1"/>
  <c r="V530" i="1"/>
  <c r="P530" i="1"/>
  <c r="BB529" i="1"/>
  <c r="AL529" i="1"/>
  <c r="AJ529" i="1"/>
  <c r="AI529" i="1"/>
  <c r="Y529" i="1"/>
  <c r="V529" i="1"/>
  <c r="P529" i="1"/>
  <c r="BB528" i="1"/>
  <c r="AL528" i="1"/>
  <c r="AJ528" i="1"/>
  <c r="AI528" i="1"/>
  <c r="AD528" i="1"/>
  <c r="AB528" i="1"/>
  <c r="Y528" i="1"/>
  <c r="V528" i="1"/>
  <c r="Q528" i="1"/>
  <c r="Q480" i="1" s="1"/>
  <c r="P528" i="1"/>
  <c r="BB527" i="1"/>
  <c r="AL527" i="1"/>
  <c r="AJ527" i="1"/>
  <c r="AI527" i="1"/>
  <c r="AH527" i="1"/>
  <c r="AB527" i="1"/>
  <c r="Y527" i="1"/>
  <c r="V527" i="1"/>
  <c r="P527" i="1"/>
  <c r="BB526" i="1"/>
  <c r="AL526" i="1"/>
  <c r="AJ526" i="1"/>
  <c r="AI526" i="1"/>
  <c r="AB526" i="1"/>
  <c r="Y526" i="1"/>
  <c r="V526" i="1"/>
  <c r="P526" i="1"/>
  <c r="BB525" i="1"/>
  <c r="AL525" i="1"/>
  <c r="AJ525" i="1"/>
  <c r="AI525" i="1"/>
  <c r="AB525" i="1"/>
  <c r="Y525" i="1"/>
  <c r="V525" i="1"/>
  <c r="P525" i="1"/>
  <c r="BB524" i="1"/>
  <c r="AL524" i="1"/>
  <c r="AJ524" i="1"/>
  <c r="AI524" i="1"/>
  <c r="AB524" i="1"/>
  <c r="Y524" i="1"/>
  <c r="V524" i="1"/>
  <c r="P524" i="1"/>
  <c r="BB523" i="1"/>
  <c r="AL523" i="1"/>
  <c r="AJ523" i="1"/>
  <c r="AI523" i="1"/>
  <c r="AB523" i="1"/>
  <c r="Y523" i="1"/>
  <c r="V523" i="1"/>
  <c r="P523" i="1"/>
  <c r="BB522" i="1"/>
  <c r="AL522" i="1"/>
  <c r="AJ522" i="1"/>
  <c r="AI522" i="1"/>
  <c r="AB522" i="1"/>
  <c r="Y522" i="1"/>
  <c r="V522" i="1"/>
  <c r="P522" i="1"/>
  <c r="BB521" i="1"/>
  <c r="AL521" i="1"/>
  <c r="AJ521" i="1"/>
  <c r="AI521" i="1"/>
  <c r="Y521" i="1"/>
  <c r="V521" i="1"/>
  <c r="P521" i="1"/>
  <c r="BB520" i="1"/>
  <c r="AL520" i="1"/>
  <c r="AJ520" i="1"/>
  <c r="AI520" i="1"/>
  <c r="AH520" i="1"/>
  <c r="AB520" i="1"/>
  <c r="Y520" i="1"/>
  <c r="V520" i="1"/>
  <c r="P520" i="1"/>
  <c r="BB519" i="1"/>
  <c r="AL519" i="1"/>
  <c r="AJ519" i="1"/>
  <c r="AI519" i="1"/>
  <c r="AH519" i="1"/>
  <c r="AB519" i="1"/>
  <c r="Y519" i="1"/>
  <c r="V519" i="1"/>
  <c r="P519" i="1"/>
  <c r="BB518" i="1"/>
  <c r="AL518" i="1"/>
  <c r="AJ518" i="1"/>
  <c r="AI518" i="1"/>
  <c r="Y518" i="1"/>
  <c r="V518" i="1"/>
  <c r="P518" i="1"/>
  <c r="BB517" i="1"/>
  <c r="AL517" i="1"/>
  <c r="AJ517" i="1"/>
  <c r="AI517" i="1"/>
  <c r="AB517" i="1"/>
  <c r="Y517" i="1"/>
  <c r="V517" i="1"/>
  <c r="P517" i="1"/>
  <c r="BB516" i="1"/>
  <c r="AL516" i="1"/>
  <c r="AJ516" i="1"/>
  <c r="AI516" i="1"/>
  <c r="AB516" i="1"/>
  <c r="Y516" i="1"/>
  <c r="V516" i="1"/>
  <c r="P516" i="1"/>
  <c r="BB515" i="1"/>
  <c r="AL515" i="1"/>
  <c r="AJ515" i="1"/>
  <c r="AI515" i="1"/>
  <c r="AC515" i="1"/>
  <c r="Y515" i="1"/>
  <c r="V515" i="1"/>
  <c r="P515" i="1"/>
  <c r="BB514" i="1"/>
  <c r="AL514" i="1"/>
  <c r="AJ514" i="1"/>
  <c r="AI514" i="1"/>
  <c r="AB514" i="1"/>
  <c r="Y514" i="1"/>
  <c r="V514" i="1"/>
  <c r="P514" i="1"/>
  <c r="BB513" i="1"/>
  <c r="AL513" i="1"/>
  <c r="AJ513" i="1"/>
  <c r="AI513" i="1"/>
  <c r="AB513" i="1"/>
  <c r="Y513" i="1"/>
  <c r="V513" i="1"/>
  <c r="P513" i="1"/>
  <c r="BB512" i="1"/>
  <c r="AL512" i="1"/>
  <c r="AJ512" i="1"/>
  <c r="AI512" i="1"/>
  <c r="AB512" i="1"/>
  <c r="Y512" i="1"/>
  <c r="V512" i="1"/>
  <c r="P512" i="1"/>
  <c r="BB511" i="1"/>
  <c r="AL511" i="1"/>
  <c r="AJ511" i="1"/>
  <c r="AI511" i="1"/>
  <c r="AB511" i="1"/>
  <c r="Y511" i="1"/>
  <c r="V511" i="1"/>
  <c r="P511" i="1"/>
  <c r="BB510" i="1"/>
  <c r="AL510" i="1"/>
  <c r="AJ510" i="1"/>
  <c r="AI510" i="1"/>
  <c r="AB510" i="1"/>
  <c r="Y510" i="1"/>
  <c r="V510" i="1"/>
  <c r="P510" i="1"/>
  <c r="BB509" i="1"/>
  <c r="AL509" i="1"/>
  <c r="AJ509" i="1"/>
  <c r="AI509" i="1"/>
  <c r="AB509" i="1"/>
  <c r="Y509" i="1"/>
  <c r="V509" i="1"/>
  <c r="P509" i="1"/>
  <c r="BB508" i="1"/>
  <c r="AL508" i="1"/>
  <c r="AJ508" i="1"/>
  <c r="AI508" i="1"/>
  <c r="AB508" i="1"/>
  <c r="Y508" i="1"/>
  <c r="V508" i="1"/>
  <c r="P508" i="1"/>
  <c r="BB507" i="1"/>
  <c r="AL507" i="1"/>
  <c r="AJ507" i="1"/>
  <c r="AI507" i="1"/>
  <c r="AB507" i="1"/>
  <c r="Y507" i="1"/>
  <c r="V507" i="1"/>
  <c r="P507" i="1"/>
  <c r="BB506" i="1"/>
  <c r="AL506" i="1"/>
  <c r="AJ506" i="1"/>
  <c r="AI506" i="1"/>
  <c r="AB506" i="1"/>
  <c r="Y506" i="1"/>
  <c r="V506" i="1"/>
  <c r="P506" i="1"/>
  <c r="BB505" i="1"/>
  <c r="AL505" i="1"/>
  <c r="AJ505" i="1"/>
  <c r="AI505" i="1"/>
  <c r="AB505" i="1"/>
  <c r="Y505" i="1"/>
  <c r="V505" i="1"/>
  <c r="P505" i="1"/>
  <c r="BB504" i="1"/>
  <c r="AL504" i="1"/>
  <c r="AJ504" i="1"/>
  <c r="AI504" i="1"/>
  <c r="AB504" i="1"/>
  <c r="Y504" i="1"/>
  <c r="V504" i="1"/>
  <c r="P504" i="1"/>
  <c r="BB503" i="1"/>
  <c r="AL503" i="1"/>
  <c r="AJ503" i="1"/>
  <c r="AI503" i="1"/>
  <c r="AB503" i="1"/>
  <c r="Y503" i="1"/>
  <c r="V503" i="1"/>
  <c r="P503" i="1"/>
  <c r="BB502" i="1"/>
  <c r="AL502" i="1"/>
  <c r="AJ502" i="1"/>
  <c r="AI502" i="1"/>
  <c r="Y502" i="1"/>
  <c r="V502" i="1"/>
  <c r="P502" i="1"/>
  <c r="BB501" i="1"/>
  <c r="AL501" i="1"/>
  <c r="AJ501" i="1"/>
  <c r="AI501" i="1"/>
  <c r="AB501" i="1"/>
  <c r="Y501" i="1"/>
  <c r="V501" i="1"/>
  <c r="P501" i="1"/>
  <c r="BB500" i="1"/>
  <c r="AL500" i="1"/>
  <c r="AJ500" i="1"/>
  <c r="AI500" i="1"/>
  <c r="AB500" i="1"/>
  <c r="Y500" i="1"/>
  <c r="V500" i="1"/>
  <c r="P500" i="1"/>
  <c r="BB499" i="1"/>
  <c r="AL499" i="1"/>
  <c r="AJ499" i="1"/>
  <c r="AI499" i="1"/>
  <c r="AB499" i="1"/>
  <c r="Y499" i="1"/>
  <c r="V499" i="1"/>
  <c r="P499" i="1"/>
  <c r="BB498" i="1"/>
  <c r="AL498" i="1"/>
  <c r="AJ498" i="1"/>
  <c r="AI498" i="1"/>
  <c r="AB498" i="1"/>
  <c r="Y498" i="1"/>
  <c r="V498" i="1"/>
  <c r="P498" i="1"/>
  <c r="BB497" i="1"/>
  <c r="AL497" i="1"/>
  <c r="AJ497" i="1"/>
  <c r="AI497" i="1"/>
  <c r="Y497" i="1"/>
  <c r="V497" i="1"/>
  <c r="P497" i="1"/>
  <c r="BB496" i="1"/>
  <c r="AL496" i="1"/>
  <c r="AJ496" i="1"/>
  <c r="AI496" i="1"/>
  <c r="AH496" i="1"/>
  <c r="AB496" i="1"/>
  <c r="Y496" i="1"/>
  <c r="V496" i="1"/>
  <c r="P496" i="1"/>
  <c r="BB495" i="1"/>
  <c r="AL495" i="1"/>
  <c r="AJ495" i="1"/>
  <c r="AI495" i="1"/>
  <c r="AH495" i="1"/>
  <c r="AB495" i="1"/>
  <c r="Y495" i="1"/>
  <c r="V495" i="1"/>
  <c r="P495" i="1"/>
  <c r="BB494" i="1"/>
  <c r="AL494" i="1"/>
  <c r="AJ494" i="1"/>
  <c r="AI494" i="1"/>
  <c r="AH494" i="1"/>
  <c r="AB494" i="1"/>
  <c r="Y494" i="1"/>
  <c r="V494" i="1"/>
  <c r="P494" i="1"/>
  <c r="BB493" i="1"/>
  <c r="AL493" i="1"/>
  <c r="AJ493" i="1"/>
  <c r="AI493" i="1"/>
  <c r="AB493" i="1"/>
  <c r="Y493" i="1"/>
  <c r="V493" i="1"/>
  <c r="P493" i="1"/>
  <c r="BB492" i="1"/>
  <c r="AL492" i="1"/>
  <c r="AJ492" i="1"/>
  <c r="AI492" i="1"/>
  <c r="AB492" i="1"/>
  <c r="Y492" i="1"/>
  <c r="V492" i="1"/>
  <c r="P492" i="1"/>
  <c r="BB491" i="1"/>
  <c r="AL491" i="1"/>
  <c r="AJ491" i="1"/>
  <c r="AI491" i="1"/>
  <c r="AH491" i="1"/>
  <c r="AB491" i="1"/>
  <c r="Y491" i="1"/>
  <c r="V491" i="1"/>
  <c r="P491" i="1"/>
  <c r="BB490" i="1"/>
  <c r="AL490" i="1"/>
  <c r="AJ490" i="1"/>
  <c r="AI490" i="1"/>
  <c r="AB490" i="1"/>
  <c r="Y490" i="1"/>
  <c r="V490" i="1"/>
  <c r="P490" i="1"/>
  <c r="BB489" i="1"/>
  <c r="AL489" i="1"/>
  <c r="AJ489" i="1"/>
  <c r="AI489" i="1"/>
  <c r="AH489" i="1"/>
  <c r="AB489" i="1"/>
  <c r="Y489" i="1"/>
  <c r="V489" i="1"/>
  <c r="P489" i="1"/>
  <c r="BB488" i="1"/>
  <c r="AL488" i="1"/>
  <c r="AJ488" i="1"/>
  <c r="AI488" i="1"/>
  <c r="AB488" i="1"/>
  <c r="Y488" i="1"/>
  <c r="V488" i="1"/>
  <c r="P488" i="1"/>
  <c r="BB487" i="1"/>
  <c r="AL487" i="1"/>
  <c r="AJ487" i="1"/>
  <c r="AI487" i="1"/>
  <c r="Y487" i="1"/>
  <c r="V487" i="1"/>
  <c r="P487" i="1"/>
  <c r="BB486" i="1"/>
  <c r="AL486" i="1"/>
  <c r="AJ486" i="1"/>
  <c r="AI486" i="1"/>
  <c r="AB486" i="1"/>
  <c r="Y486" i="1"/>
  <c r="V486" i="1"/>
  <c r="P486" i="1"/>
  <c r="BB485" i="1"/>
  <c r="AL485" i="1"/>
  <c r="AJ485" i="1"/>
  <c r="AI485" i="1"/>
  <c r="AB485" i="1"/>
  <c r="Y485" i="1"/>
  <c r="V485" i="1"/>
  <c r="P485" i="1"/>
  <c r="BB484" i="1"/>
  <c r="AL484" i="1"/>
  <c r="AJ484" i="1"/>
  <c r="AI484" i="1"/>
  <c r="AB484" i="1"/>
  <c r="Y484" i="1"/>
  <c r="V484" i="1"/>
  <c r="P484" i="1"/>
  <c r="BB483" i="1"/>
  <c r="AL483" i="1"/>
  <c r="AJ483" i="1"/>
  <c r="AI483" i="1"/>
  <c r="AB483" i="1"/>
  <c r="Y483" i="1"/>
  <c r="V483" i="1"/>
  <c r="P483" i="1"/>
  <c r="BB482" i="1"/>
  <c r="AL482" i="1"/>
  <c r="AJ482" i="1"/>
  <c r="AI482" i="1"/>
  <c r="AB482" i="1"/>
  <c r="Y482" i="1"/>
  <c r="V482" i="1"/>
  <c r="P482" i="1"/>
  <c r="B482" i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7" i="1" s="1"/>
  <c r="B708" i="1" s="1"/>
  <c r="B710" i="1" s="1"/>
  <c r="B712" i="1" s="1"/>
  <c r="B714" i="1" s="1"/>
  <c r="B718" i="1" s="1"/>
  <c r="B719" i="1" s="1"/>
  <c r="B721" i="1" s="1"/>
  <c r="B723" i="1" s="1"/>
  <c r="B727" i="1" s="1"/>
  <c r="B731" i="1" s="1"/>
  <c r="B732" i="1" s="1"/>
  <c r="B735" i="1" s="1"/>
  <c r="B736" i="1" s="1"/>
  <c r="B737" i="1" s="1"/>
  <c r="B738" i="1" s="1"/>
  <c r="B742" i="1" s="1"/>
  <c r="B743" i="1" s="1"/>
  <c r="B744" i="1" s="1"/>
  <c r="B746" i="1" s="1"/>
  <c r="B749" i="1" s="1"/>
  <c r="B750" i="1" s="1"/>
  <c r="B752" i="1" s="1"/>
  <c r="B754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4" i="1" s="1"/>
  <c r="B786" i="1" s="1"/>
  <c r="B787" i="1" s="1"/>
  <c r="B792" i="1" s="1"/>
  <c r="B793" i="1" s="1"/>
  <c r="B794" i="1" s="1"/>
  <c r="B795" i="1" s="1"/>
  <c r="B800" i="1" s="1"/>
  <c r="B801" i="1" s="1"/>
  <c r="B802" i="1" s="1"/>
  <c r="B803" i="1" s="1"/>
  <c r="B811" i="1" s="1"/>
  <c r="B813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6" i="1" s="1"/>
  <c r="B837" i="1" s="1"/>
  <c r="B839" i="1" s="1"/>
  <c r="B840" i="1" s="1"/>
  <c r="B841" i="1" s="1"/>
  <c r="B842" i="1" s="1"/>
  <c r="B843" i="1" s="1"/>
  <c r="B845" i="1" s="1"/>
  <c r="B846" i="1" s="1"/>
  <c r="B848" i="1" s="1"/>
  <c r="B849" i="1" s="1"/>
  <c r="B850" i="1" s="1"/>
  <c r="B851" i="1" s="1"/>
  <c r="B852" i="1" s="1"/>
  <c r="B853" i="1" s="1"/>
  <c r="B854" i="1" s="1"/>
  <c r="B855" i="1" s="1"/>
  <c r="B857" i="1" s="1"/>
  <c r="B858" i="1" s="1"/>
  <c r="B859" i="1" s="1"/>
  <c r="B860" i="1" s="1"/>
  <c r="B861" i="1" s="1"/>
  <c r="A482" i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BB481" i="1"/>
  <c r="AL481" i="1"/>
  <c r="AJ481" i="1"/>
  <c r="AI481" i="1"/>
  <c r="AB481" i="1"/>
  <c r="Y481" i="1"/>
  <c r="V481" i="1"/>
  <c r="P481" i="1"/>
  <c r="AC480" i="1"/>
  <c r="AA480" i="1"/>
  <c r="Z480" i="1"/>
  <c r="X480" i="1"/>
  <c r="W480" i="1"/>
  <c r="U480" i="1"/>
  <c r="T480" i="1"/>
  <c r="S480" i="1"/>
  <c r="R480" i="1"/>
  <c r="O480" i="1"/>
  <c r="BA479" i="1"/>
  <c r="AZ479" i="1"/>
  <c r="AY479" i="1"/>
  <c r="AX479" i="1"/>
  <c r="AW479" i="1"/>
  <c r="AV479" i="1"/>
  <c r="AU479" i="1"/>
  <c r="AT479" i="1"/>
  <c r="AS479" i="1"/>
  <c r="AR479" i="1"/>
  <c r="AQ479" i="1"/>
  <c r="AP479" i="1"/>
  <c r="AO479" i="1"/>
  <c r="AN479" i="1"/>
  <c r="AM479" i="1"/>
  <c r="AL478" i="1"/>
  <c r="AJ478" i="1"/>
  <c r="AI478" i="1"/>
  <c r="AH478" i="1"/>
  <c r="N478" i="1"/>
  <c r="AL477" i="1"/>
  <c r="AJ477" i="1"/>
  <c r="AI477" i="1"/>
  <c r="N477" i="1"/>
  <c r="AL476" i="1"/>
  <c r="AJ476" i="1"/>
  <c r="AI476" i="1"/>
  <c r="AH476" i="1"/>
  <c r="N476" i="1"/>
  <c r="AL475" i="1"/>
  <c r="AJ475" i="1"/>
  <c r="AI475" i="1"/>
  <c r="N475" i="1"/>
  <c r="AL474" i="1"/>
  <c r="AJ474" i="1"/>
  <c r="AI474" i="1"/>
  <c r="AH474" i="1"/>
  <c r="N474" i="1"/>
  <c r="AL473" i="1"/>
  <c r="AJ473" i="1"/>
  <c r="AI473" i="1"/>
  <c r="AH473" i="1"/>
  <c r="N473" i="1"/>
  <c r="AL472" i="1"/>
  <c r="AJ472" i="1"/>
  <c r="AI472" i="1"/>
  <c r="AH472" i="1"/>
  <c r="N472" i="1"/>
  <c r="AL471" i="1"/>
  <c r="AJ471" i="1"/>
  <c r="AI471" i="1"/>
  <c r="AH471" i="1"/>
  <c r="N471" i="1"/>
  <c r="B471" i="1"/>
  <c r="AL470" i="1"/>
  <c r="AJ470" i="1"/>
  <c r="AI470" i="1"/>
  <c r="N470" i="1"/>
  <c r="AL469" i="1"/>
  <c r="AJ469" i="1"/>
  <c r="AI469" i="1"/>
  <c r="N469" i="1"/>
  <c r="AL468" i="1"/>
  <c r="AJ468" i="1"/>
  <c r="AI468" i="1"/>
  <c r="AH468" i="1"/>
  <c r="N468" i="1"/>
  <c r="AL467" i="1"/>
  <c r="AJ467" i="1"/>
  <c r="AI467" i="1"/>
  <c r="AH467" i="1"/>
  <c r="N467" i="1"/>
  <c r="AL466" i="1"/>
  <c r="AJ466" i="1"/>
  <c r="AI466" i="1"/>
  <c r="N466" i="1"/>
  <c r="AL465" i="1"/>
  <c r="AJ465" i="1"/>
  <c r="AI465" i="1"/>
  <c r="AH465" i="1"/>
  <c r="N465" i="1"/>
  <c r="AL464" i="1"/>
  <c r="AJ464" i="1"/>
  <c r="AI464" i="1"/>
  <c r="N464" i="1"/>
  <c r="AL463" i="1"/>
  <c r="AJ463" i="1"/>
  <c r="AI463" i="1"/>
  <c r="N463" i="1"/>
  <c r="AL462" i="1"/>
  <c r="AJ462" i="1"/>
  <c r="AI462" i="1"/>
  <c r="AH462" i="1"/>
  <c r="N462" i="1"/>
  <c r="AL461" i="1"/>
  <c r="AJ461" i="1"/>
  <c r="AI461" i="1"/>
  <c r="N461" i="1"/>
  <c r="AL460" i="1"/>
  <c r="AJ460" i="1"/>
  <c r="AI460" i="1"/>
  <c r="N460" i="1"/>
  <c r="AL459" i="1"/>
  <c r="AJ459" i="1"/>
  <c r="AI459" i="1"/>
  <c r="N459" i="1"/>
  <c r="AL458" i="1"/>
  <c r="AJ458" i="1"/>
  <c r="AI458" i="1"/>
  <c r="AH458" i="1"/>
  <c r="N458" i="1"/>
  <c r="AL457" i="1"/>
  <c r="AJ457" i="1"/>
  <c r="AI457" i="1"/>
  <c r="AH457" i="1"/>
  <c r="N457" i="1"/>
  <c r="AL456" i="1"/>
  <c r="AJ456" i="1"/>
  <c r="AI456" i="1"/>
  <c r="AH456" i="1"/>
  <c r="N456" i="1"/>
  <c r="AL455" i="1"/>
  <c r="AJ455" i="1"/>
  <c r="AI455" i="1"/>
  <c r="AH455" i="1"/>
  <c r="N455" i="1"/>
  <c r="AL454" i="1"/>
  <c r="AJ454" i="1"/>
  <c r="AI454" i="1"/>
  <c r="AH454" i="1"/>
  <c r="N454" i="1"/>
  <c r="AL453" i="1"/>
  <c r="AJ453" i="1"/>
  <c r="AI453" i="1"/>
  <c r="N453" i="1"/>
  <c r="B453" i="1"/>
  <c r="B454" i="1" s="1"/>
  <c r="B455" i="1" s="1"/>
  <c r="AL452" i="1"/>
  <c r="AJ452" i="1"/>
  <c r="AI452" i="1"/>
  <c r="AH452" i="1"/>
  <c r="N452" i="1"/>
  <c r="AL451" i="1"/>
  <c r="AJ451" i="1"/>
  <c r="AI451" i="1"/>
  <c r="AH451" i="1"/>
  <c r="N451" i="1"/>
  <c r="AL450" i="1"/>
  <c r="AJ450" i="1"/>
  <c r="AI450" i="1"/>
  <c r="AH450" i="1"/>
  <c r="N450" i="1"/>
  <c r="AL449" i="1"/>
  <c r="AJ449" i="1"/>
  <c r="AI449" i="1"/>
  <c r="N449" i="1"/>
  <c r="AL448" i="1"/>
  <c r="AJ448" i="1"/>
  <c r="AI448" i="1"/>
  <c r="AH448" i="1"/>
  <c r="N448" i="1"/>
  <c r="AL447" i="1"/>
  <c r="AJ447" i="1"/>
  <c r="AI447" i="1"/>
  <c r="AH447" i="1"/>
  <c r="N447" i="1"/>
  <c r="AL446" i="1"/>
  <c r="AJ446" i="1"/>
  <c r="AI446" i="1"/>
  <c r="AH446" i="1"/>
  <c r="N446" i="1"/>
  <c r="AL445" i="1"/>
  <c r="AJ445" i="1"/>
  <c r="AI445" i="1"/>
  <c r="N445" i="1"/>
  <c r="AL444" i="1"/>
  <c r="AJ444" i="1"/>
  <c r="AI444" i="1"/>
  <c r="N444" i="1"/>
  <c r="AL443" i="1"/>
  <c r="N443" i="1"/>
  <c r="AL442" i="1"/>
  <c r="N442" i="1"/>
  <c r="AL441" i="1"/>
  <c r="N441" i="1"/>
  <c r="AL440" i="1"/>
  <c r="N440" i="1"/>
  <c r="AL439" i="1"/>
  <c r="N439" i="1"/>
  <c r="AL438" i="1"/>
  <c r="N438" i="1"/>
  <c r="AL437" i="1"/>
  <c r="AJ437" i="1"/>
  <c r="AI437" i="1"/>
  <c r="AH437" i="1"/>
  <c r="N437" i="1"/>
  <c r="B437" i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AL436" i="1"/>
  <c r="AJ436" i="1"/>
  <c r="AI436" i="1"/>
  <c r="AH436" i="1"/>
  <c r="N436" i="1"/>
  <c r="AL435" i="1"/>
  <c r="AJ435" i="1"/>
  <c r="AI435" i="1"/>
  <c r="N435" i="1"/>
  <c r="AL434" i="1"/>
  <c r="AJ434" i="1"/>
  <c r="AI434" i="1"/>
  <c r="AH434" i="1"/>
  <c r="N434" i="1"/>
  <c r="AL433" i="1"/>
  <c r="AJ433" i="1"/>
  <c r="AI433" i="1"/>
  <c r="AH433" i="1"/>
  <c r="N433" i="1"/>
  <c r="AL432" i="1"/>
  <c r="AJ432" i="1"/>
  <c r="AI432" i="1"/>
  <c r="N432" i="1"/>
  <c r="AL431" i="1"/>
  <c r="AJ431" i="1"/>
  <c r="AI431" i="1"/>
  <c r="N431" i="1"/>
  <c r="AL430" i="1"/>
  <c r="AJ430" i="1"/>
  <c r="AI430" i="1"/>
  <c r="N430" i="1"/>
  <c r="AL429" i="1"/>
  <c r="AJ429" i="1"/>
  <c r="AI429" i="1"/>
  <c r="N429" i="1"/>
  <c r="AL428" i="1"/>
  <c r="AJ428" i="1"/>
  <c r="AI428" i="1"/>
  <c r="AH428" i="1"/>
  <c r="N428" i="1"/>
  <c r="AL427" i="1"/>
  <c r="AJ427" i="1"/>
  <c r="AI427" i="1"/>
  <c r="AH427" i="1"/>
  <c r="N427" i="1"/>
  <c r="AL426" i="1"/>
  <c r="AJ426" i="1"/>
  <c r="AI426" i="1"/>
  <c r="AH426" i="1"/>
  <c r="N426" i="1"/>
  <c r="AL425" i="1"/>
  <c r="AJ425" i="1"/>
  <c r="AI425" i="1"/>
  <c r="AH425" i="1"/>
  <c r="N425" i="1"/>
  <c r="AL424" i="1"/>
  <c r="AJ424" i="1"/>
  <c r="AI424" i="1"/>
  <c r="AH424" i="1"/>
  <c r="N424" i="1"/>
  <c r="AL423" i="1"/>
  <c r="AJ423" i="1"/>
  <c r="AI423" i="1"/>
  <c r="AH423" i="1"/>
  <c r="N423" i="1"/>
  <c r="AL422" i="1"/>
  <c r="AJ422" i="1"/>
  <c r="AI422" i="1"/>
  <c r="AH422" i="1"/>
  <c r="N422" i="1"/>
  <c r="AL421" i="1"/>
  <c r="AJ421" i="1"/>
  <c r="AI421" i="1"/>
  <c r="AH421" i="1"/>
  <c r="N421" i="1"/>
  <c r="AL420" i="1"/>
  <c r="AJ420" i="1"/>
  <c r="AI420" i="1"/>
  <c r="AH420" i="1"/>
  <c r="N420" i="1"/>
  <c r="AL419" i="1"/>
  <c r="AJ419" i="1"/>
  <c r="AI419" i="1"/>
  <c r="AH419" i="1"/>
  <c r="N419" i="1"/>
  <c r="AL418" i="1"/>
  <c r="AJ418" i="1"/>
  <c r="AI418" i="1"/>
  <c r="N418" i="1"/>
  <c r="AL417" i="1"/>
  <c r="AJ417" i="1"/>
  <c r="AI417" i="1"/>
  <c r="AH417" i="1"/>
  <c r="N417" i="1"/>
  <c r="AL416" i="1"/>
  <c r="AJ416" i="1"/>
  <c r="AI416" i="1"/>
  <c r="AH416" i="1"/>
  <c r="N416" i="1"/>
  <c r="AL415" i="1"/>
  <c r="AJ415" i="1"/>
  <c r="AI415" i="1"/>
  <c r="N415" i="1"/>
  <c r="AL414" i="1"/>
  <c r="AH414" i="1"/>
  <c r="N414" i="1"/>
  <c r="AL413" i="1"/>
  <c r="AH413" i="1"/>
  <c r="N413" i="1"/>
  <c r="AL412" i="1"/>
  <c r="AJ412" i="1"/>
  <c r="AI412" i="1"/>
  <c r="AH412" i="1"/>
  <c r="N412" i="1"/>
  <c r="AL411" i="1"/>
  <c r="AJ411" i="1"/>
  <c r="AI411" i="1"/>
  <c r="AH411" i="1"/>
  <c r="N411" i="1"/>
  <c r="AL410" i="1"/>
  <c r="AJ410" i="1"/>
  <c r="AI410" i="1"/>
  <c r="AH410" i="1"/>
  <c r="N410" i="1"/>
  <c r="AL409" i="1"/>
  <c r="AJ409" i="1"/>
  <c r="AI409" i="1"/>
  <c r="N409" i="1"/>
  <c r="AL408" i="1"/>
  <c r="AJ408" i="1"/>
  <c r="AI408" i="1"/>
  <c r="AH408" i="1"/>
  <c r="N408" i="1"/>
  <c r="AL407" i="1"/>
  <c r="AJ407" i="1"/>
  <c r="AI407" i="1"/>
  <c r="N407" i="1"/>
  <c r="AL406" i="1"/>
  <c r="AJ406" i="1"/>
  <c r="AI406" i="1"/>
  <c r="N406" i="1"/>
  <c r="B406" i="1"/>
  <c r="AL405" i="1"/>
  <c r="AJ405" i="1"/>
  <c r="AI405" i="1"/>
  <c r="N405" i="1"/>
  <c r="AL404" i="1"/>
  <c r="AJ404" i="1"/>
  <c r="AI404" i="1"/>
  <c r="AH404" i="1"/>
  <c r="N404" i="1"/>
  <c r="AL403" i="1"/>
  <c r="AJ403" i="1"/>
  <c r="AI403" i="1"/>
  <c r="AH403" i="1"/>
  <c r="N403" i="1"/>
  <c r="AL402" i="1"/>
  <c r="AJ402" i="1"/>
  <c r="AI402" i="1"/>
  <c r="AH402" i="1"/>
  <c r="N402" i="1"/>
  <c r="AL401" i="1"/>
  <c r="AJ401" i="1"/>
  <c r="AI401" i="1"/>
  <c r="AH401" i="1"/>
  <c r="N401" i="1"/>
  <c r="AL400" i="1"/>
  <c r="AJ400" i="1"/>
  <c r="AI400" i="1"/>
  <c r="N400" i="1"/>
  <c r="B400" i="1"/>
  <c r="B401" i="1" s="1"/>
  <c r="B402" i="1" s="1"/>
  <c r="AL399" i="1"/>
  <c r="AJ399" i="1"/>
  <c r="AI399" i="1"/>
  <c r="N399" i="1"/>
  <c r="AL398" i="1"/>
  <c r="AJ398" i="1"/>
  <c r="AI398" i="1"/>
  <c r="N398" i="1"/>
  <c r="AL397" i="1"/>
  <c r="AJ397" i="1"/>
  <c r="AI397" i="1"/>
  <c r="N397" i="1"/>
  <c r="AL396" i="1"/>
  <c r="AJ396" i="1"/>
  <c r="AI396" i="1"/>
  <c r="AH396" i="1"/>
  <c r="N396" i="1"/>
  <c r="AL395" i="1"/>
  <c r="AJ395" i="1"/>
  <c r="AI395" i="1"/>
  <c r="N395" i="1"/>
  <c r="AL394" i="1"/>
  <c r="AJ394" i="1"/>
  <c r="AI394" i="1"/>
  <c r="N394" i="1"/>
  <c r="BA393" i="1"/>
  <c r="AL393" i="1" s="1"/>
  <c r="AJ393" i="1"/>
  <c r="AI393" i="1"/>
  <c r="N393" i="1"/>
  <c r="AL392" i="1"/>
  <c r="AJ392" i="1"/>
  <c r="AI392" i="1"/>
  <c r="AH392" i="1"/>
  <c r="N392" i="1"/>
  <c r="AL391" i="1"/>
  <c r="AJ391" i="1"/>
  <c r="AI391" i="1"/>
  <c r="N391" i="1"/>
  <c r="AL390" i="1"/>
  <c r="AI390" i="1"/>
  <c r="N390" i="1"/>
  <c r="AL389" i="1"/>
  <c r="AJ389" i="1"/>
  <c r="AI389" i="1"/>
  <c r="N389" i="1"/>
  <c r="AL388" i="1"/>
  <c r="AJ388" i="1"/>
  <c r="AI388" i="1"/>
  <c r="AH388" i="1"/>
  <c r="N388" i="1"/>
  <c r="AL387" i="1"/>
  <c r="AJ387" i="1"/>
  <c r="AI387" i="1"/>
  <c r="N387" i="1"/>
  <c r="AL386" i="1"/>
  <c r="AJ386" i="1"/>
  <c r="AI386" i="1"/>
  <c r="AH386" i="1"/>
  <c r="N386" i="1"/>
  <c r="AL385" i="1"/>
  <c r="AJ385" i="1"/>
  <c r="AI385" i="1"/>
  <c r="AH385" i="1"/>
  <c r="N385" i="1"/>
  <c r="AL384" i="1"/>
  <c r="AJ384" i="1"/>
  <c r="AI384" i="1"/>
  <c r="N384" i="1"/>
  <c r="AL383" i="1"/>
  <c r="AJ383" i="1"/>
  <c r="AI383" i="1"/>
  <c r="N383" i="1"/>
  <c r="BA382" i="1"/>
  <c r="AL382" i="1" s="1"/>
  <c r="AJ382" i="1"/>
  <c r="AI382" i="1"/>
  <c r="N382" i="1"/>
  <c r="AL381" i="1"/>
  <c r="AJ381" i="1"/>
  <c r="AI381" i="1"/>
  <c r="AH381" i="1"/>
  <c r="N381" i="1"/>
  <c r="B381" i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AL380" i="1"/>
  <c r="AJ380" i="1"/>
  <c r="AI380" i="1"/>
  <c r="AH380" i="1"/>
  <c r="N380" i="1"/>
  <c r="A380" i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L379" i="1"/>
  <c r="AJ379" i="1"/>
  <c r="AI379" i="1"/>
  <c r="AH379" i="1"/>
  <c r="N379" i="1"/>
  <c r="AL378" i="1"/>
  <c r="AJ378" i="1"/>
  <c r="AI378" i="1"/>
  <c r="N378" i="1"/>
  <c r="AL377" i="1"/>
  <c r="AJ377" i="1"/>
  <c r="AI377" i="1"/>
  <c r="N377" i="1"/>
  <c r="AL376" i="1"/>
  <c r="AJ376" i="1"/>
  <c r="AI376" i="1"/>
  <c r="N376" i="1"/>
  <c r="AL375" i="1"/>
  <c r="AJ375" i="1"/>
  <c r="AI375" i="1"/>
  <c r="N375" i="1"/>
  <c r="AL374" i="1"/>
  <c r="AJ374" i="1"/>
  <c r="AI374" i="1"/>
  <c r="AH374" i="1"/>
  <c r="N374" i="1"/>
  <c r="AL373" i="1"/>
  <c r="AJ373" i="1"/>
  <c r="AI373" i="1"/>
  <c r="AH373" i="1"/>
  <c r="N373" i="1"/>
  <c r="AL372" i="1"/>
  <c r="AJ372" i="1"/>
  <c r="AI372" i="1"/>
  <c r="AH372" i="1"/>
  <c r="N372" i="1"/>
  <c r="AL371" i="1"/>
  <c r="AJ371" i="1"/>
  <c r="AI371" i="1"/>
  <c r="AH371" i="1"/>
  <c r="N371" i="1"/>
  <c r="AL370" i="1"/>
  <c r="AJ370" i="1"/>
  <c r="AI370" i="1"/>
  <c r="AH370" i="1"/>
  <c r="N370" i="1"/>
  <c r="AL369" i="1"/>
  <c r="AJ369" i="1"/>
  <c r="AI369" i="1"/>
  <c r="N369" i="1"/>
  <c r="AL368" i="1"/>
  <c r="AJ368" i="1"/>
  <c r="AI368" i="1"/>
  <c r="N368" i="1"/>
  <c r="AL367" i="1"/>
  <c r="AJ367" i="1"/>
  <c r="AI367" i="1"/>
  <c r="N367" i="1"/>
  <c r="AL366" i="1"/>
  <c r="AJ366" i="1"/>
  <c r="AI366" i="1"/>
  <c r="N366" i="1"/>
  <c r="AL365" i="1"/>
  <c r="AJ365" i="1"/>
  <c r="AI365" i="1"/>
  <c r="N365" i="1"/>
  <c r="AL364" i="1"/>
  <c r="AJ364" i="1"/>
  <c r="AI364" i="1"/>
  <c r="N364" i="1"/>
  <c r="AL363" i="1"/>
  <c r="AJ363" i="1"/>
  <c r="AI363" i="1"/>
  <c r="AH363" i="1"/>
  <c r="N363" i="1"/>
  <c r="AL362" i="1"/>
  <c r="AJ362" i="1"/>
  <c r="AI362" i="1"/>
  <c r="N362" i="1"/>
  <c r="AL361" i="1"/>
  <c r="AJ361" i="1"/>
  <c r="AI361" i="1"/>
  <c r="N361" i="1"/>
  <c r="AL360" i="1"/>
  <c r="AJ360" i="1"/>
  <c r="AI360" i="1"/>
  <c r="N360" i="1"/>
  <c r="AL359" i="1"/>
  <c r="AJ359" i="1"/>
  <c r="AI359" i="1"/>
  <c r="P359" i="1"/>
  <c r="N359" i="1" s="1"/>
  <c r="AL358" i="1"/>
  <c r="AJ358" i="1"/>
  <c r="AI358" i="1"/>
  <c r="N358" i="1"/>
  <c r="AL357" i="1"/>
  <c r="AJ357" i="1"/>
  <c r="AI357" i="1"/>
  <c r="N357" i="1"/>
  <c r="AL356" i="1"/>
  <c r="AJ356" i="1"/>
  <c r="AI356" i="1"/>
  <c r="N356" i="1"/>
  <c r="AL355" i="1"/>
  <c r="AJ355" i="1"/>
  <c r="AI355" i="1"/>
  <c r="N355" i="1"/>
  <c r="AL354" i="1"/>
  <c r="AJ354" i="1"/>
  <c r="AI354" i="1"/>
  <c r="AH354" i="1"/>
  <c r="N354" i="1"/>
  <c r="AL353" i="1"/>
  <c r="AJ353" i="1"/>
  <c r="AI353" i="1"/>
  <c r="N353" i="1"/>
  <c r="AL352" i="1"/>
  <c r="AJ352" i="1"/>
  <c r="AI352" i="1"/>
  <c r="AH352" i="1"/>
  <c r="N352" i="1"/>
  <c r="AL351" i="1"/>
  <c r="AJ351" i="1"/>
  <c r="AI351" i="1"/>
  <c r="AH351" i="1"/>
  <c r="N351" i="1"/>
  <c r="AL350" i="1"/>
  <c r="AJ350" i="1"/>
  <c r="AI350" i="1"/>
  <c r="N350" i="1"/>
  <c r="AL349" i="1"/>
  <c r="AJ349" i="1"/>
  <c r="AI349" i="1"/>
  <c r="AH349" i="1"/>
  <c r="N349" i="1"/>
  <c r="AL348" i="1"/>
  <c r="AJ348" i="1"/>
  <c r="AI348" i="1"/>
  <c r="N348" i="1"/>
  <c r="AL347" i="1"/>
  <c r="AJ347" i="1"/>
  <c r="AI347" i="1"/>
  <c r="AH347" i="1"/>
  <c r="N347" i="1"/>
  <c r="AL346" i="1"/>
  <c r="AJ346" i="1"/>
  <c r="AI346" i="1"/>
  <c r="N346" i="1"/>
  <c r="AL345" i="1"/>
  <c r="AJ345" i="1"/>
  <c r="AI345" i="1"/>
  <c r="N345" i="1"/>
  <c r="AL344" i="1"/>
  <c r="AJ344" i="1"/>
  <c r="AI344" i="1"/>
  <c r="N344" i="1"/>
  <c r="AL343" i="1"/>
  <c r="AJ343" i="1"/>
  <c r="AI343" i="1"/>
  <c r="N343" i="1"/>
  <c r="AL342" i="1"/>
  <c r="AJ342" i="1"/>
  <c r="AI342" i="1"/>
  <c r="N342" i="1"/>
  <c r="AL341" i="1"/>
  <c r="AJ341" i="1"/>
  <c r="AI341" i="1"/>
  <c r="N341" i="1"/>
  <c r="AL340" i="1"/>
  <c r="AJ340" i="1"/>
  <c r="AI340" i="1"/>
  <c r="AH340" i="1"/>
  <c r="N340" i="1"/>
  <c r="AL339" i="1"/>
  <c r="AJ339" i="1"/>
  <c r="AI339" i="1"/>
  <c r="N339" i="1"/>
  <c r="AL338" i="1"/>
  <c r="AJ338" i="1"/>
  <c r="AI338" i="1"/>
  <c r="N338" i="1"/>
  <c r="AL337" i="1"/>
  <c r="AJ337" i="1"/>
  <c r="AI337" i="1"/>
  <c r="N337" i="1"/>
  <c r="AL336" i="1"/>
  <c r="AJ336" i="1"/>
  <c r="AI336" i="1"/>
  <c r="N336" i="1"/>
  <c r="AL335" i="1"/>
  <c r="AJ335" i="1"/>
  <c r="AI335" i="1"/>
  <c r="N335" i="1"/>
  <c r="AL334" i="1"/>
  <c r="AJ334" i="1"/>
  <c r="AI334" i="1"/>
  <c r="N334" i="1"/>
  <c r="AL333" i="1"/>
  <c r="AJ333" i="1"/>
  <c r="AI333" i="1"/>
  <c r="AH333" i="1"/>
  <c r="P333" i="1"/>
  <c r="N333" i="1"/>
  <c r="BA332" i="1"/>
  <c r="AL332" i="1" s="1"/>
  <c r="AJ332" i="1"/>
  <c r="AI332" i="1"/>
  <c r="AH332" i="1"/>
  <c r="P332" i="1"/>
  <c r="N332" i="1" s="1"/>
  <c r="AL331" i="1"/>
  <c r="AJ331" i="1"/>
  <c r="AI331" i="1"/>
  <c r="N331" i="1"/>
  <c r="AL330" i="1"/>
  <c r="AJ330" i="1"/>
  <c r="AI330" i="1"/>
  <c r="N330" i="1"/>
  <c r="AL329" i="1"/>
  <c r="AJ329" i="1"/>
  <c r="AI329" i="1"/>
  <c r="AH329" i="1"/>
  <c r="N329" i="1"/>
  <c r="AL328" i="1"/>
  <c r="AJ328" i="1"/>
  <c r="AI328" i="1"/>
  <c r="AH328" i="1"/>
  <c r="N328" i="1"/>
  <c r="AL327" i="1"/>
  <c r="AJ327" i="1"/>
  <c r="AI327" i="1"/>
  <c r="N327" i="1"/>
  <c r="AL326" i="1"/>
  <c r="AJ326" i="1"/>
  <c r="AI326" i="1"/>
  <c r="N326" i="1"/>
  <c r="AL325" i="1"/>
  <c r="AJ325" i="1"/>
  <c r="AI325" i="1"/>
  <c r="N325" i="1"/>
  <c r="AL324" i="1"/>
  <c r="N324" i="1"/>
  <c r="AL323" i="1"/>
  <c r="N323" i="1"/>
  <c r="AL322" i="1"/>
  <c r="N322" i="1"/>
  <c r="BA321" i="1"/>
  <c r="AL321" i="1"/>
  <c r="AJ321" i="1"/>
  <c r="AI321" i="1"/>
  <c r="AH321" i="1"/>
  <c r="N321" i="1"/>
  <c r="AL320" i="1"/>
  <c r="AJ320" i="1"/>
  <c r="AI320" i="1"/>
  <c r="N320" i="1"/>
  <c r="AL319" i="1"/>
  <c r="AJ319" i="1"/>
  <c r="AI319" i="1"/>
  <c r="AH319" i="1"/>
  <c r="N319" i="1"/>
  <c r="AL318" i="1"/>
  <c r="AJ318" i="1"/>
  <c r="AI318" i="1"/>
  <c r="AH318" i="1"/>
  <c r="N318" i="1"/>
  <c r="AL317" i="1"/>
  <c r="AJ317" i="1"/>
  <c r="AI317" i="1"/>
  <c r="N317" i="1"/>
  <c r="BA316" i="1"/>
  <c r="AL316" i="1"/>
  <c r="AJ316" i="1"/>
  <c r="AI316" i="1"/>
  <c r="AH316" i="1"/>
  <c r="N316" i="1"/>
  <c r="AL315" i="1"/>
  <c r="AJ315" i="1"/>
  <c r="AI315" i="1"/>
  <c r="N315" i="1"/>
  <c r="AL314" i="1"/>
  <c r="AJ314" i="1"/>
  <c r="AI314" i="1"/>
  <c r="N314" i="1"/>
  <c r="AL313" i="1"/>
  <c r="AJ313" i="1"/>
  <c r="AI313" i="1"/>
  <c r="AH313" i="1"/>
  <c r="N313" i="1"/>
  <c r="AL312" i="1"/>
  <c r="AJ312" i="1"/>
  <c r="AI312" i="1"/>
  <c r="N312" i="1"/>
  <c r="AL311" i="1"/>
  <c r="AJ311" i="1"/>
  <c r="AI311" i="1"/>
  <c r="N311" i="1"/>
  <c r="AL310" i="1"/>
  <c r="AJ310" i="1"/>
  <c r="AI310" i="1"/>
  <c r="N310" i="1"/>
  <c r="AL309" i="1"/>
  <c r="AJ309" i="1"/>
  <c r="AI309" i="1"/>
  <c r="N309" i="1"/>
  <c r="AL308" i="1"/>
  <c r="AJ308" i="1"/>
  <c r="AI308" i="1"/>
  <c r="N308" i="1"/>
  <c r="AL307" i="1"/>
  <c r="AJ307" i="1"/>
  <c r="AI307" i="1"/>
  <c r="N307" i="1"/>
  <c r="AL306" i="1"/>
  <c r="AJ306" i="1"/>
  <c r="AI306" i="1"/>
  <c r="P306" i="1"/>
  <c r="N306" i="1" s="1"/>
  <c r="AL305" i="1"/>
  <c r="AJ305" i="1"/>
  <c r="AI305" i="1"/>
  <c r="N305" i="1"/>
  <c r="AL304" i="1"/>
  <c r="AJ304" i="1"/>
  <c r="AI304" i="1"/>
  <c r="N304" i="1"/>
  <c r="AL303" i="1"/>
  <c r="AJ303" i="1"/>
  <c r="AI303" i="1"/>
  <c r="AH303" i="1"/>
  <c r="N303" i="1"/>
  <c r="AL302" i="1"/>
  <c r="AJ302" i="1"/>
  <c r="AI302" i="1"/>
  <c r="N302" i="1"/>
  <c r="AL301" i="1"/>
  <c r="AJ301" i="1"/>
  <c r="AI301" i="1"/>
  <c r="N301" i="1"/>
  <c r="AL300" i="1"/>
  <c r="N300" i="1"/>
  <c r="AL299" i="1"/>
  <c r="AJ299" i="1"/>
  <c r="AI299" i="1"/>
  <c r="N299" i="1"/>
  <c r="AL298" i="1"/>
  <c r="AJ298" i="1"/>
  <c r="AI298" i="1"/>
  <c r="N298" i="1"/>
  <c r="AL297" i="1"/>
  <c r="AJ297" i="1"/>
  <c r="AI297" i="1"/>
  <c r="N297" i="1"/>
  <c r="BA296" i="1"/>
  <c r="AL296" i="1" s="1"/>
  <c r="AJ296" i="1"/>
  <c r="AI296" i="1"/>
  <c r="AH296" i="1"/>
  <c r="P296" i="1"/>
  <c r="N296" i="1"/>
  <c r="AL295" i="1"/>
  <c r="AJ295" i="1"/>
  <c r="AI295" i="1"/>
  <c r="AH295" i="1"/>
  <c r="N295" i="1"/>
  <c r="AL294" i="1"/>
  <c r="AJ294" i="1"/>
  <c r="AI294" i="1"/>
  <c r="AH294" i="1"/>
  <c r="N294" i="1"/>
  <c r="AL293" i="1"/>
  <c r="AJ293" i="1"/>
  <c r="AI293" i="1"/>
  <c r="AH293" i="1"/>
  <c r="N293" i="1"/>
  <c r="AL292" i="1"/>
  <c r="AJ292" i="1"/>
  <c r="AI292" i="1"/>
  <c r="N292" i="1"/>
  <c r="AL291" i="1"/>
  <c r="AJ291" i="1"/>
  <c r="AI291" i="1"/>
  <c r="AH291" i="1"/>
  <c r="N291" i="1"/>
  <c r="AL290" i="1"/>
  <c r="AJ290" i="1"/>
  <c r="AI290" i="1"/>
  <c r="AH290" i="1"/>
  <c r="N290" i="1"/>
  <c r="AL289" i="1"/>
  <c r="AJ289" i="1"/>
  <c r="AI289" i="1"/>
  <c r="AH289" i="1"/>
  <c r="N289" i="1"/>
  <c r="AL288" i="1"/>
  <c r="AJ288" i="1"/>
  <c r="AI288" i="1"/>
  <c r="N288" i="1"/>
  <c r="AL287" i="1"/>
  <c r="AJ287" i="1"/>
  <c r="AI287" i="1"/>
  <c r="N287" i="1"/>
  <c r="AL286" i="1"/>
  <c r="AJ286" i="1"/>
  <c r="AI286" i="1"/>
  <c r="N286" i="1"/>
  <c r="AL285" i="1"/>
  <c r="AJ285" i="1"/>
  <c r="AI285" i="1"/>
  <c r="AH285" i="1"/>
  <c r="P285" i="1"/>
  <c r="N285" i="1"/>
  <c r="AL284" i="1"/>
  <c r="AJ284" i="1"/>
  <c r="AI284" i="1"/>
  <c r="AH284" i="1"/>
  <c r="N284" i="1"/>
  <c r="AL283" i="1"/>
  <c r="AJ283" i="1"/>
  <c r="AI283" i="1"/>
  <c r="N283" i="1"/>
  <c r="AL282" i="1"/>
  <c r="AJ282" i="1"/>
  <c r="AI282" i="1"/>
  <c r="N282" i="1"/>
  <c r="AL281" i="1"/>
  <c r="AJ281" i="1"/>
  <c r="AI281" i="1"/>
  <c r="N281" i="1"/>
  <c r="AL280" i="1"/>
  <c r="AJ280" i="1"/>
  <c r="AI280" i="1"/>
  <c r="AH280" i="1"/>
  <c r="N280" i="1"/>
  <c r="AL279" i="1"/>
  <c r="AJ279" i="1"/>
  <c r="AI279" i="1"/>
  <c r="AH279" i="1"/>
  <c r="N279" i="1"/>
  <c r="AL278" i="1"/>
  <c r="AJ278" i="1"/>
  <c r="AI278" i="1"/>
  <c r="AH278" i="1"/>
  <c r="N278" i="1"/>
  <c r="BA277" i="1"/>
  <c r="AL277" i="1" s="1"/>
  <c r="AJ277" i="1"/>
  <c r="AI277" i="1"/>
  <c r="AH277" i="1"/>
  <c r="N277" i="1"/>
  <c r="AL276" i="1"/>
  <c r="AJ276" i="1"/>
  <c r="AI276" i="1"/>
  <c r="AH276" i="1"/>
  <c r="N276" i="1"/>
  <c r="BA275" i="1"/>
  <c r="AL275" i="1"/>
  <c r="AJ275" i="1"/>
  <c r="AI275" i="1"/>
  <c r="N275" i="1"/>
  <c r="AL274" i="1"/>
  <c r="AJ274" i="1"/>
  <c r="AI274" i="1"/>
  <c r="N274" i="1"/>
  <c r="AL273" i="1"/>
  <c r="AJ273" i="1"/>
  <c r="AI273" i="1"/>
  <c r="N273" i="1"/>
  <c r="AL272" i="1"/>
  <c r="AH272" i="1"/>
  <c r="P272" i="1"/>
  <c r="N272" i="1"/>
  <c r="AL271" i="1"/>
  <c r="AH271" i="1"/>
  <c r="N271" i="1"/>
  <c r="BA270" i="1"/>
  <c r="AL270" i="1"/>
  <c r="AJ270" i="1"/>
  <c r="AI270" i="1"/>
  <c r="N270" i="1"/>
  <c r="AL269" i="1"/>
  <c r="AJ269" i="1"/>
  <c r="AI269" i="1"/>
  <c r="AH269" i="1"/>
  <c r="N269" i="1"/>
  <c r="AL268" i="1"/>
  <c r="AJ268" i="1"/>
  <c r="AI268" i="1"/>
  <c r="N268" i="1"/>
  <c r="AL267" i="1"/>
  <c r="AJ267" i="1"/>
  <c r="AI267" i="1"/>
  <c r="N267" i="1"/>
  <c r="AL266" i="1"/>
  <c r="AJ266" i="1"/>
  <c r="AI266" i="1"/>
  <c r="AH266" i="1"/>
  <c r="N266" i="1"/>
  <c r="AL265" i="1"/>
  <c r="AJ265" i="1"/>
  <c r="AI265" i="1"/>
  <c r="AH265" i="1"/>
  <c r="N265" i="1"/>
  <c r="AL264" i="1"/>
  <c r="AJ264" i="1"/>
  <c r="AI264" i="1"/>
  <c r="AH264" i="1"/>
  <c r="N264" i="1"/>
  <c r="AL263" i="1"/>
  <c r="AJ263" i="1"/>
  <c r="AI263" i="1"/>
  <c r="AH263" i="1"/>
  <c r="N263" i="1"/>
  <c r="AL262" i="1"/>
  <c r="AJ262" i="1"/>
  <c r="AI262" i="1"/>
  <c r="N262" i="1"/>
  <c r="AL261" i="1"/>
  <c r="AJ261" i="1"/>
  <c r="AI261" i="1"/>
  <c r="N261" i="1"/>
  <c r="AL260" i="1"/>
  <c r="AJ260" i="1"/>
  <c r="AI260" i="1"/>
  <c r="N260" i="1"/>
  <c r="AL259" i="1"/>
  <c r="AJ259" i="1"/>
  <c r="AI259" i="1"/>
  <c r="AH259" i="1"/>
  <c r="N259" i="1"/>
  <c r="AL258" i="1"/>
  <c r="AJ258" i="1"/>
  <c r="AI258" i="1"/>
  <c r="P258" i="1"/>
  <c r="N258" i="1"/>
  <c r="AL257" i="1"/>
  <c r="AJ257" i="1"/>
  <c r="AI257" i="1"/>
  <c r="N257" i="1"/>
  <c r="AL256" i="1"/>
  <c r="AJ256" i="1"/>
  <c r="AI256" i="1"/>
  <c r="N256" i="1"/>
  <c r="AL255" i="1"/>
  <c r="AJ255" i="1"/>
  <c r="AI255" i="1"/>
  <c r="P255" i="1"/>
  <c r="N255" i="1" s="1"/>
  <c r="AL254" i="1"/>
  <c r="AJ254" i="1"/>
  <c r="AI254" i="1"/>
  <c r="N254" i="1"/>
  <c r="AL253" i="1"/>
  <c r="AJ253" i="1"/>
  <c r="AI253" i="1"/>
  <c r="N253" i="1"/>
  <c r="AL252" i="1"/>
  <c r="AJ252" i="1"/>
  <c r="AI252" i="1"/>
  <c r="AH252" i="1"/>
  <c r="N252" i="1"/>
  <c r="AL251" i="1"/>
  <c r="AJ251" i="1"/>
  <c r="AI251" i="1"/>
  <c r="P251" i="1"/>
  <c r="N251" i="1"/>
  <c r="AL250" i="1"/>
  <c r="AJ250" i="1"/>
  <c r="AI250" i="1"/>
  <c r="AH250" i="1"/>
  <c r="N250" i="1"/>
  <c r="AL249" i="1"/>
  <c r="AJ249" i="1"/>
  <c r="AI249" i="1"/>
  <c r="AH249" i="1"/>
  <c r="N249" i="1"/>
  <c r="AL248" i="1"/>
  <c r="AJ248" i="1"/>
  <c r="AI248" i="1"/>
  <c r="AH248" i="1"/>
  <c r="N248" i="1"/>
  <c r="AL247" i="1"/>
  <c r="AJ247" i="1"/>
  <c r="AI247" i="1"/>
  <c r="N247" i="1"/>
  <c r="AL246" i="1"/>
  <c r="AJ246" i="1"/>
  <c r="AI246" i="1"/>
  <c r="N246" i="1"/>
  <c r="AL245" i="1"/>
  <c r="AJ245" i="1"/>
  <c r="AI245" i="1"/>
  <c r="AH245" i="1"/>
  <c r="N245" i="1"/>
  <c r="AL244" i="1"/>
  <c r="AJ244" i="1"/>
  <c r="AI244" i="1"/>
  <c r="AH244" i="1"/>
  <c r="N244" i="1"/>
  <c r="AL243" i="1"/>
  <c r="AJ243" i="1"/>
  <c r="AI243" i="1"/>
  <c r="AH243" i="1"/>
  <c r="P243" i="1"/>
  <c r="N243" i="1" s="1"/>
  <c r="AL242" i="1"/>
  <c r="AJ242" i="1"/>
  <c r="AI242" i="1"/>
  <c r="N242" i="1"/>
  <c r="AL241" i="1"/>
  <c r="AJ241" i="1"/>
  <c r="AI241" i="1"/>
  <c r="N241" i="1"/>
  <c r="BA240" i="1"/>
  <c r="AL240" i="1"/>
  <c r="AJ240" i="1"/>
  <c r="AI240" i="1"/>
  <c r="N240" i="1"/>
  <c r="AL239" i="1"/>
  <c r="AJ239" i="1"/>
  <c r="AI239" i="1"/>
  <c r="N239" i="1"/>
  <c r="AL238" i="1"/>
  <c r="AJ238" i="1"/>
  <c r="AI238" i="1"/>
  <c r="N238" i="1"/>
  <c r="AL237" i="1"/>
  <c r="AJ237" i="1"/>
  <c r="AI237" i="1"/>
  <c r="AH237" i="1"/>
  <c r="N237" i="1"/>
  <c r="AL236" i="1"/>
  <c r="AJ236" i="1"/>
  <c r="AI236" i="1"/>
  <c r="N236" i="1"/>
  <c r="AL235" i="1"/>
  <c r="AJ235" i="1"/>
  <c r="AI235" i="1"/>
  <c r="N235" i="1"/>
  <c r="AL234" i="1"/>
  <c r="AJ234" i="1"/>
  <c r="AI234" i="1"/>
  <c r="N234" i="1"/>
  <c r="AL233" i="1"/>
  <c r="AJ233" i="1"/>
  <c r="AI233" i="1"/>
  <c r="N233" i="1"/>
  <c r="AL232" i="1"/>
  <c r="AJ232" i="1"/>
  <c r="AI232" i="1"/>
  <c r="AH232" i="1"/>
  <c r="N232" i="1"/>
  <c r="AL231" i="1"/>
  <c r="AJ231" i="1"/>
  <c r="AI231" i="1"/>
  <c r="N231" i="1"/>
  <c r="AL230" i="1"/>
  <c r="AJ230" i="1"/>
  <c r="AI230" i="1"/>
  <c r="N230" i="1"/>
  <c r="AL229" i="1"/>
  <c r="AJ229" i="1"/>
  <c r="AI229" i="1"/>
  <c r="N229" i="1"/>
  <c r="AL228" i="1"/>
  <c r="AJ228" i="1"/>
  <c r="AI228" i="1"/>
  <c r="N228" i="1"/>
  <c r="AL227" i="1"/>
  <c r="AJ227" i="1"/>
  <c r="AI227" i="1"/>
  <c r="N227" i="1"/>
  <c r="AL226" i="1"/>
  <c r="AJ226" i="1"/>
  <c r="AI226" i="1"/>
  <c r="N226" i="1"/>
  <c r="AL225" i="1"/>
  <c r="AJ225" i="1"/>
  <c r="AI225" i="1"/>
  <c r="N225" i="1"/>
  <c r="AL224" i="1"/>
  <c r="AJ224" i="1"/>
  <c r="AI224" i="1"/>
  <c r="N224" i="1"/>
  <c r="AL223" i="1"/>
  <c r="AJ223" i="1"/>
  <c r="AI223" i="1"/>
  <c r="N223" i="1"/>
  <c r="AL222" i="1"/>
  <c r="AJ222" i="1"/>
  <c r="AI222" i="1"/>
  <c r="N222" i="1"/>
  <c r="AL221" i="1"/>
  <c r="AJ221" i="1"/>
  <c r="AI221" i="1"/>
  <c r="AH221" i="1"/>
  <c r="N221" i="1"/>
  <c r="AL220" i="1"/>
  <c r="AJ220" i="1"/>
  <c r="AI220" i="1"/>
  <c r="AH220" i="1"/>
  <c r="N220" i="1"/>
  <c r="BA219" i="1"/>
  <c r="AL219" i="1" s="1"/>
  <c r="AJ219" i="1"/>
  <c r="AI219" i="1"/>
  <c r="AH219" i="1"/>
  <c r="N219" i="1"/>
  <c r="AL218" i="1"/>
  <c r="AJ218" i="1"/>
  <c r="AI218" i="1"/>
  <c r="N218" i="1"/>
  <c r="AL217" i="1"/>
  <c r="AJ217" i="1"/>
  <c r="AI217" i="1"/>
  <c r="N217" i="1"/>
  <c r="B217" i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AL216" i="1"/>
  <c r="AJ216" i="1"/>
  <c r="AI216" i="1"/>
  <c r="N216" i="1"/>
  <c r="AL215" i="1"/>
  <c r="AJ215" i="1"/>
  <c r="AI215" i="1"/>
  <c r="AH215" i="1"/>
  <c r="N215" i="1"/>
  <c r="AL214" i="1"/>
  <c r="AJ214" i="1"/>
  <c r="AI214" i="1"/>
  <c r="N214" i="1"/>
  <c r="BA213" i="1"/>
  <c r="AL213" i="1" s="1"/>
  <c r="AJ213" i="1"/>
  <c r="AI213" i="1"/>
  <c r="N213" i="1"/>
  <c r="AL212" i="1"/>
  <c r="AJ212" i="1"/>
  <c r="AI212" i="1"/>
  <c r="AH212" i="1"/>
  <c r="N212" i="1"/>
  <c r="AL211" i="1"/>
  <c r="AJ211" i="1"/>
  <c r="AI211" i="1"/>
  <c r="AH211" i="1"/>
  <c r="N211" i="1"/>
  <c r="AL210" i="1"/>
  <c r="AJ210" i="1"/>
  <c r="AI210" i="1"/>
  <c r="AH210" i="1"/>
  <c r="N210" i="1"/>
  <c r="A210" i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L209" i="1"/>
  <c r="AJ209" i="1"/>
  <c r="AI209" i="1"/>
  <c r="N209" i="1"/>
  <c r="AL208" i="1"/>
  <c r="AJ208" i="1"/>
  <c r="AI208" i="1"/>
  <c r="AH208" i="1"/>
  <c r="N208" i="1"/>
  <c r="AL207" i="1"/>
  <c r="AJ207" i="1"/>
  <c r="AI207" i="1"/>
  <c r="AH207" i="1"/>
  <c r="N207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B206" i="1"/>
  <c r="Y206" i="1"/>
  <c r="V206" i="1"/>
  <c r="S206" i="1"/>
  <c r="R206" i="1"/>
  <c r="Q206" i="1"/>
  <c r="P206" i="1"/>
  <c r="M206" i="1"/>
  <c r="L206" i="1"/>
  <c r="K206" i="1"/>
  <c r="J206" i="1"/>
  <c r="AL205" i="1"/>
  <c r="N205" i="1"/>
  <c r="AL204" i="1"/>
  <c r="N204" i="1"/>
  <c r="AL203" i="1"/>
  <c r="AJ203" i="1"/>
  <c r="AI203" i="1"/>
  <c r="N203" i="1"/>
  <c r="AL202" i="1"/>
  <c r="AJ202" i="1"/>
  <c r="AI202" i="1"/>
  <c r="N202" i="1"/>
  <c r="AL201" i="1"/>
  <c r="AJ201" i="1"/>
  <c r="AI201" i="1"/>
  <c r="N201" i="1"/>
  <c r="AL200" i="1"/>
  <c r="AJ200" i="1"/>
  <c r="AI200" i="1"/>
  <c r="N200" i="1"/>
  <c r="AL199" i="1"/>
  <c r="AJ199" i="1"/>
  <c r="AI199" i="1"/>
  <c r="AH199" i="1"/>
  <c r="N199" i="1"/>
  <c r="AL198" i="1"/>
  <c r="AJ198" i="1"/>
  <c r="AI198" i="1"/>
  <c r="N198" i="1"/>
  <c r="AL197" i="1"/>
  <c r="AJ197" i="1"/>
  <c r="AI197" i="1"/>
  <c r="AH197" i="1"/>
  <c r="N197" i="1"/>
  <c r="AL196" i="1"/>
  <c r="AJ196" i="1"/>
  <c r="AI196" i="1"/>
  <c r="AH196" i="1"/>
  <c r="N196" i="1"/>
  <c r="AL195" i="1"/>
  <c r="AJ195" i="1"/>
  <c r="AI195" i="1"/>
  <c r="N195" i="1"/>
  <c r="AL194" i="1"/>
  <c r="AJ194" i="1"/>
  <c r="AI194" i="1"/>
  <c r="AH194" i="1"/>
  <c r="N194" i="1"/>
  <c r="AL193" i="1"/>
  <c r="AJ193" i="1"/>
  <c r="AI193" i="1"/>
  <c r="AH193" i="1"/>
  <c r="N193" i="1"/>
  <c r="AL192" i="1"/>
  <c r="AJ192" i="1"/>
  <c r="AI192" i="1"/>
  <c r="N192" i="1"/>
  <c r="AL191" i="1"/>
  <c r="AJ191" i="1"/>
  <c r="AI191" i="1"/>
  <c r="N191" i="1"/>
  <c r="AL190" i="1"/>
  <c r="AJ190" i="1"/>
  <c r="AI190" i="1"/>
  <c r="N190" i="1"/>
  <c r="AL189" i="1"/>
  <c r="AI189" i="1"/>
  <c r="N189" i="1"/>
  <c r="AL188" i="1"/>
  <c r="AI188" i="1"/>
  <c r="N188" i="1"/>
  <c r="AL187" i="1"/>
  <c r="AI187" i="1"/>
  <c r="N187" i="1"/>
  <c r="AL186" i="1"/>
  <c r="AI186" i="1"/>
  <c r="N186" i="1"/>
  <c r="AL185" i="1"/>
  <c r="AI185" i="1"/>
  <c r="N185" i="1"/>
  <c r="AL184" i="1"/>
  <c r="AI184" i="1"/>
  <c r="N184" i="1"/>
  <c r="AL183" i="1"/>
  <c r="AI183" i="1"/>
  <c r="N183" i="1"/>
  <c r="AL182" i="1"/>
  <c r="AI182" i="1"/>
  <c r="N182" i="1"/>
  <c r="AL181" i="1"/>
  <c r="AI181" i="1"/>
  <c r="N181" i="1"/>
  <c r="AL180" i="1"/>
  <c r="AI180" i="1"/>
  <c r="N180" i="1"/>
  <c r="AL179" i="1"/>
  <c r="AJ179" i="1"/>
  <c r="AI179" i="1"/>
  <c r="N179" i="1"/>
  <c r="AL178" i="1"/>
  <c r="AJ178" i="1"/>
  <c r="AI178" i="1"/>
  <c r="N178" i="1"/>
  <c r="AL177" i="1"/>
  <c r="AJ177" i="1"/>
  <c r="AI177" i="1"/>
  <c r="AH177" i="1"/>
  <c r="N177" i="1"/>
  <c r="AL176" i="1"/>
  <c r="AJ176" i="1"/>
  <c r="AI176" i="1"/>
  <c r="N176" i="1"/>
  <c r="AL175" i="1"/>
  <c r="AJ175" i="1"/>
  <c r="AI175" i="1"/>
  <c r="N175" i="1"/>
  <c r="AL174" i="1"/>
  <c r="AJ174" i="1"/>
  <c r="AI174" i="1"/>
  <c r="AH174" i="1"/>
  <c r="N174" i="1"/>
  <c r="AL173" i="1"/>
  <c r="AJ173" i="1"/>
  <c r="AI173" i="1"/>
  <c r="AH173" i="1"/>
  <c r="N173" i="1"/>
  <c r="AL172" i="1"/>
  <c r="AJ172" i="1"/>
  <c r="AI172" i="1"/>
  <c r="N172" i="1"/>
  <c r="AL171" i="1"/>
  <c r="AJ171" i="1"/>
  <c r="AI171" i="1"/>
  <c r="N171" i="1"/>
  <c r="AL170" i="1"/>
  <c r="AJ170" i="1"/>
  <c r="AI170" i="1"/>
  <c r="N170" i="1"/>
  <c r="AL169" i="1"/>
  <c r="AJ169" i="1"/>
  <c r="AI169" i="1"/>
  <c r="N169" i="1"/>
  <c r="AL168" i="1"/>
  <c r="AJ168" i="1"/>
  <c r="AI168" i="1"/>
  <c r="N168" i="1"/>
  <c r="AL167" i="1"/>
  <c r="AJ167" i="1"/>
  <c r="AI167" i="1"/>
  <c r="AH167" i="1"/>
  <c r="N167" i="1"/>
  <c r="AL166" i="1"/>
  <c r="AJ166" i="1"/>
  <c r="AI166" i="1"/>
  <c r="N166" i="1"/>
  <c r="AW165" i="1"/>
  <c r="AL165" i="1"/>
  <c r="AJ165" i="1"/>
  <c r="AI165" i="1"/>
  <c r="AH165" i="1"/>
  <c r="N165" i="1"/>
  <c r="BA164" i="1"/>
  <c r="AL164" i="1"/>
  <c r="AJ164" i="1"/>
  <c r="AI164" i="1"/>
  <c r="AH164" i="1"/>
  <c r="N164" i="1"/>
  <c r="AL163" i="1"/>
  <c r="AI163" i="1"/>
  <c r="N163" i="1"/>
  <c r="AL162" i="1"/>
  <c r="AJ162" i="1"/>
  <c r="AI162" i="1"/>
  <c r="N162" i="1"/>
  <c r="AL161" i="1"/>
  <c r="AJ161" i="1"/>
  <c r="AI161" i="1"/>
  <c r="N161" i="1"/>
  <c r="AL160" i="1"/>
  <c r="AJ160" i="1"/>
  <c r="AI160" i="1"/>
  <c r="N160" i="1"/>
  <c r="AL159" i="1"/>
  <c r="AJ159" i="1"/>
  <c r="AI159" i="1"/>
  <c r="N159" i="1"/>
  <c r="AL158" i="1"/>
  <c r="AJ158" i="1"/>
  <c r="AI158" i="1"/>
  <c r="N158" i="1"/>
  <c r="AL157" i="1"/>
  <c r="AJ157" i="1"/>
  <c r="AI157" i="1"/>
  <c r="N157" i="1"/>
  <c r="AL156" i="1"/>
  <c r="AJ156" i="1"/>
  <c r="AI156" i="1"/>
  <c r="N156" i="1"/>
  <c r="AL155" i="1"/>
  <c r="AJ155" i="1"/>
  <c r="AI155" i="1"/>
  <c r="N155" i="1"/>
  <c r="AL154" i="1"/>
  <c r="AJ154" i="1"/>
  <c r="AI154" i="1"/>
  <c r="N154" i="1"/>
  <c r="AL153" i="1"/>
  <c r="AJ153" i="1"/>
  <c r="AI153" i="1"/>
  <c r="AH153" i="1"/>
  <c r="N153" i="1"/>
  <c r="AL152" i="1"/>
  <c r="AJ152" i="1"/>
  <c r="AI152" i="1"/>
  <c r="AH152" i="1"/>
  <c r="N152" i="1"/>
  <c r="AL151" i="1"/>
  <c r="AJ151" i="1"/>
  <c r="AI151" i="1"/>
  <c r="N151" i="1"/>
  <c r="AL150" i="1"/>
  <c r="AJ150" i="1"/>
  <c r="AI150" i="1"/>
  <c r="N150" i="1"/>
  <c r="AL149" i="1"/>
  <c r="AJ149" i="1"/>
  <c r="AI149" i="1"/>
  <c r="AH149" i="1"/>
  <c r="N149" i="1"/>
  <c r="AL148" i="1"/>
  <c r="AJ148" i="1"/>
  <c r="AI148" i="1"/>
  <c r="AH148" i="1"/>
  <c r="N148" i="1"/>
  <c r="AL147" i="1"/>
  <c r="AJ147" i="1"/>
  <c r="AI147" i="1"/>
  <c r="N147" i="1"/>
  <c r="AL146" i="1"/>
  <c r="AJ146" i="1"/>
  <c r="AI146" i="1"/>
  <c r="N146" i="1"/>
  <c r="AL145" i="1"/>
  <c r="AJ145" i="1"/>
  <c r="AI145" i="1"/>
  <c r="N145" i="1"/>
  <c r="AL144" i="1"/>
  <c r="AJ144" i="1"/>
  <c r="AI144" i="1"/>
  <c r="AH144" i="1"/>
  <c r="N144" i="1"/>
  <c r="AL143" i="1"/>
  <c r="AJ143" i="1"/>
  <c r="AI143" i="1"/>
  <c r="AH143" i="1"/>
  <c r="N143" i="1"/>
  <c r="AL142" i="1"/>
  <c r="AJ142" i="1"/>
  <c r="AI142" i="1"/>
  <c r="AH142" i="1"/>
  <c r="N142" i="1"/>
  <c r="AL141" i="1"/>
  <c r="AJ141" i="1"/>
  <c r="AI141" i="1"/>
  <c r="AH141" i="1"/>
  <c r="N141" i="1"/>
  <c r="AL140" i="1"/>
  <c r="AJ140" i="1"/>
  <c r="AI140" i="1"/>
  <c r="AH140" i="1"/>
  <c r="N140" i="1"/>
  <c r="AL139" i="1"/>
  <c r="AJ139" i="1"/>
  <c r="AI139" i="1"/>
  <c r="AH139" i="1"/>
  <c r="N139" i="1"/>
  <c r="AL138" i="1"/>
  <c r="AJ138" i="1"/>
  <c r="AI138" i="1"/>
  <c r="N138" i="1"/>
  <c r="AL137" i="1"/>
  <c r="AJ137" i="1"/>
  <c r="AI137" i="1"/>
  <c r="N137" i="1"/>
  <c r="AL136" i="1"/>
  <c r="AJ136" i="1"/>
  <c r="AI136" i="1"/>
  <c r="AH136" i="1"/>
  <c r="N136" i="1"/>
  <c r="AL135" i="1"/>
  <c r="AJ135" i="1"/>
  <c r="AI135" i="1"/>
  <c r="N135" i="1"/>
  <c r="AL134" i="1"/>
  <c r="AJ134" i="1"/>
  <c r="AI134" i="1"/>
  <c r="N134" i="1"/>
  <c r="AL133" i="1"/>
  <c r="AJ133" i="1"/>
  <c r="AI133" i="1"/>
  <c r="AH133" i="1"/>
  <c r="N133" i="1"/>
  <c r="AL132" i="1"/>
  <c r="AJ132" i="1"/>
  <c r="AI132" i="1"/>
  <c r="AH132" i="1"/>
  <c r="N132" i="1"/>
  <c r="AL131" i="1"/>
  <c r="AJ131" i="1"/>
  <c r="AI131" i="1"/>
  <c r="AH131" i="1"/>
  <c r="N131" i="1"/>
  <c r="AL130" i="1"/>
  <c r="AJ130" i="1"/>
  <c r="AI130" i="1"/>
  <c r="AH130" i="1"/>
  <c r="N130" i="1"/>
  <c r="AL129" i="1"/>
  <c r="AJ129" i="1"/>
  <c r="AI129" i="1"/>
  <c r="N129" i="1"/>
  <c r="AL128" i="1"/>
  <c r="AJ128" i="1"/>
  <c r="AI128" i="1"/>
  <c r="AH128" i="1"/>
  <c r="N128" i="1"/>
  <c r="AL127" i="1"/>
  <c r="AJ127" i="1"/>
  <c r="AI127" i="1"/>
  <c r="N127" i="1"/>
  <c r="AL126" i="1"/>
  <c r="AJ126" i="1"/>
  <c r="AI126" i="1"/>
  <c r="N126" i="1"/>
  <c r="AL125" i="1"/>
  <c r="AJ125" i="1"/>
  <c r="AI125" i="1"/>
  <c r="N125" i="1"/>
  <c r="AL124" i="1"/>
  <c r="AJ124" i="1"/>
  <c r="AI124" i="1"/>
  <c r="N124" i="1"/>
  <c r="BA123" i="1"/>
  <c r="AL123" i="1"/>
  <c r="AJ123" i="1"/>
  <c r="AI123" i="1"/>
  <c r="N123" i="1"/>
  <c r="AL122" i="1"/>
  <c r="AJ122" i="1"/>
  <c r="AI122" i="1"/>
  <c r="N122" i="1"/>
  <c r="AL121" i="1"/>
  <c r="AJ121" i="1"/>
  <c r="AI121" i="1"/>
  <c r="N121" i="1"/>
  <c r="AL120" i="1"/>
  <c r="AJ120" i="1"/>
  <c r="AI120" i="1"/>
  <c r="N120" i="1"/>
  <c r="AL119" i="1"/>
  <c r="AJ119" i="1"/>
  <c r="AI119" i="1"/>
  <c r="N119" i="1"/>
  <c r="AL118" i="1"/>
  <c r="AJ118" i="1"/>
  <c r="AI118" i="1"/>
  <c r="N118" i="1"/>
  <c r="AL117" i="1"/>
  <c r="AJ117" i="1"/>
  <c r="AI117" i="1"/>
  <c r="N117" i="1"/>
  <c r="AL116" i="1"/>
  <c r="AJ116" i="1"/>
  <c r="AI116" i="1"/>
  <c r="N116" i="1"/>
  <c r="AL115" i="1"/>
  <c r="AJ115" i="1"/>
  <c r="AI115" i="1"/>
  <c r="N115" i="1"/>
  <c r="AL114" i="1"/>
  <c r="AJ114" i="1"/>
  <c r="AI114" i="1"/>
  <c r="N114" i="1"/>
  <c r="AL113" i="1"/>
  <c r="AJ113" i="1"/>
  <c r="AI113" i="1"/>
  <c r="N113" i="1"/>
  <c r="AL112" i="1"/>
  <c r="AJ112" i="1"/>
  <c r="AI112" i="1"/>
  <c r="N112" i="1"/>
  <c r="BA111" i="1"/>
  <c r="AL111" i="1" s="1"/>
  <c r="AJ111" i="1"/>
  <c r="AI111" i="1"/>
  <c r="AH111" i="1"/>
  <c r="N111" i="1"/>
  <c r="AL110" i="1"/>
  <c r="AJ110" i="1"/>
  <c r="AI110" i="1"/>
  <c r="N110" i="1"/>
  <c r="BA109" i="1"/>
  <c r="AL109" i="1"/>
  <c r="AJ109" i="1"/>
  <c r="AI109" i="1"/>
  <c r="N109" i="1"/>
  <c r="AL108" i="1"/>
  <c r="AJ108" i="1"/>
  <c r="AI108" i="1"/>
  <c r="N108" i="1"/>
  <c r="AL107" i="1"/>
  <c r="AJ107" i="1"/>
  <c r="AI107" i="1"/>
  <c r="N107" i="1"/>
  <c r="AL106" i="1"/>
  <c r="AJ106" i="1"/>
  <c r="AI106" i="1"/>
  <c r="AH106" i="1"/>
  <c r="N106" i="1"/>
  <c r="AL105" i="1"/>
  <c r="AJ105" i="1"/>
  <c r="AI105" i="1"/>
  <c r="N105" i="1"/>
  <c r="AL104" i="1"/>
  <c r="AJ104" i="1"/>
  <c r="AI104" i="1"/>
  <c r="N104" i="1"/>
  <c r="BA103" i="1"/>
  <c r="AL103" i="1"/>
  <c r="AJ103" i="1"/>
  <c r="AI103" i="1"/>
  <c r="N103" i="1"/>
  <c r="BA102" i="1"/>
  <c r="AL102" i="1"/>
  <c r="AJ102" i="1"/>
  <c r="AI102" i="1"/>
  <c r="N102" i="1"/>
  <c r="BA101" i="1"/>
  <c r="AL101" i="1"/>
  <c r="AJ101" i="1"/>
  <c r="AI101" i="1"/>
  <c r="N101" i="1"/>
  <c r="AL100" i="1"/>
  <c r="AJ100" i="1"/>
  <c r="AI100" i="1"/>
  <c r="N100" i="1"/>
  <c r="BA99" i="1"/>
  <c r="AL99" i="1"/>
  <c r="AJ99" i="1"/>
  <c r="AI99" i="1"/>
  <c r="AH99" i="1"/>
  <c r="N99" i="1"/>
  <c r="AL98" i="1"/>
  <c r="AJ98" i="1"/>
  <c r="AI98" i="1"/>
  <c r="N98" i="1"/>
  <c r="BA97" i="1"/>
  <c r="AL97" i="1"/>
  <c r="AJ97" i="1"/>
  <c r="AI97" i="1"/>
  <c r="AH97" i="1"/>
  <c r="N97" i="1"/>
  <c r="BA96" i="1"/>
  <c r="AL96" i="1"/>
  <c r="AJ96" i="1"/>
  <c r="AI96" i="1"/>
  <c r="N96" i="1"/>
  <c r="AL95" i="1"/>
  <c r="AJ95" i="1"/>
  <c r="AI95" i="1"/>
  <c r="AH95" i="1"/>
  <c r="N95" i="1"/>
  <c r="AL94" i="1"/>
  <c r="AJ94" i="1"/>
  <c r="AI94" i="1"/>
  <c r="N94" i="1"/>
  <c r="AL93" i="1"/>
  <c r="AJ93" i="1"/>
  <c r="AI93" i="1"/>
  <c r="AH93" i="1"/>
  <c r="N93" i="1"/>
  <c r="AL92" i="1"/>
  <c r="AJ92" i="1"/>
  <c r="AI92" i="1"/>
  <c r="N92" i="1"/>
  <c r="AL91" i="1"/>
  <c r="AJ91" i="1"/>
  <c r="AI91" i="1"/>
  <c r="N91" i="1"/>
  <c r="AL90" i="1"/>
  <c r="AJ90" i="1"/>
  <c r="AI90" i="1"/>
  <c r="N90" i="1"/>
  <c r="BA89" i="1"/>
  <c r="AL89" i="1"/>
  <c r="AJ89" i="1"/>
  <c r="AI89" i="1"/>
  <c r="N89" i="1"/>
  <c r="BA88" i="1"/>
  <c r="AL88" i="1"/>
  <c r="AJ88" i="1"/>
  <c r="AI88" i="1"/>
  <c r="AH88" i="1"/>
  <c r="N88" i="1"/>
  <c r="AL87" i="1"/>
  <c r="AJ87" i="1"/>
  <c r="AI87" i="1"/>
  <c r="N87" i="1"/>
  <c r="AL86" i="1"/>
  <c r="AJ86" i="1"/>
  <c r="AI86" i="1"/>
  <c r="AH86" i="1"/>
  <c r="N86" i="1"/>
  <c r="AL85" i="1"/>
  <c r="AJ85" i="1"/>
  <c r="AI85" i="1"/>
  <c r="AH85" i="1"/>
  <c r="N85" i="1"/>
  <c r="BA84" i="1"/>
  <c r="AL84" i="1"/>
  <c r="AJ84" i="1"/>
  <c r="AI84" i="1"/>
  <c r="AH576" i="1" s="1"/>
  <c r="N84" i="1"/>
  <c r="AL83" i="1"/>
  <c r="AJ83" i="1"/>
  <c r="AI83" i="1"/>
  <c r="N83" i="1"/>
  <c r="BA82" i="1"/>
  <c r="AL82" i="1"/>
  <c r="AJ82" i="1"/>
  <c r="AI82" i="1"/>
  <c r="N82" i="1"/>
  <c r="BA81" i="1"/>
  <c r="AL81" i="1"/>
  <c r="AJ81" i="1"/>
  <c r="AI81" i="1"/>
  <c r="N81" i="1"/>
  <c r="BA80" i="1"/>
  <c r="AL80" i="1"/>
  <c r="AJ80" i="1"/>
  <c r="AI80" i="1"/>
  <c r="N80" i="1"/>
  <c r="AL79" i="1"/>
  <c r="AJ79" i="1"/>
  <c r="AI79" i="1"/>
  <c r="AH79" i="1"/>
  <c r="N79" i="1"/>
  <c r="AX78" i="1"/>
  <c r="AL78" i="1"/>
  <c r="AJ78" i="1"/>
  <c r="AI78" i="1"/>
  <c r="AH78" i="1"/>
  <c r="N78" i="1"/>
  <c r="AL77" i="1"/>
  <c r="AJ77" i="1"/>
  <c r="AI77" i="1"/>
  <c r="N77" i="1"/>
  <c r="AL76" i="1"/>
  <c r="AJ76" i="1"/>
  <c r="AI76" i="1"/>
  <c r="N76" i="1"/>
  <c r="AL75" i="1"/>
  <c r="AJ75" i="1"/>
  <c r="AI75" i="1"/>
  <c r="N75" i="1"/>
  <c r="AZ74" i="1"/>
  <c r="AL74" i="1" s="1"/>
  <c r="AJ74" i="1"/>
  <c r="AI74" i="1"/>
  <c r="AH74" i="1"/>
  <c r="N74" i="1"/>
  <c r="AL73" i="1"/>
  <c r="AJ73" i="1"/>
  <c r="AI73" i="1"/>
  <c r="N73" i="1"/>
  <c r="AL72" i="1"/>
  <c r="AJ72" i="1"/>
  <c r="AI72" i="1"/>
  <c r="N72" i="1"/>
  <c r="AL71" i="1"/>
  <c r="AJ71" i="1"/>
  <c r="AI71" i="1"/>
  <c r="N71" i="1"/>
  <c r="BA70" i="1"/>
  <c r="AL70" i="1"/>
  <c r="AJ70" i="1"/>
  <c r="AI70" i="1"/>
  <c r="N70" i="1"/>
  <c r="AQ69" i="1"/>
  <c r="AL69" i="1"/>
  <c r="AJ69" i="1"/>
  <c r="AI69" i="1"/>
  <c r="N69" i="1"/>
  <c r="AL68" i="1"/>
  <c r="AJ68" i="1"/>
  <c r="AI68" i="1"/>
  <c r="N68" i="1"/>
  <c r="AL67" i="1"/>
  <c r="AJ67" i="1"/>
  <c r="AI67" i="1"/>
  <c r="N67" i="1"/>
  <c r="AL66" i="1"/>
  <c r="AJ66" i="1"/>
  <c r="AI66" i="1"/>
  <c r="N66" i="1"/>
  <c r="BA65" i="1"/>
  <c r="AZ65" i="1"/>
  <c r="AL65" i="1"/>
  <c r="AJ65" i="1"/>
  <c r="AI65" i="1"/>
  <c r="N65" i="1"/>
  <c r="BA64" i="1"/>
  <c r="AL64" i="1" s="1"/>
  <c r="AJ64" i="1"/>
  <c r="AI64" i="1"/>
  <c r="AH64" i="1"/>
  <c r="N64" i="1"/>
  <c r="AL63" i="1"/>
  <c r="AJ63" i="1"/>
  <c r="AI63" i="1"/>
  <c r="N63" i="1"/>
  <c r="AL62" i="1"/>
  <c r="AJ62" i="1"/>
  <c r="AI62" i="1"/>
  <c r="N62" i="1"/>
  <c r="AZ61" i="1"/>
  <c r="AZ17" i="1" s="1"/>
  <c r="AZ14" i="1" s="1"/>
  <c r="AJ61" i="1"/>
  <c r="AI61" i="1"/>
  <c r="N61" i="1"/>
  <c r="BA60" i="1"/>
  <c r="AL60" i="1" s="1"/>
  <c r="AJ60" i="1"/>
  <c r="AI60" i="1"/>
  <c r="AH60" i="1"/>
  <c r="N60" i="1"/>
  <c r="BA59" i="1"/>
  <c r="AL59" i="1" s="1"/>
  <c r="AJ59" i="1"/>
  <c r="AI59" i="1"/>
  <c r="N59" i="1"/>
  <c r="AL58" i="1"/>
  <c r="AJ58" i="1"/>
  <c r="AI58" i="1"/>
  <c r="N58" i="1"/>
  <c r="AL57" i="1"/>
  <c r="AJ57" i="1"/>
  <c r="AI57" i="1"/>
  <c r="N57" i="1"/>
  <c r="AL56" i="1"/>
  <c r="AJ56" i="1"/>
  <c r="AI56" i="1"/>
  <c r="N56" i="1"/>
  <c r="BA55" i="1"/>
  <c r="AL55" i="1" s="1"/>
  <c r="AJ55" i="1"/>
  <c r="AI55" i="1"/>
  <c r="N55" i="1"/>
  <c r="AL54" i="1"/>
  <c r="AI54" i="1"/>
  <c r="N54" i="1"/>
  <c r="BA53" i="1"/>
  <c r="AL53" i="1" s="1"/>
  <c r="AJ53" i="1"/>
  <c r="AI53" i="1"/>
  <c r="N53" i="1"/>
  <c r="AL52" i="1"/>
  <c r="AJ52" i="1"/>
  <c r="AI52" i="1"/>
  <c r="N52" i="1"/>
  <c r="AL51" i="1"/>
  <c r="AJ51" i="1"/>
  <c r="AI51" i="1"/>
  <c r="N51" i="1"/>
  <c r="BA50" i="1"/>
  <c r="AL50" i="1"/>
  <c r="AJ50" i="1"/>
  <c r="AI50" i="1"/>
  <c r="N50" i="1"/>
  <c r="AL49" i="1"/>
  <c r="AJ49" i="1"/>
  <c r="AI49" i="1"/>
  <c r="N49" i="1"/>
  <c r="AL48" i="1"/>
  <c r="AJ48" i="1"/>
  <c r="AI48" i="1"/>
  <c r="N48" i="1"/>
  <c r="AL47" i="1"/>
  <c r="AJ47" i="1"/>
  <c r="AI47" i="1"/>
  <c r="N47" i="1"/>
  <c r="AL46" i="1"/>
  <c r="AJ46" i="1"/>
  <c r="AI46" i="1"/>
  <c r="N46" i="1"/>
  <c r="AL45" i="1"/>
  <c r="AJ45" i="1"/>
  <c r="AI45" i="1"/>
  <c r="N45" i="1"/>
  <c r="AL44" i="1"/>
  <c r="AJ44" i="1"/>
  <c r="AI44" i="1"/>
  <c r="N44" i="1"/>
  <c r="AL43" i="1"/>
  <c r="AI43" i="1"/>
  <c r="N43" i="1"/>
  <c r="BA42" i="1"/>
  <c r="AL42" i="1"/>
  <c r="AJ42" i="1"/>
  <c r="AI42" i="1"/>
  <c r="AH42" i="1"/>
  <c r="N42" i="1"/>
  <c r="AL41" i="1"/>
  <c r="AI41" i="1"/>
  <c r="N41" i="1"/>
  <c r="AL40" i="1"/>
  <c r="AJ40" i="1"/>
  <c r="AI40" i="1"/>
  <c r="N40" i="1"/>
  <c r="AL39" i="1"/>
  <c r="AJ39" i="1"/>
  <c r="AI39" i="1"/>
  <c r="N39" i="1"/>
  <c r="BA38" i="1"/>
  <c r="AL38" i="1"/>
  <c r="AJ38" i="1"/>
  <c r="AI38" i="1"/>
  <c r="N38" i="1"/>
  <c r="AL37" i="1"/>
  <c r="AJ37" i="1"/>
  <c r="AI37" i="1"/>
  <c r="N37" i="1"/>
  <c r="BA36" i="1"/>
  <c r="AL36" i="1" s="1"/>
  <c r="AJ36" i="1"/>
  <c r="AI36" i="1"/>
  <c r="N36" i="1"/>
  <c r="AL35" i="1"/>
  <c r="AJ35" i="1"/>
  <c r="AI35" i="1"/>
  <c r="N35" i="1"/>
  <c r="BA34" i="1"/>
  <c r="AL34" i="1"/>
  <c r="AJ34" i="1"/>
  <c r="AI34" i="1"/>
  <c r="N34" i="1"/>
  <c r="AL33" i="1"/>
  <c r="AI33" i="1"/>
  <c r="N33" i="1"/>
  <c r="BA32" i="1"/>
  <c r="AL32" i="1"/>
  <c r="AJ32" i="1"/>
  <c r="AI32" i="1"/>
  <c r="N32" i="1"/>
  <c r="AL31" i="1"/>
  <c r="AJ31" i="1"/>
  <c r="AI31" i="1"/>
  <c r="AH31" i="1"/>
  <c r="N31" i="1"/>
  <c r="AL30" i="1"/>
  <c r="AJ30" i="1"/>
  <c r="AI30" i="1"/>
  <c r="N30" i="1"/>
  <c r="AL29" i="1"/>
  <c r="AI29" i="1"/>
  <c r="N29" i="1"/>
  <c r="BA28" i="1"/>
  <c r="BA17" i="1" s="1"/>
  <c r="BA14" i="1" s="1"/>
  <c r="AJ28" i="1"/>
  <c r="AI28" i="1"/>
  <c r="AH28" i="1"/>
  <c r="N28" i="1"/>
  <c r="AY27" i="1"/>
  <c r="AL27" i="1" s="1"/>
  <c r="AJ27" i="1"/>
  <c r="AI27" i="1"/>
  <c r="AH27" i="1"/>
  <c r="N27" i="1"/>
  <c r="BA26" i="1"/>
  <c r="AL26" i="1"/>
  <c r="AJ26" i="1"/>
  <c r="AI26" i="1"/>
  <c r="N26" i="1"/>
  <c r="AL25" i="1"/>
  <c r="AJ25" i="1"/>
  <c r="AI25" i="1"/>
  <c r="N25" i="1"/>
  <c r="AL24" i="1"/>
  <c r="AJ24" i="1"/>
  <c r="AI24" i="1"/>
  <c r="N24" i="1"/>
  <c r="BA23" i="1"/>
  <c r="AL23" i="1"/>
  <c r="AJ23" i="1"/>
  <c r="AI23" i="1"/>
  <c r="N23" i="1"/>
  <c r="AL22" i="1"/>
  <c r="AJ22" i="1"/>
  <c r="AI22" i="1"/>
  <c r="N22" i="1"/>
  <c r="BA21" i="1"/>
  <c r="AL21" i="1"/>
  <c r="AJ21" i="1"/>
  <c r="AI21" i="1"/>
  <c r="N21" i="1"/>
  <c r="AL20" i="1"/>
  <c r="AJ20" i="1"/>
  <c r="AI20" i="1"/>
  <c r="N20" i="1"/>
  <c r="AL19" i="1"/>
  <c r="AJ19" i="1"/>
  <c r="AI19" i="1"/>
  <c r="N19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7" i="1" s="1"/>
  <c r="AL18" i="1"/>
  <c r="AJ18" i="1"/>
  <c r="AI18" i="1"/>
  <c r="N18" i="1"/>
  <c r="AY17" i="1"/>
  <c r="AY14" i="1" s="1"/>
  <c r="AX17" i="1"/>
  <c r="AX14" i="1" s="1"/>
  <c r="AW17" i="1"/>
  <c r="AW14" i="1" s="1"/>
  <c r="AV17" i="1"/>
  <c r="AV14" i="1" s="1"/>
  <c r="AU17" i="1"/>
  <c r="AU14" i="1" s="1"/>
  <c r="AT17" i="1"/>
  <c r="AT14" i="1" s="1"/>
  <c r="AS17" i="1"/>
  <c r="AS14" i="1" s="1"/>
  <c r="AR17" i="1"/>
  <c r="AR14" i="1" s="1"/>
  <c r="AQ17" i="1"/>
  <c r="AQ14" i="1" s="1"/>
  <c r="AP17" i="1"/>
  <c r="AP14" i="1" s="1"/>
  <c r="AO17" i="1"/>
  <c r="AO14" i="1" s="1"/>
  <c r="AN17" i="1"/>
  <c r="AN14" i="1" s="1"/>
  <c r="AM17" i="1"/>
  <c r="AM14" i="1" s="1"/>
  <c r="AB17" i="1"/>
  <c r="AB14" i="1" s="1"/>
  <c r="Y17" i="1"/>
  <c r="V17" i="1"/>
  <c r="V14" i="1" s="1"/>
  <c r="S17" i="1"/>
  <c r="R17" i="1"/>
  <c r="R14" i="1" s="1"/>
  <c r="Q17" i="1"/>
  <c r="P17" i="1"/>
  <c r="P14" i="1" s="1"/>
  <c r="O17" i="1"/>
  <c r="AL16" i="1"/>
  <c r="Y16" i="1"/>
  <c r="V16" i="1"/>
  <c r="S16" i="1"/>
  <c r="R16" i="1"/>
  <c r="Q16" i="1"/>
  <c r="P16" i="1"/>
  <c r="O16" i="1"/>
  <c r="N16" i="1"/>
  <c r="M14" i="1"/>
  <c r="L14" i="1"/>
  <c r="K14" i="1"/>
  <c r="J14" i="1"/>
  <c r="P3" i="1"/>
  <c r="AP13" i="1" l="1"/>
  <c r="AX13" i="1"/>
  <c r="BB187" i="1"/>
  <c r="R479" i="1"/>
  <c r="N631" i="1"/>
  <c r="N632" i="1"/>
  <c r="AK632" i="1" s="1"/>
  <c r="AA479" i="1"/>
  <c r="BB146" i="1"/>
  <c r="BB164" i="1"/>
  <c r="BB215" i="1"/>
  <c r="BB243" i="1"/>
  <c r="BB265" i="1"/>
  <c r="BB280" i="1"/>
  <c r="BB283" i="1"/>
  <c r="BB287" i="1"/>
  <c r="BB297" i="1"/>
  <c r="BB299" i="1"/>
  <c r="BB366" i="1"/>
  <c r="BB368" i="1"/>
  <c r="BB210" i="1"/>
  <c r="BB259" i="1"/>
  <c r="BB435" i="1"/>
  <c r="BB128" i="1"/>
  <c r="BB133" i="1"/>
  <c r="BB141" i="1"/>
  <c r="BB149" i="1"/>
  <c r="BB207" i="1"/>
  <c r="BB424" i="1"/>
  <c r="BB151" i="1"/>
  <c r="BB247" i="1"/>
  <c r="BB415" i="1"/>
  <c r="BB113" i="1"/>
  <c r="BB115" i="1"/>
  <c r="BB117" i="1"/>
  <c r="BB119" i="1"/>
  <c r="BB121" i="1"/>
  <c r="BB123" i="1"/>
  <c r="BB184" i="1"/>
  <c r="AU13" i="1"/>
  <c r="BB143" i="1"/>
  <c r="AI9" i="1"/>
  <c r="BB132" i="1"/>
  <c r="BB140" i="1"/>
  <c r="BB264" i="1"/>
  <c r="BB319" i="1"/>
  <c r="AO13" i="1"/>
  <c r="AW13" i="1"/>
  <c r="BB84" i="1"/>
  <c r="BB96" i="1"/>
  <c r="BB214" i="1"/>
  <c r="BB256" i="1"/>
  <c r="BB300" i="1"/>
  <c r="BB314" i="1"/>
  <c r="AK737" i="1"/>
  <c r="AK706" i="1"/>
  <c r="BB445" i="1"/>
  <c r="O14" i="1"/>
  <c r="BB392" i="1"/>
  <c r="BB408" i="1"/>
  <c r="BB237" i="1"/>
  <c r="BB251" i="1"/>
  <c r="BB318" i="1"/>
  <c r="BB40" i="1"/>
  <c r="BB48" i="1"/>
  <c r="BB56" i="1"/>
  <c r="BB292" i="1"/>
  <c r="BB305" i="1"/>
  <c r="BB307" i="1"/>
  <c r="BB454" i="1"/>
  <c r="Z479" i="1"/>
  <c r="N528" i="1"/>
  <c r="AK528" i="1" s="1"/>
  <c r="AK724" i="1"/>
  <c r="AK736" i="1"/>
  <c r="AK823" i="1"/>
  <c r="AK760" i="1"/>
  <c r="I477" i="2"/>
  <c r="I11" i="2" s="1"/>
  <c r="Q477" i="2"/>
  <c r="Q11" i="2" s="1"/>
  <c r="J477" i="2"/>
  <c r="J11" i="2" s="1"/>
  <c r="R477" i="2"/>
  <c r="R11" i="2" s="1"/>
  <c r="N518" i="1"/>
  <c r="AK518" i="1" s="1"/>
  <c r="BB37" i="1"/>
  <c r="BB116" i="1"/>
  <c r="BB137" i="1"/>
  <c r="BB261" i="1"/>
  <c r="BB268" i="1"/>
  <c r="BB124" i="1"/>
  <c r="AK631" i="1"/>
  <c r="BB421" i="1"/>
  <c r="BB448" i="1"/>
  <c r="S479" i="1"/>
  <c r="BB105" i="1"/>
  <c r="BB126" i="1"/>
  <c r="BB79" i="1"/>
  <c r="S14" i="1"/>
  <c r="BB101" i="1"/>
  <c r="BB390" i="1"/>
  <c r="BB401" i="1"/>
  <c r="BB412" i="1"/>
  <c r="BB417" i="1"/>
  <c r="BB422" i="1"/>
  <c r="BB430" i="1"/>
  <c r="BB437" i="1"/>
  <c r="BB449" i="1"/>
  <c r="N697" i="1"/>
  <c r="AK697" i="1" s="1"/>
  <c r="R13" i="1"/>
  <c r="BB65" i="1"/>
  <c r="BB89" i="1"/>
  <c r="AR13" i="1"/>
  <c r="BB301" i="1"/>
  <c r="BB304" i="1"/>
  <c r="BB308" i="1"/>
  <c r="BB310" i="1"/>
  <c r="BB324" i="1"/>
  <c r="BB383" i="1"/>
  <c r="AZ13" i="1"/>
  <c r="BB286" i="1"/>
  <c r="BB420" i="1"/>
  <c r="N537" i="1"/>
  <c r="AK537" i="1" s="1"/>
  <c r="N546" i="1"/>
  <c r="AK546" i="1" s="1"/>
  <c r="N593" i="1"/>
  <c r="AK593" i="1" s="1"/>
  <c r="N530" i="1"/>
  <c r="AK530" i="1" s="1"/>
  <c r="BB75" i="1"/>
  <c r="BB106" i="1"/>
  <c r="BB156" i="1"/>
  <c r="BB189" i="1"/>
  <c r="BB204" i="1"/>
  <c r="BB212" i="1"/>
  <c r="BB245" i="1"/>
  <c r="BB284" i="1"/>
  <c r="BB294" i="1"/>
  <c r="BB349" i="1"/>
  <c r="BB356" i="1"/>
  <c r="BB362" i="1"/>
  <c r="BB373" i="1"/>
  <c r="BB413" i="1"/>
  <c r="BB440" i="1"/>
  <c r="N497" i="1"/>
  <c r="AK497" i="1" s="1"/>
  <c r="N618" i="1"/>
  <c r="AK618" i="1" s="1"/>
  <c r="P702" i="1"/>
  <c r="AK822" i="1"/>
  <c r="BB222" i="1"/>
  <c r="BB224" i="1"/>
  <c r="BB249" i="1"/>
  <c r="BB276" i="1"/>
  <c r="BB330" i="1"/>
  <c r="BB343" i="1"/>
  <c r="N598" i="1"/>
  <c r="AK598" i="1" s="1"/>
  <c r="N636" i="1"/>
  <c r="N695" i="1"/>
  <c r="AK695" i="1" s="1"/>
  <c r="AS13" i="1"/>
  <c r="AT13" i="1"/>
  <c r="BA13" i="1"/>
  <c r="BB31" i="1"/>
  <c r="BB34" i="1"/>
  <c r="BB54" i="1"/>
  <c r="BB163" i="1"/>
  <c r="BB166" i="1"/>
  <c r="BB179" i="1"/>
  <c r="BB223" i="1"/>
  <c r="BB225" i="1"/>
  <c r="BB227" i="1"/>
  <c r="BB229" i="1"/>
  <c r="BB244" i="1"/>
  <c r="BB281" i="1"/>
  <c r="BB311" i="1"/>
  <c r="BB322" i="1"/>
  <c r="BB344" i="1"/>
  <c r="BB353" i="1"/>
  <c r="BB384" i="1"/>
  <c r="BB400" i="1"/>
  <c r="U479" i="1"/>
  <c r="N535" i="1"/>
  <c r="N574" i="1"/>
  <c r="AK574" i="1" s="1"/>
  <c r="N584" i="1"/>
  <c r="AK584" i="1" s="1"/>
  <c r="N624" i="1"/>
  <c r="AK624" i="1" s="1"/>
  <c r="N626" i="1"/>
  <c r="AK626" i="1" s="1"/>
  <c r="N638" i="1"/>
  <c r="AK638" i="1" s="1"/>
  <c r="N668" i="1"/>
  <c r="AK668" i="1" s="1"/>
  <c r="N672" i="1"/>
  <c r="AK672" i="1" s="1"/>
  <c r="N677" i="1"/>
  <c r="BB59" i="1"/>
  <c r="BB337" i="1"/>
  <c r="BB22" i="1"/>
  <c r="BB157" i="1"/>
  <c r="BB168" i="1"/>
  <c r="BB170" i="1"/>
  <c r="BB218" i="1"/>
  <c r="BB325" i="1"/>
  <c r="BB327" i="1"/>
  <c r="BB333" i="1"/>
  <c r="BB387" i="1"/>
  <c r="BB438" i="1"/>
  <c r="BB442" i="1"/>
  <c r="W479" i="1"/>
  <c r="N487" i="1"/>
  <c r="AK487" i="1" s="1"/>
  <c r="N488" i="1"/>
  <c r="AK488" i="1" s="1"/>
  <c r="N493" i="1"/>
  <c r="AK493" i="1" s="1"/>
  <c r="N649" i="1"/>
  <c r="AK649" i="1" s="1"/>
  <c r="N650" i="1"/>
  <c r="AK650" i="1" s="1"/>
  <c r="N681" i="1"/>
  <c r="AK681" i="1" s="1"/>
  <c r="AN13" i="1"/>
  <c r="AV13" i="1"/>
  <c r="BB33" i="1"/>
  <c r="BB130" i="1"/>
  <c r="BB138" i="1"/>
  <c r="BB173" i="1"/>
  <c r="BB220" i="1"/>
  <c r="BB290" i="1"/>
  <c r="BB295" i="1"/>
  <c r="BB321" i="1"/>
  <c r="BB403" i="1"/>
  <c r="N533" i="1"/>
  <c r="AK533" i="1" s="1"/>
  <c r="N560" i="1"/>
  <c r="AK560" i="1" s="1"/>
  <c r="K477" i="2"/>
  <c r="K11" i="2" s="1"/>
  <c r="S477" i="2"/>
  <c r="S11" i="2" s="1"/>
  <c r="AK784" i="1"/>
  <c r="AK789" i="1"/>
  <c r="AK757" i="1"/>
  <c r="AK808" i="1"/>
  <c r="AK746" i="1"/>
  <c r="AK828" i="1"/>
  <c r="AK735" i="1"/>
  <c r="AK779" i="1"/>
  <c r="AK782" i="1"/>
  <c r="AK830" i="1"/>
  <c r="AK715" i="1"/>
  <c r="AK734" i="1"/>
  <c r="AK740" i="1"/>
  <c r="AK748" i="1"/>
  <c r="AK759" i="1"/>
  <c r="AK770" i="1"/>
  <c r="AK791" i="1"/>
  <c r="AK800" i="1"/>
  <c r="AK814" i="1"/>
  <c r="AK796" i="1"/>
  <c r="AK811" i="1"/>
  <c r="AK775" i="1"/>
  <c r="AK799" i="1"/>
  <c r="H477" i="2"/>
  <c r="H11" i="2" s="1"/>
  <c r="P477" i="2"/>
  <c r="P11" i="2" s="1"/>
  <c r="M477" i="2"/>
  <c r="M11" i="2" s="1"/>
  <c r="T477" i="2"/>
  <c r="AK714" i="1"/>
  <c r="AK733" i="1"/>
  <c r="AK769" i="1"/>
  <c r="AK805" i="1"/>
  <c r="AK813" i="1"/>
  <c r="AK708" i="1"/>
  <c r="AK752" i="1"/>
  <c r="AK755" i="1"/>
  <c r="AK786" i="1"/>
  <c r="AK795" i="1"/>
  <c r="AK802" i="1"/>
  <c r="AK758" i="1"/>
  <c r="AK790" i="1"/>
  <c r="AK821" i="1"/>
  <c r="AK777" i="1"/>
  <c r="AK798" i="1"/>
  <c r="E813" i="2"/>
  <c r="AL815" i="1" s="1"/>
  <c r="AK727" i="1"/>
  <c r="AK741" i="1"/>
  <c r="AK774" i="1"/>
  <c r="AK780" i="1"/>
  <c r="AK783" i="1"/>
  <c r="AK707" i="1"/>
  <c r="AK732" i="1"/>
  <c r="AK754" i="1"/>
  <c r="AK797" i="1"/>
  <c r="AK801" i="1"/>
  <c r="AK804" i="1"/>
  <c r="AK812" i="1"/>
  <c r="L477" i="2"/>
  <c r="L11" i="2" s="1"/>
  <c r="AK743" i="1"/>
  <c r="AK751" i="1"/>
  <c r="AK776" i="1"/>
  <c r="AK785" i="1"/>
  <c r="AK788" i="1"/>
  <c r="AK794" i="1"/>
  <c r="AK809" i="1"/>
  <c r="AK827" i="1"/>
  <c r="AK829" i="1"/>
  <c r="F477" i="2"/>
  <c r="F11" i="2" s="1"/>
  <c r="N477" i="2"/>
  <c r="N11" i="2" s="1"/>
  <c r="AK709" i="1"/>
  <c r="AK745" i="1"/>
  <c r="AK753" i="1"/>
  <c r="AK778" i="1"/>
  <c r="AK787" i="1"/>
  <c r="G477" i="2"/>
  <c r="G11" i="2" s="1"/>
  <c r="O477" i="2"/>
  <c r="O11" i="2" s="1"/>
  <c r="N515" i="1"/>
  <c r="AK515" i="1" s="1"/>
  <c r="N534" i="1"/>
  <c r="AK534" i="1" s="1"/>
  <c r="N602" i="1"/>
  <c r="AK602" i="1" s="1"/>
  <c r="N603" i="1"/>
  <c r="AK603" i="1" s="1"/>
  <c r="AK636" i="1"/>
  <c r="N666" i="1"/>
  <c r="AK666" i="1" s="1"/>
  <c r="N670" i="1"/>
  <c r="AK670" i="1" s="1"/>
  <c r="N673" i="1"/>
  <c r="AK673" i="1" s="1"/>
  <c r="O479" i="1"/>
  <c r="X479" i="1"/>
  <c r="T479" i="1"/>
  <c r="Q14" i="1"/>
  <c r="BB439" i="1"/>
  <c r="BB58" i="1"/>
  <c r="BB67" i="1"/>
  <c r="BB76" i="1"/>
  <c r="BB81" i="1"/>
  <c r="BB86" i="1"/>
  <c r="BB91" i="1"/>
  <c r="BB93" i="1"/>
  <c r="BB108" i="1"/>
  <c r="BB127" i="1"/>
  <c r="BB194" i="1"/>
  <c r="BB202" i="1"/>
  <c r="N206" i="1"/>
  <c r="BB258" i="1"/>
  <c r="BB272" i="1"/>
  <c r="BB274" i="1"/>
  <c r="BB279" i="1"/>
  <c r="BB335" i="1"/>
  <c r="BB379" i="1"/>
  <c r="BB388" i="1"/>
  <c r="BB394" i="1"/>
  <c r="BB426" i="1"/>
  <c r="BB434" i="1"/>
  <c r="AK677" i="1"/>
  <c r="BB52" i="1"/>
  <c r="BB32" i="1"/>
  <c r="BB39" i="1"/>
  <c r="BB46" i="1"/>
  <c r="BB62" i="1"/>
  <c r="BB72" i="1"/>
  <c r="BB88" i="1"/>
  <c r="BB95" i="1"/>
  <c r="BB98" i="1"/>
  <c r="BB103" i="1"/>
  <c r="BB110" i="1"/>
  <c r="BB196" i="1"/>
  <c r="BB209" i="1"/>
  <c r="BB226" i="1"/>
  <c r="BB228" i="1"/>
  <c r="BB241" i="1"/>
  <c r="BB285" i="1"/>
  <c r="BB315" i="1"/>
  <c r="BB320" i="1"/>
  <c r="BB332" i="1"/>
  <c r="BB340" i="1"/>
  <c r="BB350" i="1"/>
  <c r="BB351" i="1"/>
  <c r="BB357" i="1"/>
  <c r="BB361" i="1"/>
  <c r="BB389" i="1"/>
  <c r="BB398" i="1"/>
  <c r="BB411" i="1"/>
  <c r="BB436" i="1"/>
  <c r="BB447" i="1"/>
  <c r="BB451" i="1"/>
  <c r="N532" i="1"/>
  <c r="AK532" i="1" s="1"/>
  <c r="N540" i="1"/>
  <c r="AK540" i="1" s="1"/>
  <c r="N554" i="1"/>
  <c r="AK554" i="1" s="1"/>
  <c r="N555" i="1"/>
  <c r="AK555" i="1" s="1"/>
  <c r="N565" i="1"/>
  <c r="AK565" i="1" s="1"/>
  <c r="N566" i="1"/>
  <c r="AK566" i="1" s="1"/>
  <c r="N591" i="1"/>
  <c r="AK591" i="1" s="1"/>
  <c r="N634" i="1"/>
  <c r="AK634" i="1" s="1"/>
  <c r="N675" i="1"/>
  <c r="AK675" i="1" s="1"/>
  <c r="N685" i="1"/>
  <c r="AK685" i="1" s="1"/>
  <c r="N700" i="1"/>
  <c r="N815" i="1"/>
  <c r="AQ13" i="1"/>
  <c r="BB47" i="1"/>
  <c r="BB73" i="1"/>
  <c r="BB83" i="1"/>
  <c r="BB174" i="1"/>
  <c r="BB198" i="1"/>
  <c r="BB205" i="1"/>
  <c r="BB233" i="1"/>
  <c r="BB263" i="1"/>
  <c r="BB293" i="1"/>
  <c r="BB328" i="1"/>
  <c r="BB341" i="1"/>
  <c r="BB369" i="1"/>
  <c r="BB374" i="1"/>
  <c r="BB406" i="1"/>
  <c r="BB416" i="1"/>
  <c r="BB455" i="1"/>
  <c r="N499" i="1"/>
  <c r="AK499" i="1" s="1"/>
  <c r="N501" i="1"/>
  <c r="AK501" i="1" s="1"/>
  <c r="N513" i="1"/>
  <c r="AK513" i="1" s="1"/>
  <c r="N517" i="1"/>
  <c r="AK517" i="1" s="1"/>
  <c r="N529" i="1"/>
  <c r="AK529" i="1" s="1"/>
  <c r="N544" i="1"/>
  <c r="AK544" i="1" s="1"/>
  <c r="N640" i="1"/>
  <c r="AK640" i="1" s="1"/>
  <c r="N642" i="1"/>
  <c r="AK642" i="1" s="1"/>
  <c r="N644" i="1"/>
  <c r="AK644" i="1" s="1"/>
  <c r="N646" i="1"/>
  <c r="AK646" i="1" s="1"/>
  <c r="N683" i="1"/>
  <c r="AK683" i="1" s="1"/>
  <c r="N684" i="1"/>
  <c r="AK684" i="1" s="1"/>
  <c r="AY13" i="1"/>
  <c r="BB49" i="1"/>
  <c r="BB55" i="1"/>
  <c r="BB176" i="1"/>
  <c r="BB190" i="1"/>
  <c r="BB193" i="1"/>
  <c r="BB211" i="1"/>
  <c r="BB221" i="1"/>
  <c r="BB234" i="1"/>
  <c r="BB236" i="1"/>
  <c r="BB269" i="1"/>
  <c r="BB298" i="1"/>
  <c r="BB306" i="1"/>
  <c r="BB317" i="1"/>
  <c r="BB329" i="1"/>
  <c r="BB354" i="1"/>
  <c r="BB371" i="1"/>
  <c r="BB376" i="1"/>
  <c r="BB402" i="1"/>
  <c r="BB407" i="1"/>
  <c r="BB429" i="1"/>
  <c r="N596" i="1"/>
  <c r="AK596" i="1" s="1"/>
  <c r="N609" i="1"/>
  <c r="AK609" i="1" s="1"/>
  <c r="BB51" i="1"/>
  <c r="BB57" i="1"/>
  <c r="BB77" i="1"/>
  <c r="BB180" i="1"/>
  <c r="BB185" i="1"/>
  <c r="BB216" i="1"/>
  <c r="BB238" i="1"/>
  <c r="BB257" i="1"/>
  <c r="BB312" i="1"/>
  <c r="BB334" i="1"/>
  <c r="AE376" i="1"/>
  <c r="BB378" i="1"/>
  <c r="BB395" i="1"/>
  <c r="BB409" i="1"/>
  <c r="N481" i="1"/>
  <c r="AK481" i="1" s="1"/>
  <c r="N571" i="1"/>
  <c r="AK571" i="1" s="1"/>
  <c r="N589" i="1"/>
  <c r="AK589" i="1" s="1"/>
  <c r="N600" i="1"/>
  <c r="AK600" i="1" s="1"/>
  <c r="N604" i="1"/>
  <c r="AK604" i="1" s="1"/>
  <c r="N616" i="1"/>
  <c r="AK616" i="1" s="1"/>
  <c r="BB29" i="1"/>
  <c r="BB70" i="1"/>
  <c r="BB160" i="1"/>
  <c r="BB162" i="1"/>
  <c r="BB171" i="1"/>
  <c r="BB188" i="1"/>
  <c r="BB248" i="1"/>
  <c r="BB271" i="1"/>
  <c r="BB316" i="1"/>
  <c r="BB399" i="1"/>
  <c r="N483" i="1"/>
  <c r="AK483" i="1" s="1"/>
  <c r="N485" i="1"/>
  <c r="AK485" i="1" s="1"/>
  <c r="N542" i="1"/>
  <c r="AK542" i="1" s="1"/>
  <c r="N576" i="1"/>
  <c r="AK576" i="1" s="1"/>
  <c r="N580" i="1"/>
  <c r="AK580" i="1" s="1"/>
  <c r="N582" i="1"/>
  <c r="AK582" i="1" s="1"/>
  <c r="N614" i="1"/>
  <c r="N660" i="1"/>
  <c r="AK660" i="1" s="1"/>
  <c r="N835" i="1"/>
  <c r="BB23" i="1"/>
  <c r="AM6" i="1"/>
  <c r="BB30" i="1"/>
  <c r="BB50" i="1"/>
  <c r="BB63" i="1"/>
  <c r="BB64" i="1"/>
  <c r="BB66" i="1"/>
  <c r="BB68" i="1"/>
  <c r="BB80" i="1"/>
  <c r="BB85" i="1"/>
  <c r="BB97" i="1"/>
  <c r="BB100" i="1"/>
  <c r="BB182" i="1"/>
  <c r="N519" i="1"/>
  <c r="AK519" i="1" s="1"/>
  <c r="N586" i="1"/>
  <c r="AK586" i="1" s="1"/>
  <c r="N622" i="1"/>
  <c r="AK622" i="1" s="1"/>
  <c r="N692" i="1"/>
  <c r="AK692" i="1" s="1"/>
  <c r="BB41" i="1"/>
  <c r="BB45" i="1"/>
  <c r="BB82" i="1"/>
  <c r="BB135" i="1"/>
  <c r="BB147" i="1"/>
  <c r="BB154" i="1"/>
  <c r="BB158" i="1"/>
  <c r="BB208" i="1"/>
  <c r="Q479" i="1"/>
  <c r="Y14" i="1"/>
  <c r="BB43" i="1"/>
  <c r="BB253" i="1"/>
  <c r="BB288" i="1"/>
  <c r="BB145" i="1"/>
  <c r="BB42" i="1"/>
  <c r="BB153" i="1"/>
  <c r="BB24" i="1"/>
  <c r="N17" i="1"/>
  <c r="N14" i="1" s="1"/>
  <c r="BB44" i="1"/>
  <c r="BB71" i="1"/>
  <c r="BB104" i="1"/>
  <c r="BB200" i="1"/>
  <c r="N491" i="1"/>
  <c r="N657" i="1"/>
  <c r="AK657" i="1" s="1"/>
  <c r="BB78" i="1"/>
  <c r="BB27" i="1"/>
  <c r="BB35" i="1"/>
  <c r="BB38" i="1"/>
  <c r="BB74" i="1"/>
  <c r="BB112" i="1"/>
  <c r="BB114" i="1"/>
  <c r="BB346" i="1"/>
  <c r="BB323" i="1"/>
  <c r="BB348" i="1"/>
  <c r="BB365" i="1"/>
  <c r="BB380" i="1"/>
  <c r="BB385" i="1"/>
  <c r="BB404" i="1"/>
  <c r="BB405" i="1"/>
  <c r="BB419" i="1"/>
  <c r="BB425" i="1"/>
  <c r="BB441" i="1"/>
  <c r="N492" i="1"/>
  <c r="AK492" i="1" s="1"/>
  <c r="N520" i="1"/>
  <c r="AK520" i="1" s="1"/>
  <c r="N522" i="1"/>
  <c r="AK522" i="1" s="1"/>
  <c r="N524" i="1"/>
  <c r="AK524" i="1" s="1"/>
  <c r="N526" i="1"/>
  <c r="AK526" i="1" s="1"/>
  <c r="N547" i="1"/>
  <c r="AK547" i="1" s="1"/>
  <c r="N549" i="1"/>
  <c r="AK549" i="1" s="1"/>
  <c r="N551" i="1"/>
  <c r="AK551" i="1" s="1"/>
  <c r="N553" i="1"/>
  <c r="AK553" i="1" s="1"/>
  <c r="N559" i="1"/>
  <c r="AK559" i="1" s="1"/>
  <c r="N573" i="1"/>
  <c r="AK573" i="1" s="1"/>
  <c r="N575" i="1"/>
  <c r="AK575" i="1" s="1"/>
  <c r="N587" i="1"/>
  <c r="AK587" i="1" s="1"/>
  <c r="N611" i="1"/>
  <c r="AK611" i="1" s="1"/>
  <c r="N615" i="1"/>
  <c r="AK615" i="1" s="1"/>
  <c r="N625" i="1"/>
  <c r="AK625" i="1" s="1"/>
  <c r="N628" i="1"/>
  <c r="AK628" i="1" s="1"/>
  <c r="N629" i="1"/>
  <c r="AK629" i="1" s="1"/>
  <c r="N630" i="1"/>
  <c r="AK630" i="1" s="1"/>
  <c r="N659" i="1"/>
  <c r="AK659" i="1" s="1"/>
  <c r="N682" i="1"/>
  <c r="AK682" i="1" s="1"/>
  <c r="N701" i="1"/>
  <c r="AK701" i="1" s="1"/>
  <c r="AK731" i="1"/>
  <c r="AK793" i="1"/>
  <c r="BB250" i="1"/>
  <c r="BB267" i="1"/>
  <c r="BB282" i="1"/>
  <c r="BB338" i="1"/>
  <c r="AF376" i="1"/>
  <c r="BB382" i="1"/>
  <c r="BB391" i="1"/>
  <c r="BB410" i="1"/>
  <c r="BB427" i="1"/>
  <c r="BB432" i="1"/>
  <c r="BB433" i="1"/>
  <c r="BB446" i="1"/>
  <c r="BB450" i="1"/>
  <c r="Y480" i="1"/>
  <c r="Y479" i="1" s="1"/>
  <c r="N494" i="1"/>
  <c r="AK494" i="1" s="1"/>
  <c r="N521" i="1"/>
  <c r="AK521" i="1" s="1"/>
  <c r="N523" i="1"/>
  <c r="AK523" i="1" s="1"/>
  <c r="N525" i="1"/>
  <c r="AK525" i="1" s="1"/>
  <c r="N527" i="1"/>
  <c r="AK527" i="1" s="1"/>
  <c r="N557" i="1"/>
  <c r="AK557" i="1" s="1"/>
  <c r="N563" i="1"/>
  <c r="AK563" i="1" s="1"/>
  <c r="N578" i="1"/>
  <c r="AK578" i="1" s="1"/>
  <c r="N599" i="1"/>
  <c r="AK599" i="1" s="1"/>
  <c r="N627" i="1"/>
  <c r="AK627" i="1" s="1"/>
  <c r="N651" i="1"/>
  <c r="AK651" i="1" s="1"/>
  <c r="N652" i="1"/>
  <c r="AK652" i="1" s="1"/>
  <c r="N653" i="1"/>
  <c r="AK653" i="1" s="1"/>
  <c r="N662" i="1"/>
  <c r="AK662" i="1" s="1"/>
  <c r="N674" i="1"/>
  <c r="AK674" i="1" s="1"/>
  <c r="N686" i="1"/>
  <c r="AK686" i="1" s="1"/>
  <c r="N696" i="1"/>
  <c r="AK696" i="1" s="1"/>
  <c r="N699" i="1"/>
  <c r="AK699" i="1" s="1"/>
  <c r="BB195" i="1"/>
  <c r="BB230" i="1"/>
  <c r="BB289" i="1"/>
  <c r="BB347" i="1"/>
  <c r="BB370" i="1"/>
  <c r="BB414" i="1"/>
  <c r="BB428" i="1"/>
  <c r="BB453" i="1"/>
  <c r="N531" i="1"/>
  <c r="AK531" i="1" s="1"/>
  <c r="N619" i="1"/>
  <c r="AK619" i="1" s="1"/>
  <c r="N620" i="1"/>
  <c r="AK620" i="1" s="1"/>
  <c r="N633" i="1"/>
  <c r="AK633" i="1" s="1"/>
  <c r="N654" i="1"/>
  <c r="AK654" i="1" s="1"/>
  <c r="N655" i="1"/>
  <c r="N664" i="1"/>
  <c r="AK664" i="1" s="1"/>
  <c r="N676" i="1"/>
  <c r="AK676" i="1" s="1"/>
  <c r="N687" i="1"/>
  <c r="AK687" i="1" s="1"/>
  <c r="BB129" i="1"/>
  <c r="BB134" i="1"/>
  <c r="BB136" i="1"/>
  <c r="BB142" i="1"/>
  <c r="BB148" i="1"/>
  <c r="BB155" i="1"/>
  <c r="BB167" i="1"/>
  <c r="BB169" i="1"/>
  <c r="BB175" i="1"/>
  <c r="BB177" i="1"/>
  <c r="BB178" i="1"/>
  <c r="BB201" i="1"/>
  <c r="BB203" i="1"/>
  <c r="BB213" i="1"/>
  <c r="BB217" i="1"/>
  <c r="BB231" i="1"/>
  <c r="BB232" i="1"/>
  <c r="BB275" i="1"/>
  <c r="BB278" i="1"/>
  <c r="BB363" i="1"/>
  <c r="BB375" i="1"/>
  <c r="BB418" i="1"/>
  <c r="BB443" i="1"/>
  <c r="BB479" i="1"/>
  <c r="N495" i="1"/>
  <c r="AK495" i="1" s="1"/>
  <c r="N503" i="1"/>
  <c r="AK503" i="1" s="1"/>
  <c r="N505" i="1"/>
  <c r="AK505" i="1" s="1"/>
  <c r="N507" i="1"/>
  <c r="AK507" i="1" s="1"/>
  <c r="N509" i="1"/>
  <c r="AK509" i="1" s="1"/>
  <c r="N511" i="1"/>
  <c r="AK511" i="1" s="1"/>
  <c r="N562" i="1"/>
  <c r="AK562" i="1" s="1"/>
  <c r="N564" i="1"/>
  <c r="AK564" i="1" s="1"/>
  <c r="N567" i="1"/>
  <c r="AK567" i="1" s="1"/>
  <c r="N569" i="1"/>
  <c r="AK569" i="1" s="1"/>
  <c r="N577" i="1"/>
  <c r="AK577" i="1" s="1"/>
  <c r="N588" i="1"/>
  <c r="AK588" i="1" s="1"/>
  <c r="N605" i="1"/>
  <c r="AK605" i="1" s="1"/>
  <c r="N606" i="1"/>
  <c r="AK606" i="1" s="1"/>
  <c r="N607" i="1"/>
  <c r="AK607" i="1" s="1"/>
  <c r="N608" i="1"/>
  <c r="AK608" i="1" s="1"/>
  <c r="N635" i="1"/>
  <c r="AK635" i="1" s="1"/>
  <c r="N656" i="1"/>
  <c r="AK656" i="1" s="1"/>
  <c r="N688" i="1"/>
  <c r="AK688" i="1" s="1"/>
  <c r="N690" i="1"/>
  <c r="AK690" i="1" s="1"/>
  <c r="N698" i="1"/>
  <c r="AK729" i="1"/>
  <c r="BB90" i="1"/>
  <c r="BB92" i="1"/>
  <c r="BB102" i="1"/>
  <c r="BB118" i="1"/>
  <c r="BB120" i="1"/>
  <c r="BB122" i="1"/>
  <c r="BB125" i="1"/>
  <c r="BB131" i="1"/>
  <c r="BB139" i="1"/>
  <c r="BB159" i="1"/>
  <c r="BB161" i="1"/>
  <c r="BB181" i="1"/>
  <c r="BB183" i="1"/>
  <c r="BB186" i="1"/>
  <c r="BB192" i="1"/>
  <c r="BB197" i="1"/>
  <c r="BB252" i="1"/>
  <c r="BB303" i="1"/>
  <c r="BB372" i="1"/>
  <c r="BB386" i="1"/>
  <c r="BB396" i="1"/>
  <c r="BB423" i="1"/>
  <c r="BB452" i="1"/>
  <c r="N484" i="1"/>
  <c r="AK484" i="1" s="1"/>
  <c r="N496" i="1"/>
  <c r="AK496" i="1" s="1"/>
  <c r="N498" i="1"/>
  <c r="AK498" i="1" s="1"/>
  <c r="N500" i="1"/>
  <c r="AK500" i="1" s="1"/>
  <c r="N502" i="1"/>
  <c r="AK502" i="1" s="1"/>
  <c r="N504" i="1"/>
  <c r="AK504" i="1" s="1"/>
  <c r="N506" i="1"/>
  <c r="AK506" i="1" s="1"/>
  <c r="N508" i="1"/>
  <c r="AK508" i="1" s="1"/>
  <c r="N510" i="1"/>
  <c r="AK510" i="1" s="1"/>
  <c r="N512" i="1"/>
  <c r="AK512" i="1" s="1"/>
  <c r="N514" i="1"/>
  <c r="AK514" i="1" s="1"/>
  <c r="N579" i="1"/>
  <c r="AK579" i="1" s="1"/>
  <c r="N581" i="1"/>
  <c r="AK581" i="1" s="1"/>
  <c r="N583" i="1"/>
  <c r="N590" i="1"/>
  <c r="N621" i="1"/>
  <c r="AK621" i="1" s="1"/>
  <c r="N637" i="1"/>
  <c r="AK637" i="1" s="1"/>
  <c r="N665" i="1"/>
  <c r="AK665" i="1" s="1"/>
  <c r="N679" i="1"/>
  <c r="AK679" i="1" s="1"/>
  <c r="BB87" i="1"/>
  <c r="BB94" i="1"/>
  <c r="BB99" i="1"/>
  <c r="BB107" i="1"/>
  <c r="BB109" i="1"/>
  <c r="BB144" i="1"/>
  <c r="BB150" i="1"/>
  <c r="BB152" i="1"/>
  <c r="BB165" i="1"/>
  <c r="BB172" i="1"/>
  <c r="BB191" i="1"/>
  <c r="BB199" i="1"/>
  <c r="BB240" i="1"/>
  <c r="BB260" i="1"/>
  <c r="BB266" i="1"/>
  <c r="BB270" i="1"/>
  <c r="BB291" i="1"/>
  <c r="BB296" i="1"/>
  <c r="BB339" i="1"/>
  <c r="BB352" i="1"/>
  <c r="BB367" i="1"/>
  <c r="BB381" i="1"/>
  <c r="BB397" i="1"/>
  <c r="BB431" i="1"/>
  <c r="BB444" i="1"/>
  <c r="N486" i="1"/>
  <c r="AK486" i="1" s="1"/>
  <c r="N548" i="1"/>
  <c r="AK548" i="1" s="1"/>
  <c r="N550" i="1"/>
  <c r="AK550" i="1" s="1"/>
  <c r="N552" i="1"/>
  <c r="AK552" i="1" s="1"/>
  <c r="N568" i="1"/>
  <c r="AK568" i="1" s="1"/>
  <c r="N570" i="1"/>
  <c r="AK570" i="1" s="1"/>
  <c r="N592" i="1"/>
  <c r="AK592" i="1" s="1"/>
  <c r="N601" i="1"/>
  <c r="AK601" i="1" s="1"/>
  <c r="N610" i="1"/>
  <c r="AK610" i="1" s="1"/>
  <c r="N612" i="1"/>
  <c r="AK612" i="1" s="1"/>
  <c r="N623" i="1"/>
  <c r="AK623" i="1" s="1"/>
  <c r="N667" i="1"/>
  <c r="AK667" i="1" s="1"/>
  <c r="N689" i="1"/>
  <c r="AK689" i="1" s="1"/>
  <c r="N691" i="1"/>
  <c r="AK691" i="1" s="1"/>
  <c r="AK817" i="1"/>
  <c r="AK824" i="1"/>
  <c r="N490" i="1"/>
  <c r="AK490" i="1" s="1"/>
  <c r="N516" i="1"/>
  <c r="AK516" i="1" s="1"/>
  <c r="N543" i="1"/>
  <c r="AK543" i="1" s="1"/>
  <c r="N556" i="1"/>
  <c r="AK556" i="1" s="1"/>
  <c r="N558" i="1"/>
  <c r="AK558" i="1" s="1"/>
  <c r="N572" i="1"/>
  <c r="AK572" i="1" s="1"/>
  <c r="N594" i="1"/>
  <c r="AK594" i="1" s="1"/>
  <c r="N595" i="1"/>
  <c r="AK595" i="1" s="1"/>
  <c r="N639" i="1"/>
  <c r="AK639" i="1" s="1"/>
  <c r="N641" i="1"/>
  <c r="AK641" i="1" s="1"/>
  <c r="N643" i="1"/>
  <c r="AK643" i="1" s="1"/>
  <c r="N645" i="1"/>
  <c r="AK645" i="1" s="1"/>
  <c r="N647" i="1"/>
  <c r="AK647" i="1" s="1"/>
  <c r="N658" i="1"/>
  <c r="AK658" i="1" s="1"/>
  <c r="N669" i="1"/>
  <c r="AK669" i="1" s="1"/>
  <c r="N671" i="1"/>
  <c r="AK671" i="1" s="1"/>
  <c r="N680" i="1"/>
  <c r="AK680" i="1" s="1"/>
  <c r="N693" i="1"/>
  <c r="AK693" i="1" s="1"/>
  <c r="N694" i="1"/>
  <c r="AK694" i="1" s="1"/>
  <c r="BB53" i="1"/>
  <c r="AL14" i="1"/>
  <c r="BB60" i="1"/>
  <c r="BB36" i="1"/>
  <c r="AM13" i="1"/>
  <c r="BB26" i="1"/>
  <c r="AL28" i="1"/>
  <c r="BB28" i="1" s="1"/>
  <c r="AL61" i="1"/>
  <c r="BB61" i="1" s="1"/>
  <c r="BB69" i="1"/>
  <c r="A431" i="1"/>
  <c r="A432" i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BB219" i="1"/>
  <c r="BB111" i="1"/>
  <c r="BB313" i="1"/>
  <c r="BB331" i="1"/>
  <c r="N482" i="1"/>
  <c r="AK482" i="1" s="1"/>
  <c r="BB254" i="1"/>
  <c r="N489" i="1"/>
  <c r="AK489" i="1" s="1"/>
  <c r="P480" i="1"/>
  <c r="BB302" i="1"/>
  <c r="BB309" i="1"/>
  <c r="BB359" i="1"/>
  <c r="AL479" i="1"/>
  <c r="N541" i="1"/>
  <c r="AK541" i="1" s="1"/>
  <c r="BB246" i="1"/>
  <c r="BB326" i="1"/>
  <c r="BB336" i="1"/>
  <c r="BB345" i="1"/>
  <c r="BB358" i="1"/>
  <c r="BB364" i="1"/>
  <c r="AK535" i="1"/>
  <c r="AB539" i="1"/>
  <c r="N539" i="1" s="1"/>
  <c r="AK539" i="1" s="1"/>
  <c r="AD480" i="1"/>
  <c r="BB235" i="1"/>
  <c r="BB239" i="1"/>
  <c r="BB242" i="1"/>
  <c r="BB262" i="1"/>
  <c r="BB342" i="1"/>
  <c r="BB355" i="1"/>
  <c r="V480" i="1"/>
  <c r="V479" i="1" s="1"/>
  <c r="V13" i="1" s="1"/>
  <c r="BB255" i="1"/>
  <c r="BB273" i="1"/>
  <c r="BB377" i="1"/>
  <c r="AF377" i="1"/>
  <c r="AE377" i="1"/>
  <c r="BB393" i="1"/>
  <c r="N536" i="1"/>
  <c r="AK536" i="1" s="1"/>
  <c r="N538" i="1"/>
  <c r="AK538" i="1" s="1"/>
  <c r="N545" i="1"/>
  <c r="AK545" i="1" s="1"/>
  <c r="E40" i="2"/>
  <c r="T15" i="2"/>
  <c r="T12" i="2" s="1"/>
  <c r="AE378" i="1"/>
  <c r="AF378" i="1"/>
  <c r="N613" i="1"/>
  <c r="AK613" i="1" s="1"/>
  <c r="AK614" i="1"/>
  <c r="N661" i="1"/>
  <c r="AK661" i="1" s="1"/>
  <c r="A430" i="2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29" i="2"/>
  <c r="N678" i="1"/>
  <c r="AK678" i="1" s="1"/>
  <c r="N597" i="1"/>
  <c r="AK597" i="1" s="1"/>
  <c r="N617" i="1"/>
  <c r="AK617" i="1" s="1"/>
  <c r="N648" i="1"/>
  <c r="AK648" i="1" s="1"/>
  <c r="N561" i="1"/>
  <c r="AK561" i="1" s="1"/>
  <c r="N585" i="1"/>
  <c r="AK585" i="1" s="1"/>
  <c r="N663" i="1"/>
  <c r="AK663" i="1" s="1"/>
  <c r="AK792" i="1"/>
  <c r="N702" i="1"/>
  <c r="AL835" i="1"/>
  <c r="N705" i="1"/>
  <c r="AK711" i="1"/>
  <c r="AK739" i="1"/>
  <c r="AK762" i="1"/>
  <c r="AK803" i="1"/>
  <c r="AK807" i="1"/>
  <c r="AL705" i="1"/>
  <c r="P705" i="1"/>
  <c r="AK738" i="1"/>
  <c r="AK806" i="1"/>
  <c r="AK810" i="1"/>
  <c r="V477" i="2"/>
  <c r="E76" i="2"/>
  <c r="E238" i="2"/>
  <c r="E204" i="2" s="1"/>
  <c r="T204" i="2"/>
  <c r="E478" i="2"/>
  <c r="E833" i="2"/>
  <c r="E703" i="2"/>
  <c r="Q13" i="1" l="1"/>
  <c r="O13" i="1"/>
  <c r="S13" i="1"/>
  <c r="E15" i="2"/>
  <c r="E477" i="2"/>
  <c r="AK590" i="1"/>
  <c r="Y3" i="1"/>
  <c r="AK583" i="1"/>
  <c r="S3" i="1"/>
  <c r="AK698" i="1"/>
  <c r="BB456" i="1"/>
  <c r="AK491" i="1"/>
  <c r="V1" i="1"/>
  <c r="Y13" i="1"/>
  <c r="AK655" i="1"/>
  <c r="S2" i="1"/>
  <c r="T11" i="2"/>
  <c r="E12" i="2"/>
  <c r="AB480" i="1"/>
  <c r="AB479" i="1" s="1"/>
  <c r="AB13" i="1" s="1"/>
  <c r="AL13" i="1"/>
  <c r="P479" i="1"/>
  <c r="P13" i="1" s="1"/>
  <c r="N480" i="1"/>
  <c r="N479" i="1" s="1"/>
  <c r="N13" i="1" s="1"/>
  <c r="AL17" i="1"/>
  <c r="E11" i="2" l="1"/>
</calcChain>
</file>

<file path=xl/comments1.xml><?xml version="1.0" encoding="utf-8"?>
<comments xmlns="http://schemas.openxmlformats.org/spreadsheetml/2006/main">
  <authors>
    <author/>
  </authors>
  <commentList>
    <comment ref="P23" authorId="0" shapeId="0">
      <text>
        <r>
          <rPr>
            <b/>
            <sz val="9"/>
            <color rgb="FF000000"/>
            <rFont val="Tahoma"/>
            <family val="2"/>
            <charset val="204"/>
          </rPr>
          <t>НамыловЮИ:</t>
        </r>
        <r>
          <rPr>
            <sz val="11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убрать полностью</t>
        </r>
        <r>
          <rPr>
            <sz val="11"/>
            <rFont val="Calibri"/>
            <family val="2"/>
            <charset val="204"/>
          </rPr>
          <t xml:space="preserve">
</t>
        </r>
      </text>
    </comment>
    <comment ref="P75" authorId="0" shapeId="0">
      <text>
        <r>
          <rPr>
            <b/>
            <sz val="9"/>
            <color rgb="FF000000"/>
            <rFont val="Tahoma"/>
            <family val="2"/>
            <charset val="204"/>
          </rPr>
          <t>НамыловЮИ:</t>
        </r>
        <r>
          <rPr>
            <sz val="11"/>
            <rFont val="Calibri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полностью убрать</t>
        </r>
      </text>
    </comment>
  </commentList>
</comments>
</file>

<file path=xl/sharedStrings.xml><?xml version="1.0" encoding="utf-8"?>
<sst xmlns="http://schemas.openxmlformats.org/spreadsheetml/2006/main" count="4962" uniqueCount="765">
  <si>
    <t>Приложение № 1 к приказу</t>
  </si>
  <si>
    <t>ГО "Жатай"</t>
  </si>
  <si>
    <t>ГО Жатай, п. Жатай, ул. Северная, д. 37</t>
  </si>
  <si>
    <t>Камень</t>
  </si>
  <si>
    <t>Министерства ЖКХ и энергетики РС(Я)</t>
  </si>
  <si>
    <t>с гб на иные</t>
  </si>
  <si>
    <t>Адресный перечень многоквартирных домов, в отношении которых в 2022-2024 гг. планируется проведение капитального ремонта общего имущества в многоквартирных домах, с разбивкой по источникам финансирования</t>
  </si>
  <si>
    <t>ГО Жатай, п. Жатай, ул. Северная, д. 54</t>
  </si>
  <si>
    <t>№ п/п</t>
  </si>
  <si>
    <t>Наименование муниципального образования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</si>
  <si>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</si>
  <si>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</si>
  <si>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</si>
  <si>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</si>
  <si>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</si>
  <si>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</si>
  <si>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в МКД</t>
  </si>
  <si>
    <t>Количество жителей</t>
  </si>
  <si>
    <t>Стоимость капитального ремонта с разбивкой по источникам финансирования</t>
  </si>
  <si>
    <t>Удельная стоимость капитального ремонта 1 кв.м. общей площади помещений МКД</t>
  </si>
  <si>
    <t>Предельная стоимость капитального ремонта 1 кв.м. общей площади помещений МКД</t>
  </si>
  <si>
    <t>Сроки проведения работ по капитальному ремонту</t>
  </si>
  <si>
    <t>МО "Город Алдан"</t>
  </si>
  <si>
    <t>Стоимость капитального ремонта, всего</t>
  </si>
  <si>
    <t>Алданский у, г. Алдан, ул. Гагарина, д. 13</t>
  </si>
  <si>
    <t>1967</t>
  </si>
  <si>
    <t>Виды работ, установленные ч. 1 и 2 ст. 19 Закона Республики Саха (Якутия) от 24.06.2013 1201-З № 1329-IV "Об организации проведения капитального ремонта общего имущества в многоквартирных домах на территории Республики Саха (Якутия)"</t>
  </si>
  <si>
    <t>2</t>
  </si>
  <si>
    <t>Ввода в эксплуатацию</t>
  </si>
  <si>
    <t>Завершения последнего капитального ремонта</t>
  </si>
  <si>
    <t>в том числе жилых помещений (квартир)</t>
  </si>
  <si>
    <t>в том числе нежилых помещений</t>
  </si>
  <si>
    <t>Всего</t>
  </si>
  <si>
    <t>в том числе</t>
  </si>
  <si>
    <t xml:space="preserve">Ремонт внутридомовых инженерных систем
</t>
  </si>
  <si>
    <t>Ремонт, замена, модернизация лифтов, ремонт лифтовых шахт, машинных и блочных помещений</t>
  </si>
  <si>
    <t>Ремонт крыши</t>
  </si>
  <si>
    <t xml:space="preserve">Ремонт подвальных помещений, относящихся к общему имуществу в многоквартирном доме
</t>
  </si>
  <si>
    <t>Алданский у, г. Алдан, ул. Гагарина, д. 15</t>
  </si>
  <si>
    <t xml:space="preserve">Утепление и ремонт фасада, стыков полносборных зданий, ремонт балконов, лоджий, входных крылец с ремонтом пандусов и козырьков над входами в подъезды, ремонт или замена входных наружных дверей, окон и балконных дверей в местах общего пользования
</t>
  </si>
  <si>
    <t xml:space="preserve">Ремонт фундамента многоквартирного дома, цокольных балок и перекрытий, включая утепление цокольного перекрытия
</t>
  </si>
  <si>
    <t>Разработка проектной документации на проведение капитального ремонта, обследование технического состояния многоквартирного дома</t>
  </si>
  <si>
    <t>Проведение экспертизы проектной документациина проведение капитального ремонта, 
проверки
достоверности
определения
сметной
стоимости</t>
  </si>
  <si>
    <t>Проведение
строительного
контроля
(технического
надзора)</t>
  </si>
  <si>
    <t>За счет федеральных средств</t>
  </si>
  <si>
    <t>За счет средств государственного бюджета Республики Саха (Якутия)</t>
  </si>
  <si>
    <t>в том числе Кредиторка ГБ</t>
  </si>
  <si>
    <t>в том числе Оплаченные ГБ</t>
  </si>
  <si>
    <t>За счет средств местного бюджета</t>
  </si>
  <si>
    <t>в том числе оплаченные МБ</t>
  </si>
  <si>
    <t>в том числе неоплаченные МБ</t>
  </si>
  <si>
    <t>За счет средств собственников помещений</t>
  </si>
  <si>
    <t>в том числе СС</t>
  </si>
  <si>
    <t>в том числе псд</t>
  </si>
  <si>
    <t>Заимствованные средства</t>
  </si>
  <si>
    <t>в том числе ЗС</t>
  </si>
  <si>
    <t>Иные источники</t>
  </si>
  <si>
    <t>в том числе СК</t>
  </si>
  <si>
    <t>в том числе проценты котла</t>
  </si>
  <si>
    <t>СС</t>
  </si>
  <si>
    <t>ССг*0,8</t>
  </si>
  <si>
    <t>ЗС</t>
  </si>
  <si>
    <t>Теплоснабжение</t>
  </si>
  <si>
    <t>Водоснабжение</t>
  </si>
  <si>
    <t>Электроснабжение</t>
  </si>
  <si>
    <t>Водоотведение</t>
  </si>
  <si>
    <t>Газоснабжение</t>
  </si>
  <si>
    <t>Вентиляция</t>
  </si>
  <si>
    <t>установка автоматизированных информационно-измерительных систем учета потребления коммунальных ресурсов и коммунальных услуг, 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</si>
  <si>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Алданский у, г. Алдан, ул. Гагарина, д. 19</t>
  </si>
  <si>
    <t>1969</t>
  </si>
  <si>
    <t>кв.м</t>
  </si>
  <si>
    <t>чел</t>
  </si>
  <si>
    <t>руб</t>
  </si>
  <si>
    <t>руб/кв.м</t>
  </si>
  <si>
    <t>Алданский у, г. Алдан, ул. Гагарина, д. 21</t>
  </si>
  <si>
    <t>2022-2024 гг.</t>
  </si>
  <si>
    <t>Алданский у, г. Алдан, ул. Гагарина, д. 23</t>
  </si>
  <si>
    <t>1968</t>
  </si>
  <si>
    <t>2022 год</t>
  </si>
  <si>
    <t>Алданский у, г. Алдан, ул. Стрельцова, д. 2</t>
  </si>
  <si>
    <t>1974</t>
  </si>
  <si>
    <t>МО "Город Томмот"</t>
  </si>
  <si>
    <t>Алданский у, г. Томмот, ул. Крупской, д. 8</t>
  </si>
  <si>
    <t>Кредиторская задолженность за 2021 год</t>
  </si>
  <si>
    <t>Алданский у, г. Томмот, ул. Нагорная, д. 15</t>
  </si>
  <si>
    <t>Авансы северным районам</t>
  </si>
  <si>
    <t>МО "Поселок Нижний Куранах"</t>
  </si>
  <si>
    <t>Алданский у, п. Нижний Куранах, ул. Строительная, д. 2</t>
  </si>
  <si>
    <t>Алданский у, п. Нижний Куранах, ул. Строительная, д. 4</t>
  </si>
  <si>
    <t>ГП "Поселок Золотинка"</t>
  </si>
  <si>
    <t>п Золотинка, п. Золотинка (г Нерюнгри), ул. Железнодорожная, д. 2</t>
  </si>
  <si>
    <t>Алданский у, п. Нижний Куранах, ул. Строительная, д. 6</t>
  </si>
  <si>
    <t>п Золотинка, п. Золотинка (г Нерюнгри), ул. Железнодорожная, д. 3</t>
  </si>
  <si>
    <t>Алданский у, п. Нижний Куранах, ул. Строительная, д. 7</t>
  </si>
  <si>
    <t>п Золотинка, п. Золотинка (г Нерюнгри), ул. Железнодорожная, д. 4</t>
  </si>
  <si>
    <t>*</t>
  </si>
  <si>
    <t>Алданский у, п. Нижний Куранах, ул. Строительная, д. 18</t>
  </si>
  <si>
    <t>ГП "Поселок Серебряный Бор"</t>
  </si>
  <si>
    <t>п. Серебряный Бор, (г Нерюнгри), д. 120</t>
  </si>
  <si>
    <t>Алданский у, п. Нижний Куранах, ул. Строительная, д. 20</t>
  </si>
  <si>
    <t>п. Серебряный Бор, (г Нерюнгри), д. 14</t>
  </si>
  <si>
    <t>Алданский у, п. Нижний Куранах, ул. Строительная, д. 21</t>
  </si>
  <si>
    <t>п. Серебряный Бор, (г Нерюнгри), д. 208</t>
  </si>
  <si>
    <t>МО "Поселок Тикси"</t>
  </si>
  <si>
    <t>Булунский у, п. Тикси, ул. 50 лет Севморпути, д. 6</t>
  </si>
  <si>
    <t>ГП "Поселок Чульман"</t>
  </si>
  <si>
    <t>п. Чульман (г Нерюнгри), ул. Островского, д. 18б</t>
  </si>
  <si>
    <t>Булунский у, п. Тикси, ул. Ленинская, д. 27</t>
  </si>
  <si>
    <t>п. Чульман (г Нерюнгри), ул. Островского, д. 12</t>
  </si>
  <si>
    <t>Булунский у, п. Тикси, ул. Трусова, д. 2а</t>
  </si>
  <si>
    <t>п. Чульман (г Нерюнгри), ул. Островского, д. 6 кор. а</t>
  </si>
  <si>
    <t>МО "Угольнинский наслег"</t>
  </si>
  <si>
    <t>Верхнеколымский у, Угольнинский н-г, с. Угольное, ул. Дорожная, д. 12*</t>
  </si>
  <si>
    <t>МО "Город Нерюнгри"</t>
  </si>
  <si>
    <t>г. Нерюнгри, пр-кт. Геологов, д. 43</t>
  </si>
  <si>
    <t>МО "Город Мирный"</t>
  </si>
  <si>
    <t>Мирнинский у, г. Мирный, ул. Аммосова, д. 100</t>
  </si>
  <si>
    <t>г. Нерюнгри, пр-кт. Геологов, д. 49 кор. 1</t>
  </si>
  <si>
    <t>Мирнинский у, г. Мирный, ул. Комсомольская, д. 4 кор. а</t>
  </si>
  <si>
    <t>МО "Город Нерюнгри" спецсчет</t>
  </si>
  <si>
    <t>Мирнинский у, г. Мирный, ул. Ленина, д. 22 кор.А</t>
  </si>
  <si>
    <t>г. Нерюнгри, пр-кт. Геологов, д. 81 кор. 2 СПЕЦСЧЕТ</t>
  </si>
  <si>
    <t>Мирнинский у, г. Мирный, ул. Московская, д. 12</t>
  </si>
  <si>
    <t>г. Нерюнгри, пр-кт. Дружбы Народов, д. 16 кор. 1</t>
  </si>
  <si>
    <t>Мирнинский у, г. Мирный, ул. Советская, д. 13 кор. 4</t>
  </si>
  <si>
    <t>г. Нерюнгри, пр-кт. Дружбы Народов, д. 20</t>
  </si>
  <si>
    <t>Мирнинский у, г. Мирный, ул. Солдатова, д. 12</t>
  </si>
  <si>
    <t>г. Нерюнгри, пр-кт. Дружбы Народов, д. 29 кор. 1</t>
  </si>
  <si>
    <t>Мирнинский у, г. Мирный, ул. Тихонова, д. 12</t>
  </si>
  <si>
    <t>г. Нерюнгри, пр-кт. Дружбы Народов, д. 3 кор. 1 СПЕЦСЧЕТ</t>
  </si>
  <si>
    <t>Мирнинский у, г. Мирный, ш. 50 лет Октября, д. 7</t>
  </si>
  <si>
    <t>г. Нерюнгри, пр-кт. Ленина, д. 4</t>
  </si>
  <si>
    <t>Мирнинский у, г. Мирный, ш. 50 лет Октября, д. 12 кор. 1</t>
  </si>
  <si>
    <t>г. Нерюнгри, пр-кт. Мира, д. 15</t>
  </si>
  <si>
    <t>ГП "Поселок Светлый"</t>
  </si>
  <si>
    <t>Мирнинский у, п. Светлый, ул. Молодежная, д. 11</t>
  </si>
  <si>
    <t>г. Нерюнгри, пр-кт. Мира, д. 15 кор. 2</t>
  </si>
  <si>
    <t>Мирнинский у, п. Светлый, ул. Советская, д. 2</t>
  </si>
  <si>
    <t>г. Нерюнгри, пр-кт. Мира, д. 15 кор. 3</t>
  </si>
  <si>
    <t>МО "поселок Черский"</t>
  </si>
  <si>
    <t>Нижнеколымский у, п. Черский, ул. Котельникова, д. 9</t>
  </si>
  <si>
    <t>Нижнеколымский у, п. Черский, ул. Молодежная, д. 6 кор. 2</t>
  </si>
  <si>
    <t>г. Нерюнгри, пр-кт. Мира, д. 17 кор. 1</t>
  </si>
  <si>
    <t>Нижнеколымский у, п. Черский, ул. Пушкина, д. 9</t>
  </si>
  <si>
    <t>г. Нерюнгри, пр-кт. Мира, д. 19 кор. 1</t>
  </si>
  <si>
    <t>Нижнеколымский у, п. Черский, ул. Таврата, д. 11</t>
  </si>
  <si>
    <t>г. Нерюнгри, пр-кт. Мира, д. 19 кор. 2</t>
  </si>
  <si>
    <t>Нижнеколымский у, п. Черский, ул. Таврата, д. 12</t>
  </si>
  <si>
    <t>г. Нерюнгри, пр-кт. Мира, д. 5 СПЕЦСЧЕТ</t>
  </si>
  <si>
    <t>Нижнеколымский у, п. Черский, ул. Таврата, д. 13</t>
  </si>
  <si>
    <t>г. Нерюнгри, ул. Аммосова, д. 10 кор. 1</t>
  </si>
  <si>
    <t>Нижнеколымский у, п. Черский, ул. Таврата, д. 15</t>
  </si>
  <si>
    <t>г. Нерюнгри, ул. Аммосова, д. 2 СПЕЦСЧЕТ</t>
  </si>
  <si>
    <t>МО "Город Нюрба"</t>
  </si>
  <si>
    <t>Нюрбинский у, г. Нюрба, кв-л. Энергетик, д. 67</t>
  </si>
  <si>
    <t>г. Нерюнгри, ул. Аммосова, д. 6 кор. 1</t>
  </si>
  <si>
    <t>Нюрбинский у, г. Нюрба, кв-л. Энергетик, д. 9</t>
  </si>
  <si>
    <t>г. Нерюнгри, ул. им Кравченко, д. 20 кор. 1</t>
  </si>
  <si>
    <t>МО "Город Покровск"</t>
  </si>
  <si>
    <t>Хангаласский у, г. Покровск, ул. Орджоникидзе, д. 20</t>
  </si>
  <si>
    <t>г. Нерюнгри, ул. им Кравченко, д. 4</t>
  </si>
  <si>
    <t>МО "Поселок Мохсоголлох"</t>
  </si>
  <si>
    <t>Хангаласский у, п. Мохсоголлох, ул. Соколиная, д. 9</t>
  </si>
  <si>
    <t>г. Нерюнгри, ул. им Кравченко, д. 6</t>
  </si>
  <si>
    <t>г. Нерюнгри, ул. им Кравченко, д. 8</t>
  </si>
  <si>
    <t xml:space="preserve">Финансово обеспеченные МКД </t>
  </si>
  <si>
    <t>г. Нерюнгри, ул. им Кравченко, д. 12</t>
  </si>
  <si>
    <t>1982</t>
  </si>
  <si>
    <t>5</t>
  </si>
  <si>
    <t>г. Нерюнгри, ул. Карла Маркса, д. 1 кор. 1</t>
  </si>
  <si>
    <t>ГП "Поселок Беркакит"</t>
  </si>
  <si>
    <t>п. Беркакит (г Нерюнгри), ул. Башарина, д. 3</t>
  </si>
  <si>
    <t>1999</t>
  </si>
  <si>
    <t>9</t>
  </si>
  <si>
    <t>3</t>
  </si>
  <si>
    <t>г. Нерюнгри, ул. Сосновая, д. 4</t>
  </si>
  <si>
    <t>п. Беркакит (г Нерюнгри), ул. Бочкарева, д. 7</t>
  </si>
  <si>
    <t>г. Нерюнгри, ул. Тимптонская, д. 3</t>
  </si>
  <si>
    <t>п. Беркакит (г Нерюнгри), ул. Дорожников, д. 4</t>
  </si>
  <si>
    <t>г. Нерюнгри, ул. Южно-Якутская, д. 32</t>
  </si>
  <si>
    <t>п. Беркакит (г Нерюнгри), ул. Мусы Джалиля, д. 3</t>
  </si>
  <si>
    <t>1978</t>
  </si>
  <si>
    <t>4</t>
  </si>
  <si>
    <t>г. Нерюнгри, ул. Южно-Якутская, д. 43 кор. 1 СПЕЦСЧЕТ</t>
  </si>
  <si>
    <t>ГО "город Якутск"</t>
  </si>
  <si>
    <t>г. Якутск, мкр. Марха, кв-л. Мелиораторов, д. 9</t>
  </si>
  <si>
    <t>п. Беркакит (г Нерюнгри), ул. Мусы Джалиля, д. 5</t>
  </si>
  <si>
    <t>1979</t>
  </si>
  <si>
    <t>г. Якутск, мкр. Марха, ул. Есенина, д. 5 кор. 1</t>
  </si>
  <si>
    <t>п. Беркакит (г Нерюнгри), ул. Школьная, д. 7</t>
  </si>
  <si>
    <t>1980</t>
  </si>
  <si>
    <t>г. Якутск, мкр. Марха, тракт Маганский 2 км, д. 3</t>
  </si>
  <si>
    <t>п. Чульман (г Нерюнгри), ул. Школьная, д. 12</t>
  </si>
  <si>
    <t>г. Якутск, мкр. Марха, ул. О.Кошевого, д. 67 кор. 1</t>
  </si>
  <si>
    <t>п Золотинка, п. Золотинка (г Нерюнгри), ул. Железнодорожная, д. 1</t>
  </si>
  <si>
    <t>г. Якутск, мкр. Птицефабрика, д. 7</t>
  </si>
  <si>
    <t>г. Якутск, мкр. Марха, тракт Маганский 2 км, д. 2</t>
  </si>
  <si>
    <t>п. Чульман (г Нерюнгри), ул. Новая, д. 2</t>
  </si>
  <si>
    <t>г. Якутск, с. Кильдямцы, ул. Уваровского, д. 1</t>
  </si>
  <si>
    <t>п. Чульман (г Нерюнгри), ул. Первомайская, д. 11</t>
  </si>
  <si>
    <t>г. Якутск, с. Кильдямцы, ул. Труда, д. 52</t>
  </si>
  <si>
    <t>ГП "Поселок Хани""</t>
  </si>
  <si>
    <t>п. Хани (г Нерюнгри), ул. 70 лет Октября, д. 1</t>
  </si>
  <si>
    <t>1987</t>
  </si>
  <si>
    <t>г. Якутск, с. Кильдямцы, ул. Труда, д. 54</t>
  </si>
  <si>
    <t>п. Хани (г Нерюнгри), ул. 70 лет Октября, д. 2</t>
  </si>
  <si>
    <t>1988</t>
  </si>
  <si>
    <t>г. Якутск, пр-кт. Ленина, д. 11 кор. 2</t>
  </si>
  <si>
    <t>п. Хани (г Нерюнгри), ул. 70 лет Октября, д. 3</t>
  </si>
  <si>
    <t>1989</t>
  </si>
  <si>
    <t>г. Якутск, пр-кт. Ленина, д. 7</t>
  </si>
  <si>
    <t>г. Якутск, пр-кт. Ленина, д. 9</t>
  </si>
  <si>
    <t>п. Хани (г Нерюнгри), ул. 70 лет Октября, д. 4</t>
  </si>
  <si>
    <t>1990</t>
  </si>
  <si>
    <t>г. Якутск, пр-кт Ленина, д. 25</t>
  </si>
  <si>
    <t>1996</t>
  </si>
  <si>
    <t>п. Хани (г Нерюнгри), ул. 70 лет Октября, д. 5</t>
  </si>
  <si>
    <t>1991</t>
  </si>
  <si>
    <t>г. Якутск, пр-кт Ленина, д. 29</t>
  </si>
  <si>
    <t>8</t>
  </si>
  <si>
    <t>п. Хани (г Нерюнгри), ул. 70 лет Октября, д. 6</t>
  </si>
  <si>
    <t>1993</t>
  </si>
  <si>
    <t>г. Якутск, пр-кт. Ленина, д. 37</t>
  </si>
  <si>
    <t>г. Якутск, пр-кт. Ленина, д. 38</t>
  </si>
  <si>
    <t>г. Нерюнгри, пр-кт. Геологов, д. 55 кор. 2</t>
  </si>
  <si>
    <t>г. Якутск, пр-кт. Ленина, д. 44</t>
  </si>
  <si>
    <t>г. Якутск, пр. Михаила Николаева, д. 40 кор. 5</t>
  </si>
  <si>
    <t>г. Нерюнгри, пр-кт. Геологов, д. 59</t>
  </si>
  <si>
    <t>г. Якутск, пр. Михаила Николаева, д. 40 кор. 6</t>
  </si>
  <si>
    <t>г. Нерюнгри, пр-кт. Геологов, д. 61</t>
  </si>
  <si>
    <t>г. Якутск, пр. Михаила Николаева, д. 40 кор. 7</t>
  </si>
  <si>
    <t>г. Нерюнгри, пр-кт. Геологов, д. 61 кор. 2</t>
  </si>
  <si>
    <t>г. Якутск, ул. Билибина, д. 12</t>
  </si>
  <si>
    <t>г. Нерюнгри, пр-кт. Геологов, д. 75 кор. 2</t>
  </si>
  <si>
    <t>г. Якутск, ул. Богатырева, д. 11 кор. 1</t>
  </si>
  <si>
    <t>г. Якутск, ул. Дзержинского, д. 3</t>
  </si>
  <si>
    <t>г. Нерюнгри, пр-кт. Дружбы Народов, д. 5</t>
  </si>
  <si>
    <t>г. Якутск, ул. Дзержинского, д. 8 кор. 2</t>
  </si>
  <si>
    <t>г. Нерюнгри, пр-кт. Дружбы Народов, д. 8</t>
  </si>
  <si>
    <t>г. Якутск, ул. Каландаришвили, д. 25 кор. 2</t>
  </si>
  <si>
    <t>г. Нерюнгри, пр-кт. Дружбы Народов, д. 9</t>
  </si>
  <si>
    <t>г. Якутск, ул. Каландаришвили, д. 38 кор. 2</t>
  </si>
  <si>
    <t>г. Нерюнгри, пр-кт. Дружбы Народов, д. 10</t>
  </si>
  <si>
    <t>1</t>
  </si>
  <si>
    <t>г. Якутск, ул. Каландаришвили, д. 38 кор. 3</t>
  </si>
  <si>
    <t>г. Нерюнгри, пр-кт. Дружбы Народов, д. 10 кор. 2</t>
  </si>
  <si>
    <t>г. Якутск, ул. Каландаришвили, д. 40</t>
  </si>
  <si>
    <t>г. Нерюнгри, пр-кт. Дружбы Народов, д. 14 кор. 1</t>
  </si>
  <si>
    <t>г. Якутск, ул. Каландаришвили, д. 40 кор. 1</t>
  </si>
  <si>
    <t>г. Нерюнгри, пр-кт. Дружбы Народов, д. 17</t>
  </si>
  <si>
    <t>г. Якутск, ул. Каландаришвили, д. 40 кор. 4</t>
  </si>
  <si>
    <t>г. Якутск, ул. Каландаришвили, д. 40 кор. 7</t>
  </si>
  <si>
    <t>г. Якутск, ул. Каландаришвили, д. 40 кор. 8 *</t>
  </si>
  <si>
    <t>г. Нерюнгри, пр-кт. Дружбы Народов, д. 20 кор. 1</t>
  </si>
  <si>
    <t>г. Якутск, ул. Кирова, д. 31 кор.1</t>
  </si>
  <si>
    <t>г. Нерюнгри, пр-кт. Дружбы Народов, д. 25 кор. 2</t>
  </si>
  <si>
    <t>г. Якутск, ул. Короленко, д. 17</t>
  </si>
  <si>
    <t>г. Нерюнгри, пр-кт. Дружбы Народов, д. 27 кор. 2</t>
  </si>
  <si>
    <t>г. Якутск, ул. Крупской, д. 21</t>
  </si>
  <si>
    <t>г. Якутск, ул. Космонавтов, д. 17 кор. 1</t>
  </si>
  <si>
    <t>г. Нерюнгри, пр-кт. Дружбы Народов, д. 29</t>
  </si>
  <si>
    <t>г. Якутск, ул. Кулаковского, д. 4 кор. 1</t>
  </si>
  <si>
    <t>г. Нерюнгри, пр-кт. Дружбы Народов, д. 29 кор. 3</t>
  </si>
  <si>
    <t>г. Якутск, ул. Кулаковского, д. 4 кор. 2</t>
  </si>
  <si>
    <t>г. Нерюнгри, пр-кт. Дружбы Народов, д. 33</t>
  </si>
  <si>
    <t>г. Якутск, ул. Кулаковского, д. 4 кор. 3</t>
  </si>
  <si>
    <t>г. Якутск, ул. Курашова, д. 1 кор. 1</t>
  </si>
  <si>
    <t>г. Якутск, ул. Лермонтова, д. 24</t>
  </si>
  <si>
    <t>г. Нерюнгри, пр-кт. Ленина, д. 15</t>
  </si>
  <si>
    <t>г. Якутск, ул. Можайского, д. 17 кор. 5</t>
  </si>
  <si>
    <t>г. Нерюнгри, пр-кт. Ленина, д. 16 кор. 2</t>
  </si>
  <si>
    <t>г. Якутск, ул. Можайского, д. 17 кор. 6</t>
  </si>
  <si>
    <t>г. Нерюнгри, пр-кт. Мира, д. 3 кор. 1</t>
  </si>
  <si>
    <t>г. Якутск, ул. Можайского, д. 19 кор. 1</t>
  </si>
  <si>
    <t>г. Якутск, ул. Можайского, д. 21</t>
  </si>
  <si>
    <t>г. Якутск, ул. Можайского, д. 21 кор. 1</t>
  </si>
  <si>
    <t>г. Якутск, ул. Октябрьская, д. 26 кор. 1</t>
  </si>
  <si>
    <t>г. Якутск, ул. Октябрьская, д. 26 кор. 2</t>
  </si>
  <si>
    <t>г. Нерюнгри, пр-кт. Мира, д. 21 кор. 2</t>
  </si>
  <si>
    <t>г. Якутск, ул. Октябрьская, д. 26 кор. 3</t>
  </si>
  <si>
    <t>г. Якутск, ул. Октябрьская, д. 5</t>
  </si>
  <si>
    <t>г. Нерюнгри, пр-кт. Мира, д. 25 кор. 1</t>
  </si>
  <si>
    <t>г. Якутск, ул. Орджоникидзе, д. 33</t>
  </si>
  <si>
    <t>г. Нерюнгри, пр-кт. Мира, д. 31</t>
  </si>
  <si>
    <t>г. Якутск, ул. Орджоникидзе, д. 45</t>
  </si>
  <si>
    <t>г. Нерюнгри, ул. Аммосова, д. 4</t>
  </si>
  <si>
    <t>г. Якутск, ул. Орджоникидзе, д. 46</t>
  </si>
  <si>
    <t>г. Нерюнгри, ул. Аммосова, д. 14 кор. 1</t>
  </si>
  <si>
    <t>г. Якутск, ул. Петра Алексеева, д. 21 кор. 5</t>
  </si>
  <si>
    <t>г. Якутск, ул. Петра Алексеева, д. 49 кор. 1</t>
  </si>
  <si>
    <t>г. Нерюнгри, ул. им Кравченко, д. 3</t>
  </si>
  <si>
    <t>г. Якутск, ул. Петра Алексеева, д. 6 кор. 2</t>
  </si>
  <si>
    <t>г. Нерюнгри, ул. им Кравченко, д. 9 кор. 1</t>
  </si>
  <si>
    <t>г. Якутск, ул. Петра Алексеева, д. 8 кор. 1</t>
  </si>
  <si>
    <t>г. Нерюнгри, ул. им Кравченко, д. 25</t>
  </si>
  <si>
    <t>г. Якутск, ул. Петра Алексеева, д. 81 кор. 1</t>
  </si>
  <si>
    <t>г. Якутск, ул. Петра Алексеева, д. 83 кор. 18</t>
  </si>
  <si>
    <t>г. Якутск, ул. Петровского, д. 21 кор. 1</t>
  </si>
  <si>
    <t>г. Нерюнгри, ул. Карла Маркса, д. 16</t>
  </si>
  <si>
    <t>г. Якутск, ул. Петровского, д. 23</t>
  </si>
  <si>
    <t>г. Нерюнгри, ул. Карла Маркса, д. 20</t>
  </si>
  <si>
    <t>г. Якутск, ул. Петровского, д. 23 кор. 1</t>
  </si>
  <si>
    <t>г. Нерюнгри, ул. Карла Маркса, д. 25</t>
  </si>
  <si>
    <t>г. Якутск, ул. Пояркова, д. 10</t>
  </si>
  <si>
    <t>г. Якутск, ул. Сосновая, д. 2</t>
  </si>
  <si>
    <t>г. Нерюнгри, ул. Карла Маркса, д. 27</t>
  </si>
  <si>
    <t>г. Якутск, ул. Хабарова, д. 21</t>
  </si>
  <si>
    <t>г. Нерюнгри, ул. Карла Маркса, д. 27 кор. 2</t>
  </si>
  <si>
    <t>г. Якутск, ул. Хабарова, д. 27</t>
  </si>
  <si>
    <t>г. Нерюнгри, ул. Новостроевская, д. 3</t>
  </si>
  <si>
    <t>г. Якутск, ул. Халтурина, д. 11 кор. 2</t>
  </si>
  <si>
    <t>г. Нерюнгри, ул. Новостроевская, д. 5</t>
  </si>
  <si>
    <t>ГО "Город Якутск"</t>
  </si>
  <si>
    <t>г. Якутск, ул. Чернышевского, д. 12 кор. 1</t>
  </si>
  <si>
    <t>1975</t>
  </si>
  <si>
    <t>6</t>
  </si>
  <si>
    <t>г. Якутск, ул. Чернышевского, д. 4 кор. 1</t>
  </si>
  <si>
    <t>г. Нерюнгри, ул. Строителей, д. 3</t>
  </si>
  <si>
    <t>г. Якутск, ул. Чернышевского, д. 8</t>
  </si>
  <si>
    <t>г. Якутск, ул. Чернышевского, д. 8 кор. 1</t>
  </si>
  <si>
    <t>г. Нерюнгри, ул. Тимптонская, д. 7 кор. 1</t>
  </si>
  <si>
    <t>г. Якутск, ул. Чиряева, д. 4</t>
  </si>
  <si>
    <t>г. Нерюнгри, ул. Чурапчинская, д. 8 кор. 1</t>
  </si>
  <si>
    <t>г. Якутск, ул. Чиряева, д. 8</t>
  </si>
  <si>
    <t>г. Якутск, ул. Ярославского, д. 11</t>
  </si>
  <si>
    <t>г. Нерюнгри, ул. Чурапчинская, д. 36</t>
  </si>
  <si>
    <t>г. Якутск, ул. Ярославского, д. 24</t>
  </si>
  <si>
    <t>г. Нерюнгри, ул. Чурапчинская, д. 37 кор. 2</t>
  </si>
  <si>
    <t>г. Якутск, ул. Ярославского, д. 30 кор. 1</t>
  </si>
  <si>
    <t>г. Нерюнгри, ул. Чурапчинская, д. 38</t>
  </si>
  <si>
    <t>г. Якутск, ул. Ярославского, д. 5 кор. 1</t>
  </si>
  <si>
    <t>г. Нерюнгри, ул. Чурапчинская, д. 40</t>
  </si>
  <si>
    <t>г. Якутск, ул. Ярославского, д. 7 кор. 1</t>
  </si>
  <si>
    <t>г. Якутск, ул. Ярославского, д. 9</t>
  </si>
  <si>
    <t>г. Нерюнгри, ул. Чурапчинская, д. 46</t>
  </si>
  <si>
    <t>ГО Жатай, п. Жатай, ул. Северная, д. 21/1</t>
  </si>
  <si>
    <t>г. Нерюнгри, ул. Чурапчинская, д. 54</t>
  </si>
  <si>
    <t>ГО Жатай, п. Жатай, ул. Северная, д. 33</t>
  </si>
  <si>
    <t>г. Нерюнгри, ул. Южно-Якутская, д. 31</t>
  </si>
  <si>
    <t>г. Нерюнгри, ул. Южно-Якутская, д. 31 кор. 1</t>
  </si>
  <si>
    <t>ГО Жатай, п. Жатай, ул. Северная, д. 37/1</t>
  </si>
  <si>
    <t>г. Нерюнгри, ул. Южно-Якутская, д. 34</t>
  </si>
  <si>
    <t>Алданский у, г. Томмот, ул. Крупской, д. 6</t>
  </si>
  <si>
    <t>г. Нерюнгри, ул. Южно-Якутская, д. 36 кор. 3</t>
  </si>
  <si>
    <t>г. Нерюнгри, ул. Южно-Якутская, д. 40</t>
  </si>
  <si>
    <t>п. Серебряный Бор, (г Нерюнгри), д. 118</t>
  </si>
  <si>
    <t>г. Якутск, мкр. 202-й, д. 18</t>
  </si>
  <si>
    <t>1998</t>
  </si>
  <si>
    <t>7</t>
  </si>
  <si>
    <t>МО "Поселок Зырянка"</t>
  </si>
  <si>
    <t>Верхнеколымский у, п. Зырянка, ул. Леликова, д. 8</t>
  </si>
  <si>
    <t>Верхнеколымский у, Угольнинский н-г, с. Угольное, ул. Дорожная, д. 12</t>
  </si>
  <si>
    <t>г. Якутск, пр-кт. Ленина, д. 11</t>
  </si>
  <si>
    <t>Верхнеколымский у, Угольнинский н-г, с. Угольное, ул. Дорожная, д. 9</t>
  </si>
  <si>
    <t>МО "Город Ленск"</t>
  </si>
  <si>
    <t>Ленский у, г. Ленск, ул. Дзержинского, д. 15</t>
  </si>
  <si>
    <t>Ленский у, г. Ленск, ул. Дзержинского, д. 27</t>
  </si>
  <si>
    <t>Ленский у, г. Ленск, ул. Ойунского, д. 26</t>
  </si>
  <si>
    <t>Ленский у, г. Ленск, ул. Победы, д. 22</t>
  </si>
  <si>
    <t>Ленский у, г. Ленск, ул. Пролетарская, д. 17</t>
  </si>
  <si>
    <t>Мирнинский у, г. Мирный, пр-кт. Ленинградский, д. 1 кор. 1</t>
  </si>
  <si>
    <t>г. Якутск, ул. Билибина, д. 50</t>
  </si>
  <si>
    <t>Мирнинский у, г. Мирный, ул. Ойунского, д. 13</t>
  </si>
  <si>
    <t>г. Якутск, ул. Воинская, д. 9</t>
  </si>
  <si>
    <t>Мирнинский у, г. Мирный, ул. Ойунского, д. 15</t>
  </si>
  <si>
    <t>Мирнинский у, г. Мирный, ул. Ойунского, д. 21</t>
  </si>
  <si>
    <t>1994</t>
  </si>
  <si>
    <t>Мирнинский у, г. Мирный, ул. Павлова, д. 10</t>
  </si>
  <si>
    <t>г. Якутск, ул. Дзержинского, д. 7</t>
  </si>
  <si>
    <t>1971</t>
  </si>
  <si>
    <t>Мирнинский у, г. Мирный, ул. Советская, д. 13 кор. 1</t>
  </si>
  <si>
    <t>г. Якутск, ул. Дзержинского, д. 8</t>
  </si>
  <si>
    <t>1976</t>
  </si>
  <si>
    <t>Мирнинский у, г. Мирный, ул. Советская, д. 15 кор. 1</t>
  </si>
  <si>
    <t>Мирнинский у, г. Мирный, ул. Советская, д. 19</t>
  </si>
  <si>
    <t>г. Якутск, ул. Дзержинского, д. 12 кор. 3</t>
  </si>
  <si>
    <t>Мирнинский у, г. Мирный, ул. Советская, д. 7</t>
  </si>
  <si>
    <t>г. Якутск, ул. Дзержинского, д. 13 кор. 1</t>
  </si>
  <si>
    <t>Мирнинский у, г. Мирный, ул. Солдатова, д. 6</t>
  </si>
  <si>
    <t>г. Якутск, ул. Дзержинского, д. 16</t>
  </si>
  <si>
    <t>1963</t>
  </si>
  <si>
    <t>Мирнинский у, г. Мирный, ул. Солдатова, д. 3</t>
  </si>
  <si>
    <t>Мирнинский у, г. Мирный, ул. Тихонова, д. 12 кор. 2</t>
  </si>
  <si>
    <t>г. Якутск, ул. Дзержинского, д. 20 кор. 2</t>
  </si>
  <si>
    <t>Мирнинский у, г. Мирный, ул. Тихонова, д. 8</t>
  </si>
  <si>
    <t>г. Якутск, ул. Дзержинского, д. 40</t>
  </si>
  <si>
    <t>г. Якутск, ул. Дзержинского, д. 40 кор. 1</t>
  </si>
  <si>
    <t>1973</t>
  </si>
  <si>
    <t>Мирнинский у, п. Светлый, ул. Вилюйская, д. 1</t>
  </si>
  <si>
    <t>Мирнинский у, п. Светлый, ул. Вилюйская, д. 2</t>
  </si>
  <si>
    <t>г. Якутск, ул. Каландаришвили, д. 40 кор. 6</t>
  </si>
  <si>
    <t>МО "Ленский наслег"</t>
  </si>
  <si>
    <t>Намский у, Ленский н-г, с. Намцы, ул. Ржевская, д. 5</t>
  </si>
  <si>
    <t>г. Якутск, ул. Короленко, д. 7</t>
  </si>
  <si>
    <t>г. Якутск, ул. Кузьмина, д. 10</t>
  </si>
  <si>
    <t>г. Якутск, ул. Кулаковского, д. 30</t>
  </si>
  <si>
    <t>МО "Город Олекминск"</t>
  </si>
  <si>
    <t>Олекминский у, г. Олёкминск, ул. Калинина, д. 2</t>
  </si>
  <si>
    <t>МО "Поселок Хандыга"</t>
  </si>
  <si>
    <t>Томпонский у, п Хандыга, п. Хандыга, ул. Лесная, д. 16</t>
  </si>
  <si>
    <t>г. Якутск, ул. Лермонтова, д. 29</t>
  </si>
  <si>
    <t>Томпонский у, п Хандыга, п. Хандыга, ул. П.Алексеева, д. 4</t>
  </si>
  <si>
    <t>г. Якутск, ул. Лермонтова, д. 58 кор. 2</t>
  </si>
  <si>
    <t>Томпонский у, п Хандыга, п. Хандыга, ул. П.Алексеева, д. 6</t>
  </si>
  <si>
    <t>МО "Поселок Депутатский" спецсчет</t>
  </si>
  <si>
    <t>Усть-Янский у, п. Депутатский, мкр. Арктика, д. 11</t>
  </si>
  <si>
    <t>г. Якутск, ул. Лермонтова, д. 92 кор. 2</t>
  </si>
  <si>
    <t>Усть-Янский у, п. Депутатский, мкр. Арктика, д. 13</t>
  </si>
  <si>
    <t>г. Якутск, ул. Лермонтова, д. 94 кор.3</t>
  </si>
  <si>
    <t>Усть-Янский у, п. Депутатский, мкр. Арктика, д. 15</t>
  </si>
  <si>
    <t>1992</t>
  </si>
  <si>
    <t>г. Якутск, ул. Маяковского, д. 98</t>
  </si>
  <si>
    <t>Усть-Янский у, п. Депутатский, мкр. Арктика, д. 2</t>
  </si>
  <si>
    <t>г. Якутск, ул. Можайского, д. 15</t>
  </si>
  <si>
    <t>Усть-Янский у, п. Депутатский, мкр. Арктика, д. 21</t>
  </si>
  <si>
    <t>Усть-Янский у, п. Депутатский, мкр. Арктика, д. 22</t>
  </si>
  <si>
    <t>г. Якутск, ул. Можайского, д. 17 кор. 1</t>
  </si>
  <si>
    <t>Усть-Янский у, п. Депутатский, мкр. Арктика, д. 23</t>
  </si>
  <si>
    <t>г. Якутск, ул. Можайского, д. 19</t>
  </si>
  <si>
    <t>1964</t>
  </si>
  <si>
    <t>Усть-Янский у, п. Депутатский, мкр. Арктика, д. 25</t>
  </si>
  <si>
    <t>г. Якутск, ул. Можайского, д. 19 кор. 3</t>
  </si>
  <si>
    <t>Усть-Янский у, п. Депутатский, мкр. Арктика, д. 24</t>
  </si>
  <si>
    <t>Усть-Янский у, п. Депутатский, мкр. Арктика, д. 8</t>
  </si>
  <si>
    <t>Хангаласский у, г. Покровск, ул. Орджоникидзе, д. 18</t>
  </si>
  <si>
    <t>г. Якутск, ул. Ново-Карьерная, д. 20 кор. 1</t>
  </si>
  <si>
    <t>Хангаласский у, г. Покровск, ул. Орджоникидзе, д. 38</t>
  </si>
  <si>
    <t>г. Якутск, ул. Ново-Карьерная, д. 20 кор. 2</t>
  </si>
  <si>
    <t>Хангаласский у, п. Мохсоголлох, ул. Военный городок, д. 7</t>
  </si>
  <si>
    <t>г. Якутск, ул. Ойунского, д. 20 кор. 1</t>
  </si>
  <si>
    <t>Хангаласский у, п. Мохсоголлох, ул. Молодежная, д. 18</t>
  </si>
  <si>
    <t>Хангаласский у, п. Мохсоголлох, ул. Соколиная, д. 1</t>
  </si>
  <si>
    <t>Хангаласский у, п. Мохсоголлох, ул. Советская, д. 5</t>
  </si>
  <si>
    <t>г. Якутск, ул. Октябрьская, д. 18</t>
  </si>
  <si>
    <t>Хангаласский у, п. Мохсоголлох, ул. Соколиная, д. 5</t>
  </si>
  <si>
    <t>г. Якутск, ул. Орджоникидзе, д. 7 кор. 2</t>
  </si>
  <si>
    <t>Хангаласский у, п. Мохсоголлох, ул. Соколиная, д. 7</t>
  </si>
  <si>
    <t>Хангаласский у, п. Мохсоголлох, ул. Соколиная, д. 8</t>
  </si>
  <si>
    <t>Хангаласский у, п. Мохсоголлох, ул. Соколиная, д. 10</t>
  </si>
  <si>
    <t>г. Якутск, ул. Орджоникидзе, д. 39</t>
  </si>
  <si>
    <t>1970</t>
  </si>
  <si>
    <t>Хангаласский у, п. Мохсоголлох, ул. Соколиная, д. 17</t>
  </si>
  <si>
    <t>г. Якутск, ул. Орджоникидзе, д. 44</t>
  </si>
  <si>
    <t>Хангаласский у, п. Мохсоголлох, ул. Соколиная, д. 19</t>
  </si>
  <si>
    <t>г. Якутск, ул. Орджоникидзе, д. 44 кор. 1</t>
  </si>
  <si>
    <t>Хангаласский у, п. Мохсоголлох, ул. Соколиная, д. 20</t>
  </si>
  <si>
    <t>г. Якутск, ул. Стадухина, д. 84 кор. 1 ЧС</t>
  </si>
  <si>
    <t>МО "Мюрюнский наслег"</t>
  </si>
  <si>
    <t>Усть-Алданский у, Мюрюнский н-г, с. Борогонцы, ул. Ленина, д. 34 ЧС</t>
  </si>
  <si>
    <t>2011</t>
  </si>
  <si>
    <t>г. Якутск, ул. Петра Алексеева, д. 73 кор. 2</t>
  </si>
  <si>
    <t>Усть-Алданский у, Мюрюнский н-г, с. Борогонцы, ул. Лонгинова, д. 37 кор.1 ЧС</t>
  </si>
  <si>
    <t>2013</t>
  </si>
  <si>
    <t>г. Якутск, ул. Пояркова, д. 8</t>
  </si>
  <si>
    <t>п. Беркакит (г Нерюнгри), ул. Бочкарева, д. 4 кор. 1</t>
  </si>
  <si>
    <t>п. Беркакит (г Нерюнгри), ул. Бочкарева, д. 4 кор. 2</t>
  </si>
  <si>
    <t>г. Якутск, ул. Федора Попова, д. 14 кор. 4</t>
  </si>
  <si>
    <t>1981</t>
  </si>
  <si>
    <t>г. Якутск, ул. Хабарова, д. 19</t>
  </si>
  <si>
    <t>г. Якутск, ул. Хабарова, д. 27 кор.1</t>
  </si>
  <si>
    <t>1972</t>
  </si>
  <si>
    <t>1983</t>
  </si>
  <si>
    <t>г. Якутск, ул. Хабарова, д. 27 кор.3</t>
  </si>
  <si>
    <t>г. Нерюнгри, пр-кт. Дружбы Народов, д. 8 кор. 1</t>
  </si>
  <si>
    <t>г. Якутск, ул. Халтурина, д. 2</t>
  </si>
  <si>
    <t>1977</t>
  </si>
  <si>
    <t>г. Якутск, ул. Халтурина, д. 6 кор. 1</t>
  </si>
  <si>
    <t>г. Нерюнгри, пр-кт. Ленина, д. 1</t>
  </si>
  <si>
    <t>г. Нерюнгри, пр-кт. Мира, д. 21 кор. 1</t>
  </si>
  <si>
    <t>г. Якутск, ул. Чернышевского, д. 8 корп.1</t>
  </si>
  <si>
    <t>г. Якутск, ул. Чернышевского, д. 12</t>
  </si>
  <si>
    <t>г. Якутск, ул. Чиряева, д. 1</t>
  </si>
  <si>
    <t>г. Нерюнгри, ул. Тимптонская, д. 7 кор. 2</t>
  </si>
  <si>
    <t>г. Якутск, ул. Якова Потапова, д. 6</t>
  </si>
  <si>
    <t>г. Якутск, ул. Якова Потапова, д. 6 корп.1</t>
  </si>
  <si>
    <t>г. Якутск, ул. Ярославского, д. 4</t>
  </si>
  <si>
    <t>г. Нерюнгри, ул. Чурапчинская, д. 50</t>
  </si>
  <si>
    <t>г. Нерюнгри, ул. Южно-Якутская, д. 30</t>
  </si>
  <si>
    <t>г. Якутск, ул. Ярославского, д. 13</t>
  </si>
  <si>
    <t>г. Якутск, мкр. Кангалассы, ул. Комсомольская, д. 3А</t>
  </si>
  <si>
    <t>г. Якутск, с. Маган, ул. 40 лет Победы, д. 60</t>
  </si>
  <si>
    <t>г. Якутск, ш. Сергеляхское 13 км, д. 1</t>
  </si>
  <si>
    <t>г. Якутск, с. Хатассы, ул. Каландарашвили, д. 4</t>
  </si>
  <si>
    <t>МО "Поселок Белая Гора"</t>
  </si>
  <si>
    <t>Абыйский у, п. Белая Гора, ул. Строителей, д. 11 кор.2</t>
  </si>
  <si>
    <t>1986</t>
  </si>
  <si>
    <t>Дерево</t>
  </si>
  <si>
    <t>г. Якутск, с. Хатассы, ул. Каландарашвили, д. 4 кор. 1</t>
  </si>
  <si>
    <t>Алданский у, г. Алдан, ул. Пролетарская, д. 49</t>
  </si>
  <si>
    <t>г. Якутск, с. Хатассы, ул. Ленина, д. 67</t>
  </si>
  <si>
    <t>Алданский у, г. Томмот, пер. Якутский, д. 13</t>
  </si>
  <si>
    <t>г. Якутск, с. Хатассы, ул. Ленина, д. 67 кор. 1</t>
  </si>
  <si>
    <t>г. Якутск, мкр. 202-й, д. 16</t>
  </si>
  <si>
    <t>1997</t>
  </si>
  <si>
    <t>г. Якутск, мкр. 202-й, д. 19</t>
  </si>
  <si>
    <t>МО "Поселок Ленинский"</t>
  </si>
  <si>
    <t>Алданский у, п. Лебединый, ул. Карла Маркса, д. 20 кор. А</t>
  </si>
  <si>
    <t>г. Якутск, пр-кт. Ленина, д. 21</t>
  </si>
  <si>
    <t>Алданский у, п. Лебединый, ул. Октябрьская, д. 36</t>
  </si>
  <si>
    <t>г. Якутск, пр-кт. Ленина, д. 36</t>
  </si>
  <si>
    <t>Алданский у, п. Нижний Куранах, пер. Школьный, д. 4</t>
  </si>
  <si>
    <t>Алданский у, п. Нижний Куранах, пер. Школьный, д. 6</t>
  </si>
  <si>
    <t>г. Якутск, пр. Михаила Николаева, д. 28 кор. 15</t>
  </si>
  <si>
    <t>Алданский у, п. Нижний Куранах, ул. Строительная, д. 10</t>
  </si>
  <si>
    <t>Алданский у, п. Нижний Куранах, ул. Строительная, д. 12</t>
  </si>
  <si>
    <t>Алданский у, п. Нижний Куранах, ул. Строительная, д. 16</t>
  </si>
  <si>
    <t>Алданский у, п. Нижний Куранах, ул. Школьная, д. 15</t>
  </si>
  <si>
    <t>Алданский у, п. Нижний Куранах, ул. Школьная, д. 21</t>
  </si>
  <si>
    <t>Алданский у, п. Нижний Куранах, ул. Школьная, д. 23</t>
  </si>
  <si>
    <t>г. Якутск, ул. Дзержинского, д. 19</t>
  </si>
  <si>
    <t>Булунский у, п. Тикси 3-й, ул. Полярной Авиации, д. 8</t>
  </si>
  <si>
    <t>г. Якутск, ул. Дзержинского, д. 22 кор. 6</t>
  </si>
  <si>
    <t>Булунский у, п. Тикси, ул. Гагарина, д. 8а</t>
  </si>
  <si>
    <t>Булунский у, п. Тикси, ул. Ленинская, д. 2а</t>
  </si>
  <si>
    <t>Булунский у, п. Тикси, ул. Ленинская, д. 21</t>
  </si>
  <si>
    <t>г. Якутск, ул. Дзержинского, д. 7 кор. 1</t>
  </si>
  <si>
    <t>Булунский у, п. Тикси, ул. Морская, д. 18</t>
  </si>
  <si>
    <t>Булунский у, п. Тикси, ул. Морская, д. 32</t>
  </si>
  <si>
    <t>г. Якутск, ул. Дзержинского, д. 8 кор. 3</t>
  </si>
  <si>
    <t>г. Якутск, ул. Каландаришвили, д. 25 кор. 6</t>
  </si>
  <si>
    <t>Булунский у, п. Тикси, ул. Морская, д. 33а</t>
  </si>
  <si>
    <t>г. Якутск, ул. Каландаришвили, д. 40 кор. 5</t>
  </si>
  <si>
    <t>Булунский у, п. Тикси, ул. Трусова, д. 3</t>
  </si>
  <si>
    <t>Ленский у, г. Ленск, ул. Дзержинского, д. 21</t>
  </si>
  <si>
    <t>г. Якутск, ул. Каландаришвили, д. 40 кор. 8</t>
  </si>
  <si>
    <t>Ленский у, г. Ленск, ул. Ленина, д. 73</t>
  </si>
  <si>
    <t>г. Якутск, ул. Кальвица, д. 5</t>
  </si>
  <si>
    <t>г. Якутск, ул. Кирова, д. 34</t>
  </si>
  <si>
    <t>Ленский у, г. Ленск, ул. Ойунского, д. 28</t>
  </si>
  <si>
    <t>Ленский у, г. Ленск, ул. Орджоникидзе, д. 18</t>
  </si>
  <si>
    <t>г. Якутск, ул. Кузьмина, д. 34</t>
  </si>
  <si>
    <t>г. Якутск, ул. Лермонтова, д. 20</t>
  </si>
  <si>
    <t>Ленский у, г. Ленск, ул. Орджоникидзе, д. 20</t>
  </si>
  <si>
    <t>г. Якутск, ул. Лермонтова, д. 22</t>
  </si>
  <si>
    <t>Ленский у, г. Ленск, ул. Первомайская, д. 5</t>
  </si>
  <si>
    <t>г. Якутск, ул. Лермонтова, д. 27 кор. 1</t>
  </si>
  <si>
    <t>Ленский у, г. Ленск, ул. Первомайская, д. 9</t>
  </si>
  <si>
    <t>Ленский у, г. Ленск, ул. Первомайская, д. 18</t>
  </si>
  <si>
    <t>Ленский у, г. Ленск, ул. Первомайская, д. 20</t>
  </si>
  <si>
    <t>г. Якутск, ул. Можайского, д. 17 кор. 4</t>
  </si>
  <si>
    <t>Мирнинский у, г. Мирный, ул. Аммосова, д. 96 кор. 1</t>
  </si>
  <si>
    <t>Мирнинский у, г. Мирный, ул. Аммосова, д. 98 кор. 1</t>
  </si>
  <si>
    <t>г. Якутск, ул. Ойунского, д. 41</t>
  </si>
  <si>
    <t>Мирнинский у, г. Мирный, ул. Комсомольская, д. 25</t>
  </si>
  <si>
    <t>Мирнинский у, г. Мирный, ул. Комсомольская, д. 25 кор. а</t>
  </si>
  <si>
    <t>Мирнинский у, г. Мирный, ул. Комсомольская, д. 29</t>
  </si>
  <si>
    <t>г. Якутск, ул. Петра Алексеева, д. 12</t>
  </si>
  <si>
    <t>Мирнинский у, г. Мирный, ул. Ленина, д. 4 кор. 2</t>
  </si>
  <si>
    <t>г. Якутск, ул. Петра Алексеева, д. 12 кор. 1</t>
  </si>
  <si>
    <t>Мирнинский у, г. Мирный, ул. Ленина, д. 38</t>
  </si>
  <si>
    <t>г. Якутск, ул. Петра Алексеева, д. 12 кор. 2</t>
  </si>
  <si>
    <t>Мирнинский у, г. Мирный, ул. Московская, д. 4</t>
  </si>
  <si>
    <t>г. Якутск, ул. Петра Алексеева, д. 4 кор. 1</t>
  </si>
  <si>
    <t>г. Якутск, ул. Петра Алексеева, д. 4 кор. 2</t>
  </si>
  <si>
    <t>г. Якутск, ул. Петра Алексеева, д. 4 кор. 3</t>
  </si>
  <si>
    <t>г. Якутск, ул. Петра Алексеева, д. 8</t>
  </si>
  <si>
    <t>Мирнинский у, г. Мирный, ул. Солдатова, д. 2 кор. 1</t>
  </si>
  <si>
    <t>Мирнинский у, г. Мирный, ш. 50 лет Октября, д. 1</t>
  </si>
  <si>
    <t>Мирнинский у, г. Мирный, ш. 50 лет Октября, д. 14 кор.1</t>
  </si>
  <si>
    <t>1995</t>
  </si>
  <si>
    <t>Мирнинский у, п. Светлый, ул. Гидростроителей, д. 1</t>
  </si>
  <si>
    <t>Мирнинский у, п. Светлый, ул. Гидростроителей, д. 3</t>
  </si>
  <si>
    <t>г. Якутск, ул. Семена Данилова, д. 4 кор. 2</t>
  </si>
  <si>
    <t>МО "Поселок Чернышевский"</t>
  </si>
  <si>
    <t>Мирнинский у, п. Чернышевский, ул. Космонавтов, д. 10/2</t>
  </si>
  <si>
    <t>г. Якутск, ул. Стадухина, д. 80</t>
  </si>
  <si>
    <t>Нюрбинский у, г. Нюрба, кв-л. Энергетик, д. 67 кор. 1</t>
  </si>
  <si>
    <t>г. Якутск, ул. Федора Попова, д. 14 кор. 1</t>
  </si>
  <si>
    <t>Нюрбинский у, г. Нюрба, кв-л. Энергетик, д. 71</t>
  </si>
  <si>
    <t>г. Якутск, ул. Хабарова, д. 3</t>
  </si>
  <si>
    <t>Нюрбинский у, г. Нюрба, кв-л. Энергетик, д. 73</t>
  </si>
  <si>
    <t>г. Якутск, ул. Хабарова, д. 9</t>
  </si>
  <si>
    <t>Нюрбинский у, г. Нюрба, кв-л. Энергетик, д. 75</t>
  </si>
  <si>
    <t>МО "Поселок Усть-Нера"</t>
  </si>
  <si>
    <t>Оймяконский у, п Усть-Нера, ул. Мацкепладзе, д. 20</t>
  </si>
  <si>
    <t>Оймяконский у, п Усть-Нера, ул. Молодежная, д. 3</t>
  </si>
  <si>
    <t>1985</t>
  </si>
  <si>
    <t>Томпонский у, п Хандыга, п. Хандыга, ул. П.Алексеева, д. 2</t>
  </si>
  <si>
    <t>г. Якутск, ул. Халтурина, д. 6</t>
  </si>
  <si>
    <t>МО "Поселок Солнечный"</t>
  </si>
  <si>
    <t>Усть-Майский у, п. Солнечный, ул. Профсоюзов, д. 6</t>
  </si>
  <si>
    <t>МО "Поселок Эльдикан"</t>
  </si>
  <si>
    <t>Усть-Майский у, п. Эльдикан, ул. Алданская, д. 81</t>
  </si>
  <si>
    <t>г. Якутск, ул. Чернышевского, д. 12 кор.1</t>
  </si>
  <si>
    <t>Усть-Майский у, п. Эльдикан, ул. Куйбышева, д. 30</t>
  </si>
  <si>
    <t>Усть-Майский у, п. Эльдикан, ул. Куйбышева, д. 34</t>
  </si>
  <si>
    <t>Усть-Майский у, п. Эльдикан, ул. Победы, д. 1</t>
  </si>
  <si>
    <t>Усть-Майский у, п. Эльдикан, ул. Рабочая, д. 8</t>
  </si>
  <si>
    <t>г. Якутск, ул. Ярославского, д. 7</t>
  </si>
  <si>
    <t>Усть-Майский у, п. Эльдикан, ул. Рабочая, д. 12</t>
  </si>
  <si>
    <t>Хангаласский у, п. Мохсоголлох, ул. Соколиная, д. 2</t>
  </si>
  <si>
    <t>г. Якутск, ул. Ярославского, д. 19 кор. 1</t>
  </si>
  <si>
    <t>Хангаласский у, п. Мохсоголлох, ул. Соколиная, д. 16</t>
  </si>
  <si>
    <t>г. Якутск, ул. Ярославского, д. 32</t>
  </si>
  <si>
    <t>Хангаласский у, п. Мохсоголлох, ул. Соколиная, д. 22</t>
  </si>
  <si>
    <t>Алданский у, г. Алдан, ул. Алданская, д. 13</t>
  </si>
  <si>
    <t>Алданский у, г. Алдан, ул. Алданская, д. 20</t>
  </si>
  <si>
    <t>МО "Чурапчинский наслег"</t>
  </si>
  <si>
    <t>Чурапчинский у, Чурапчинский н-г, с. Чурапча, ул. Ленина, д. 39</t>
  </si>
  <si>
    <t>Алданский у, г. Алдан, ул. Гагарина, д. 5</t>
  </si>
  <si>
    <t>г. Якутск, пр-кт. Ленина, д. 34 ЧС</t>
  </si>
  <si>
    <t>Алданский у, г. Томмот, ул. Нагорная, д. 19</t>
  </si>
  <si>
    <t>г. Якутск, ул. 50 лет Советской Армии, д. 6 ЧС</t>
  </si>
  <si>
    <t>Алданский у, п. Нижний Куранах, мкр. 1-й, д. 10</t>
  </si>
  <si>
    <t>Авансы северным районам**</t>
  </si>
  <si>
    <t>Алданский у, п. Нижний Куранах, ул. Строительная, д. 1-в</t>
  </si>
  <si>
    <t>Абыйский у, п. Белая Гора, ул. Строителей, д. 11 кор.1</t>
  </si>
  <si>
    <t>Булунский у, п. Тикси, ул. Ленинская, д. 17</t>
  </si>
  <si>
    <t xml:space="preserve">Финансово необеспеченные МКД </t>
  </si>
  <si>
    <t>Булунский у, п. Тикси, ул. Трусова, д. 2</t>
  </si>
  <si>
    <t>Верхнеколымский у, п. Зырянка, ул. Леликова, д. 8*</t>
  </si>
  <si>
    <t>Ленский у, г. Ленск, ул. Дзержинского, д. 19</t>
  </si>
  <si>
    <t>г. Нерюнгри, пр-кт. Мира, д. 3</t>
  </si>
  <si>
    <t>Ленский у, г. Ленск, ул. Дзержинского, д. 25</t>
  </si>
  <si>
    <t>Ленский у, г. Ленск, ул. Ленина, д. 66</t>
  </si>
  <si>
    <t>Ленский у, г. Ленск, ул. Ленина, д. 71</t>
  </si>
  <si>
    <t>г. Нерюнгри, ул. Карла Маркса, д. 25 кор. 1</t>
  </si>
  <si>
    <t>Ленский у, г. Ленск, ул. Ойунского, д. 23 кор.А</t>
  </si>
  <si>
    <t>г. Нерюнгри, ул. Южно-Якутская, д. 25 кор. 1</t>
  </si>
  <si>
    <t>Ленский у, г. Ленск, ул. Первомайская, д. 10</t>
  </si>
  <si>
    <t>Ленский у, г. Ленск, ул. Пролетарская, д. 3</t>
  </si>
  <si>
    <t>Ленский у, г. Ленск, ул. Пролетарская, д. 5</t>
  </si>
  <si>
    <t>Оймяконский у, п Усть-Нера, ул. Андрианова, д. 2</t>
  </si>
  <si>
    <t>Оймяконский у, п Усть-Нера, ул. Андрианова, д. 6</t>
  </si>
  <si>
    <t>Булунский у, п. Тикси, ул. Академика Федорова, д. 28а</t>
  </si>
  <si>
    <t>Оймяконский у, п Усть-Нера, ул. Ленина, д. 27</t>
  </si>
  <si>
    <t>Булунский у, п. Тикси, ул. Гагарина, д. 3</t>
  </si>
  <si>
    <t>Оймяконский у, п Усть-Нера, ул. Молодежная, д. 2</t>
  </si>
  <si>
    <t>Томпонский у, п Хандыга, п. Хандыга, ул. Геолога Кудрявого, д. 32</t>
  </si>
  <si>
    <t>Булунский у, п. Тикси, ул. Трусова, д. 5</t>
  </si>
  <si>
    <t>Томпонский у, п Хандыга, п. Хандыга, ул. Магаданская, д. 30</t>
  </si>
  <si>
    <t>Булунский у, п. Тикси, ул. Трусова, д. 9</t>
  </si>
  <si>
    <t>Булунский у, п. Тикси, ул. Трусова, д. 11</t>
  </si>
  <si>
    <t>Булунский у, п. Тикси, ул. Трусова, д. 14</t>
  </si>
  <si>
    <t>Хангаласский у, г. Покровск, ул. Братьев Ксенофонтовых, д. 10</t>
  </si>
  <si>
    <t>ГП "Город Покровск"</t>
  </si>
  <si>
    <t>Хангаласский у, г. Покровск, ул. Орджоникидзе, д. 22</t>
  </si>
  <si>
    <t>Хангаласский у, г. Покровск, ул. Таежная, д. 2</t>
  </si>
  <si>
    <t>Хангаласский у, г. Покровск, ул. Таежная, д. 3</t>
  </si>
  <si>
    <t>Мирнинский у, г. Мирный, ул. Ленина, д. 23</t>
  </si>
  <si>
    <t>Хангаласский у, г. Покровск, ул. Таежная, д. 5</t>
  </si>
  <si>
    <t>Мирнинский у, г. Мирный, ул. Ленина, д. 34</t>
  </si>
  <si>
    <t>Хангаласский у, п. Мохсоголлох, ул. Соколиная, д. 13</t>
  </si>
  <si>
    <t>Мирнинский у, г. Мирный, ул. Советская, д. 3</t>
  </si>
  <si>
    <t>СП "Немюгюнский наслег"</t>
  </si>
  <si>
    <t>Хангаласский у, Немюгинский н-г, с. Ой, ул. Горького, д. 22</t>
  </si>
  <si>
    <t>г. Якутск, ул. Сергеляхское ш. 12 км., д. 9 ЧС</t>
  </si>
  <si>
    <t>2016</t>
  </si>
  <si>
    <t>г. Якутск, пр-кт. Ленина, д. 25 ЧС</t>
  </si>
  <si>
    <t>г. Нерюнгри, ул. Карла Маркса, д. 19 кор. 1</t>
  </si>
  <si>
    <t>г. Якутск, ул. Кузьмина, д. 29, кор. 4 ЧС</t>
  </si>
  <si>
    <t>г. Якутск, ул. Хабарова, д. 23 кор.1</t>
  </si>
  <si>
    <t>г. Нерюнгри, пр-кт. Дружбы Народов, д. 10 кор. 1</t>
  </si>
  <si>
    <t>г. Нерюнгри, пр-кт. Дружбы Народов, д. 29 кор. 2</t>
  </si>
  <si>
    <t>Алданский у, п. Ленинский, ул. Карла Маркса, д. 16</t>
  </si>
  <si>
    <t>Ленский у, г. Ленск, ул. Победы, д. 19 кор.А</t>
  </si>
  <si>
    <t>2008</t>
  </si>
  <si>
    <t>г. Нерюнгри, ул. Аммосова, д. 12</t>
  </si>
  <si>
    <t>Ленский у, г. Ленск, ул. Портовская, д. 24</t>
  </si>
  <si>
    <t>Мирнинский у, г. Мирный, пр-кт. Ленинградский, д. 19</t>
  </si>
  <si>
    <t>Мирнинский у, г. Мирный, ул. Ленина, д. 11</t>
  </si>
  <si>
    <t>г. Нерюнгри, ул. Лужников, д. 3</t>
  </si>
  <si>
    <t>Мирнинский у, г. Мирный, ул. Ленина, д. 12</t>
  </si>
  <si>
    <t>г. Нерюнгри, ул. Лужников, д. 3 кор. 1</t>
  </si>
  <si>
    <t>Мирнинский у, г. Мирный, ул. Ленина, д. 21</t>
  </si>
  <si>
    <t>Мирнинский у, г. Мирный, ул. Ленина, д. 35</t>
  </si>
  <si>
    <t>г. Нерюнгри, ул. Тимптонская, д. 1</t>
  </si>
  <si>
    <t>Мирнинский у, г. Мирный, ул. Московская, д. 6</t>
  </si>
  <si>
    <t>Мирнинский у, г. Мирный, ул. Московская, д. 8</t>
  </si>
  <si>
    <t>Мирнинский у, г. Мирный, ул. Московская, д. 10</t>
  </si>
  <si>
    <t>г. Нерюнгри, ул. Чурапчинская, д. 39</t>
  </si>
  <si>
    <t>Мирнинский у, г. Мирный, ул. Ойунского, д. 41</t>
  </si>
  <si>
    <t>Мирнинский у, г. Мирный, ул. Советская, д. 5</t>
  </si>
  <si>
    <t>г. Якутск, мкр. Кангалассы, ул. 26 партсъезда, д. 2</t>
  </si>
  <si>
    <t>Мирнинский у, г. Мирный, ул. Советская, д. 8</t>
  </si>
  <si>
    <t>Мирнинский у, г. Мирный, ул. Советская, д. 15 кор. 2</t>
  </si>
  <si>
    <t>Мирнинский у, г. Мирный, ул. Советская, д. 21</t>
  </si>
  <si>
    <t>Мирнинский у, г. Мирный, ул. Солдатова, д. 16</t>
  </si>
  <si>
    <t>Мирнинский у, г. Мирный, ул. Тихонова, д. 14</t>
  </si>
  <si>
    <t>г. Якутск, ул. Горького, д. 94</t>
  </si>
  <si>
    <t>Мирнинский у, г. Мирный, ул. Тихонова, д. 29 кор. 1</t>
  </si>
  <si>
    <t>Мирнинский у, г. Мирный, ул. Тихонова, д. 29 кор. 2</t>
  </si>
  <si>
    <t>Мирнинский у, г. Мирный, ул. Тихонова, д. 29 кор. 3</t>
  </si>
  <si>
    <t>Мирнинский у, г. Мирный, ул. Тихонова, д. 29/4</t>
  </si>
  <si>
    <t>Мирнинский у, г. Мирный, ш. 50 лет Октября, д. 16 кор. 1</t>
  </si>
  <si>
    <t>Мирнинский у, п. Светлый, ул. Гидростроителей, д. 2</t>
  </si>
  <si>
    <t>г. Нерюнгри, ул. Аммосова, д. 14</t>
  </si>
  <si>
    <t>Мирнинский у, г. Мирный, ул. Советская, д. 11 кор. 2</t>
  </si>
  <si>
    <t>г. Якутск, ул. Лермонтова, д. 29 кор. 1</t>
  </si>
  <si>
    <t>п. Беркакит (г Нерюнгри), ул. Бочкарева, д. 6</t>
  </si>
  <si>
    <t>г. Нерюнгри, пр-кт. Ленина, д. 7</t>
  </si>
  <si>
    <t>г. Якутск, ул. Орджоникидзе, д. 46 кор. 1</t>
  </si>
  <si>
    <t>г. Нерюнгри, ул. им Кравченко, д. 17 кор. 2</t>
  </si>
  <si>
    <t>г. Нерюнгри, ул. им Кравченко, д. 18</t>
  </si>
  <si>
    <t>г. Нерюнгри, ул. им Кравченко, д. 19 кор. 3</t>
  </si>
  <si>
    <t>г. Нерюнгри, ул. Тимптонская, д. 3 кор. 1</t>
  </si>
  <si>
    <t>г. Якутск, ул. Хабарова, д. 7</t>
  </si>
  <si>
    <t>г. Якутск, ул. Кузьмина, д. 16 кор. 1</t>
  </si>
  <si>
    <t>г. Якутск, ул. Лермонтова, д. 138 кор.2</t>
  </si>
  <si>
    <t>г. Якутск, ул. Лермонтова, д. 138 кор.3</t>
  </si>
  <si>
    <t>г. Якутск, ул. Лермонтова, д. 138 кор.4</t>
  </si>
  <si>
    <t>ГП "Поселок Чульман" спецсчет</t>
  </si>
  <si>
    <t>п. Чульман (г Нерюнгри), ул. Советская, д. 79 СПЕЦСЧЕТ</t>
  </si>
  <si>
    <t>г. Нерюнгри, пр-кт. Геологов, д. 55 СПЕЦСЧЕТ</t>
  </si>
  <si>
    <t>г. Нерюнгри, пр-кт. Геологов, д. 67 СПЕЦСЧЕТ</t>
  </si>
  <si>
    <t>г. Нерюнгри, пр-кт. Дружбы Народов, д. 6 СПЕЦСЧЕТ</t>
  </si>
  <si>
    <t>г. Нерюнгри, пр-кт. Ленина, д. 21 кор. 1 СПЕЦСЧЕТ</t>
  </si>
  <si>
    <t>г. Нерюнгри, пр-кт. Ленина, д. 25 кор. 1 СПЕЦСЧЕТ</t>
  </si>
  <si>
    <t>МО "Город Нерюнгри" спецчсет</t>
  </si>
  <si>
    <t>г. Нерюнгри, ул. Аммосова, д. 10 СПЕЦСЧЕТ</t>
  </si>
  <si>
    <t>г. Нерюнгри, ул. Аммосова, д. 8 кор. 2 СПЕЦСЧЕТ</t>
  </si>
  <si>
    <t>г. Нерюнгри, ул. Карла Маркса, д. 3 СПЕЦСЧЕТ</t>
  </si>
  <si>
    <t>г. Нерюнгри, ул. Карла Маркса, д. 3 кор. 4 СПЕЦСЧЕТ</t>
  </si>
  <si>
    <t>ГП "Город Нерюнгри" спецсчет</t>
  </si>
  <si>
    <t>г. Нерюнгри, ул. Южно-Якутская, д. 35 СПЕЦСЧЕТ</t>
  </si>
  <si>
    <t>-</t>
  </si>
  <si>
    <t>г. Нерюнгри, ул. Южно-Якутская, д. 41 СПЕЦСЧЕТ</t>
  </si>
  <si>
    <t>г. Нерюнгри, ул. Южно-Якутская, д. 43 СПЕЦСЧЕТ</t>
  </si>
  <si>
    <t>ГО "город Якутск" спецсчет</t>
  </si>
  <si>
    <t>г. Якутск, ул. Белинского, д. 32 СПЕЦСЧЕТ</t>
  </si>
  <si>
    <t>Спецсчет</t>
  </si>
  <si>
    <t>г. Якутск, ул. Билибина, д. 13 СПЕЦСЧЕТ</t>
  </si>
  <si>
    <t>г. Якутск, ул. Курашова, д. 45 СПЕЦСЧЕТ</t>
  </si>
  <si>
    <t>п. Чульман (г Нерюнгри), ул. Советская, д. 56 СПЕЦСЧЕТ</t>
  </si>
  <si>
    <t>г. Якутск, ул. Пояркова, д. 13 СПЕЦСЧЕТ</t>
  </si>
  <si>
    <t xml:space="preserve">К VIII летним Международным спортивным играм «Дети Азии» 
</t>
  </si>
  <si>
    <t>г. Якутск, пр-кт. Ленина, д. 34</t>
  </si>
  <si>
    <t>г. Якутск, пр-кт. Ленина, д. 35</t>
  </si>
  <si>
    <t>г. Якутск, пр-кт. Ленина, д. 10</t>
  </si>
  <si>
    <t>г. Якутск, пр-кт. Ленина, д. 16</t>
  </si>
  <si>
    <t>г. Якутск, пр-кт. Ленина, д. 46</t>
  </si>
  <si>
    <t>г. Якутск, пр-кт, Ленина, д. 21</t>
  </si>
  <si>
    <t>г. Якутск, ул. Губина, д. 37</t>
  </si>
  <si>
    <t>г. Якутск, пр-кт. Ленина, д. 23</t>
  </si>
  <si>
    <t>г. Якутск, ул. Лермонтова, д. 52</t>
  </si>
  <si>
    <t>г. Якутск, пр-кт. Ленина, д. 27/1</t>
  </si>
  <si>
    <t xml:space="preserve">г. Якутск, ул. Можайского, д. 15/2 </t>
  </si>
  <si>
    <t>г. Якутск, пр-кт. Ленина, д. 29</t>
  </si>
  <si>
    <t>г. Якутск, ул. Можайского, д. 17</t>
  </si>
  <si>
    <t>г. Якутск, ул. Петра Алексеева, д. 73/1</t>
  </si>
  <si>
    <t>г. Якутск, ул. Ойунского, д. 6/1</t>
  </si>
  <si>
    <t>г. Якутск, ш. Сергеляхское 12 км., д. 3</t>
  </si>
  <si>
    <t>г. Якутск, ш. Сергеляхское 12 км., д. 7</t>
  </si>
  <si>
    <t>г. Якутск, ш. Сергеляхское 12 км., д. 7/1</t>
  </si>
  <si>
    <t>* - повторяющиеся многоквартирные дома;</t>
  </si>
  <si>
    <t xml:space="preserve">** - 2024 г. по средствам из гос.бюджета отражено с учетом выплаченного аванса в 2024 г. на сумму 4 610 532,40 руб. по следующим МКД: </t>
  </si>
  <si>
    <t>Приложение № 2 к приказу</t>
  </si>
  <si>
    <t>Адресный перечень многоквартирных домов, в отношении которых в 2022-2024 гг. планируется проведение капитального ремонта общего имущества в многоквартирных домах, с разбивкой по видам работ</t>
  </si>
  <si>
    <t>2022-2024 г.г.</t>
  </si>
  <si>
    <t>МО "Поселок Светлый"</t>
  </si>
  <si>
    <t>Финансово обеспеченные МКД</t>
  </si>
  <si>
    <t>ГП "Поселок Хани"</t>
  </si>
  <si>
    <t>МО "поселок Депутатский" спецсчет</t>
  </si>
  <si>
    <t>г. Якутск, ул. Стадухина, д. 84 кор. 1</t>
  </si>
  <si>
    <t>СП "Мюрюнский наслег"</t>
  </si>
  <si>
    <t>г. Якутск, ул. Чернышевского, д. 8 корп. 1</t>
  </si>
  <si>
    <t>г. Якутск,пр. Михаила Николаева, д. 40 кор. 7</t>
  </si>
  <si>
    <t>Финансово необеспеченные МКД</t>
  </si>
  <si>
    <r>
      <rPr>
        <b/>
        <sz val="11"/>
        <color theme="1"/>
        <rFont val="XO Thames"/>
      </rPr>
      <t xml:space="preserve">К VIII летним Международным спортивным играм «Дети Азии» </t>
    </r>
    <r>
      <rPr>
        <sz val="11"/>
        <rFont val="Calibri"/>
        <family val="2"/>
        <charset val="204"/>
      </rPr>
      <t xml:space="preserve">
</t>
    </r>
  </si>
  <si>
    <t>ГП "Поселок Хандыга"</t>
  </si>
  <si>
    <t>МО "Петропавловский национальный наслег"</t>
  </si>
  <si>
    <t>МО "ГП "Поселок Хани""</t>
  </si>
  <si>
    <t>ГО "Город Якутск" спецсчет</t>
  </si>
  <si>
    <t>МО "Поселок Айхал"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</si>
</sst>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0_ ;[Red]\-#,##0.0000\ "/>
    <numFmt numFmtId="165" formatCode="#,##0_ ;[Red]\-#,##0\ "/>
    <numFmt numFmtId="166" formatCode="#\ ##0.00_ ;[Red]\-#\ ##0.00\ "/>
    <numFmt numFmtId="167" formatCode="#,##0.00_ ;[Red]\-#,##0.00\ "/>
    <numFmt numFmtId="168" formatCode="_-* #,##0.00_-;\-* #,##0.00_-;_-* \-??_-;_-@_-"/>
    <numFmt numFmtId="169" formatCode="#,##0.0"/>
    <numFmt numFmtId="170" formatCode="_-* #,##0.00\ _₽_-;\-* #,##0.00\ _₽_-;_-* \-??\ _₽_-;_-@_-"/>
  </numFmts>
  <fonts count="38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2"/>
      <color theme="1"/>
      <name val="Calibri"/>
      <family val="2"/>
      <charset val="204"/>
    </font>
    <font>
      <i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Calibri"/>
      <family val="2"/>
      <charset val="204"/>
    </font>
    <font>
      <sz val="11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XO Thames"/>
    </font>
    <font>
      <b/>
      <sz val="11"/>
      <color rgb="FFC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1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7030A0"/>
      </patternFill>
    </fill>
    <fill>
      <patternFill patternType="solid">
        <fgColor rgb="FFC00000"/>
      </patternFill>
    </fill>
    <fill>
      <patternFill patternType="solid">
        <fgColor rgb="FFFFFF00"/>
      </patternFill>
    </fill>
    <fill>
      <patternFill patternType="solid">
        <fgColor rgb="FF00FF99"/>
      </patternFill>
    </fill>
    <fill>
      <patternFill patternType="solid">
        <fgColor theme="4" tint="0.39988402966399123"/>
        <bgColor indexed="65"/>
      </patternFill>
    </fill>
    <fill>
      <patternFill patternType="solid">
        <fgColor theme="4" tint="0.39976195562608724"/>
        <bgColor indexed="65"/>
      </patternFill>
    </fill>
    <fill>
      <patternFill patternType="solid">
        <fgColor theme="4" tint="0.39991454817346722"/>
        <bgColor indexed="65"/>
      </patternFill>
    </fill>
    <fill>
      <patternFill patternType="solid">
        <fgColor rgb="FFFFC000"/>
      </patternFill>
    </fill>
    <fill>
      <patternFill patternType="solid">
        <fgColor rgb="FF92D050"/>
      </patternFill>
    </fill>
    <fill>
      <patternFill patternType="solid">
        <fgColor rgb="FF663300"/>
      </patternFill>
    </fill>
    <fill>
      <patternFill patternType="solid">
        <fgColor rgb="FFFF33CC"/>
      </patternFill>
    </fill>
    <fill>
      <patternFill patternType="solid">
        <fgColor rgb="FFFFFFFF"/>
      </patternFill>
    </fill>
    <fill>
      <patternFill patternType="solid">
        <fgColor rgb="FFFF0000"/>
      </patternFill>
    </fill>
    <fill>
      <patternFill patternType="solid">
        <fgColor theme="9" tint="0.79989013336588644"/>
        <bgColor indexed="65"/>
      </patternFill>
    </fill>
  </fills>
  <borders count="156"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 diagonalUp="1" diagonalDown="1"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1">
    <xf numFmtId="0" fontId="0" fillId="0" borderId="0" applyFill="0" applyBorder="0"/>
  </cellStyleXfs>
  <cellXfs count="467">
    <xf numFmtId="0" fontId="1" fillId="0" borderId="0" xfId="0" applyNumberFormat="1" applyFont="1"/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3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4" fillId="0" borderId="0" xfId="0" applyNumberFormat="1" applyFont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0" fontId="5" fillId="0" borderId="2" xfId="0" applyNumberFormat="1" applyFont="1" applyBorder="1" applyAlignment="1">
      <alignment vertical="center"/>
    </xf>
    <xf numFmtId="4" fontId="7" fillId="2" borderId="0" xfId="0" applyNumberFormat="1" applyFont="1" applyFill="1" applyAlignment="1">
      <alignment horizontal="center" vertical="center" wrapText="1"/>
    </xf>
    <xf numFmtId="0" fontId="2" fillId="0" borderId="3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4" fontId="1" fillId="0" borderId="0" xfId="0" applyNumberFormat="1" applyFont="1"/>
    <xf numFmtId="4" fontId="8" fillId="2" borderId="0" xfId="0" applyNumberFormat="1" applyFont="1" applyFill="1"/>
    <xf numFmtId="167" fontId="2" fillId="0" borderId="0" xfId="0" applyNumberFormat="1" applyFont="1" applyAlignment="1">
      <alignment vertical="center"/>
    </xf>
    <xf numFmtId="167" fontId="2" fillId="0" borderId="3" xfId="0" applyNumberFormat="1" applyFont="1" applyBorder="1" applyAlignment="1">
      <alignment vertical="center"/>
    </xf>
    <xf numFmtId="167" fontId="3" fillId="2" borderId="0" xfId="0" applyNumberFormat="1" applyFont="1" applyFill="1" applyAlignment="1">
      <alignment vertical="center"/>
    </xf>
    <xf numFmtId="167" fontId="2" fillId="2" borderId="0" xfId="0" applyNumberFormat="1" applyFont="1" applyFill="1" applyAlignment="1">
      <alignment vertical="center"/>
    </xf>
    <xf numFmtId="165" fontId="2" fillId="0" borderId="3" xfId="0" applyNumberFormat="1" applyFont="1" applyBorder="1" applyAlignment="1">
      <alignment vertical="center"/>
    </xf>
    <xf numFmtId="4" fontId="9" fillId="0" borderId="0" xfId="0" applyNumberFormat="1" applyFont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4" fontId="2" fillId="4" borderId="0" xfId="0" applyNumberFormat="1" applyFont="1" applyFill="1" applyAlignment="1">
      <alignment vertical="center"/>
    </xf>
    <xf numFmtId="4" fontId="2" fillId="0" borderId="2" xfId="0" applyNumberFormat="1" applyFont="1" applyBorder="1" applyAlignment="1">
      <alignment vertical="center"/>
    </xf>
    <xf numFmtId="167" fontId="3" fillId="2" borderId="2" xfId="0" applyNumberFormat="1" applyFont="1" applyFill="1" applyBorder="1" applyAlignment="1">
      <alignment vertical="center"/>
    </xf>
    <xf numFmtId="167" fontId="5" fillId="0" borderId="2" xfId="0" applyNumberFormat="1" applyFont="1" applyBorder="1" applyAlignment="1">
      <alignment vertical="center"/>
    </xf>
    <xf numFmtId="167" fontId="13" fillId="2" borderId="2" xfId="0" applyNumberFormat="1" applyFont="1" applyFill="1" applyBorder="1" applyAlignment="1">
      <alignment vertical="center"/>
    </xf>
    <xf numFmtId="167" fontId="5" fillId="2" borderId="2" xfId="0" applyNumberFormat="1" applyFont="1" applyFill="1" applyBorder="1" applyAlignment="1">
      <alignment vertical="center"/>
    </xf>
    <xf numFmtId="0" fontId="2" fillId="0" borderId="4" xfId="0" applyNumberFormat="1" applyFont="1" applyBorder="1" applyAlignment="1">
      <alignment horizontal="center" vertical="center"/>
    </xf>
    <xf numFmtId="168" fontId="2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15" fillId="0" borderId="0" xfId="0" applyNumberFormat="1" applyFont="1" applyAlignment="1">
      <alignment horizontal="center" vertical="center"/>
    </xf>
    <xf numFmtId="4" fontId="5" fillId="3" borderId="2" xfId="0" applyNumberFormat="1" applyFont="1" applyFill="1" applyBorder="1" applyAlignment="1">
      <alignment vertical="center"/>
    </xf>
    <xf numFmtId="4" fontId="15" fillId="0" borderId="0" xfId="0" applyNumberFormat="1" applyFont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167" fontId="5" fillId="5" borderId="4" xfId="0" applyNumberFormat="1" applyFont="1" applyFill="1" applyBorder="1" applyAlignment="1">
      <alignment vertical="center"/>
    </xf>
    <xf numFmtId="4" fontId="15" fillId="2" borderId="0" xfId="0" applyNumberFormat="1" applyFont="1" applyFill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4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167" fontId="13" fillId="2" borderId="0" xfId="0" applyNumberFormat="1" applyFont="1" applyFill="1" applyAlignment="1">
      <alignment vertical="center"/>
    </xf>
    <xf numFmtId="3" fontId="6" fillId="0" borderId="5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>
      <alignment vertical="center" wrapText="1"/>
    </xf>
    <xf numFmtId="4" fontId="6" fillId="0" borderId="24" xfId="0" applyNumberFormat="1" applyFont="1" applyBorder="1" applyAlignment="1">
      <alignment vertical="center" wrapText="1"/>
    </xf>
    <xf numFmtId="4" fontId="6" fillId="0" borderId="25" xfId="0" applyNumberFormat="1" applyFont="1" applyBorder="1" applyAlignment="1">
      <alignment vertical="center" wrapText="1"/>
    </xf>
    <xf numFmtId="167" fontId="2" fillId="0" borderId="2" xfId="0" applyNumberFormat="1" applyFont="1" applyBorder="1" applyAlignment="1">
      <alignment vertical="center"/>
    </xf>
    <xf numFmtId="167" fontId="17" fillId="0" borderId="2" xfId="0" applyNumberFormat="1" applyFont="1" applyBorder="1" applyAlignment="1">
      <alignment vertical="center"/>
    </xf>
    <xf numFmtId="167" fontId="17" fillId="2" borderId="2" xfId="0" applyNumberFormat="1" applyFont="1" applyFill="1" applyBorder="1" applyAlignment="1">
      <alignment vertical="center"/>
    </xf>
    <xf numFmtId="4" fontId="6" fillId="2" borderId="0" xfId="0" applyNumberFormat="1" applyFont="1" applyFill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169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6" fillId="6" borderId="0" xfId="0" applyNumberFormat="1" applyFont="1" applyFill="1" applyAlignment="1">
      <alignment horizontal="center" vertical="center"/>
    </xf>
    <xf numFmtId="0" fontId="6" fillId="6" borderId="96" xfId="0" applyNumberFormat="1" applyFont="1" applyFill="1" applyBorder="1" applyAlignment="1">
      <alignment horizontal="center" vertical="center"/>
    </xf>
    <xf numFmtId="0" fontId="6" fillId="6" borderId="97" xfId="0" applyNumberFormat="1" applyFont="1" applyFill="1" applyBorder="1" applyAlignment="1">
      <alignment horizontal="center" vertical="center"/>
    </xf>
    <xf numFmtId="0" fontId="6" fillId="6" borderId="97" xfId="0" applyNumberFormat="1" applyFont="1" applyFill="1" applyBorder="1" applyAlignment="1">
      <alignment horizontal="center" vertical="center" wrapText="1"/>
    </xf>
    <xf numFmtId="0" fontId="6" fillId="6" borderId="0" xfId="0" applyNumberFormat="1" applyFont="1" applyFill="1" applyAlignment="1">
      <alignment horizontal="center" vertical="center" wrapText="1"/>
    </xf>
    <xf numFmtId="0" fontId="6" fillId="6" borderId="98" xfId="0" applyNumberFormat="1" applyFont="1" applyFill="1" applyBorder="1" applyAlignment="1">
      <alignment horizontal="center" vertical="center" wrapText="1"/>
    </xf>
    <xf numFmtId="0" fontId="6" fillId="6" borderId="0" xfId="0" applyNumberFormat="1" applyFont="1" applyFill="1" applyAlignment="1">
      <alignment horizontal="center" vertical="center" wrapText="1"/>
    </xf>
    <xf numFmtId="0" fontId="6" fillId="6" borderId="99" xfId="0" applyNumberFormat="1" applyFont="1" applyFill="1" applyBorder="1" applyAlignment="1">
      <alignment horizontal="center" vertical="center" wrapText="1"/>
    </xf>
    <xf numFmtId="3" fontId="6" fillId="6" borderId="99" xfId="0" applyNumberFormat="1" applyFont="1" applyFill="1" applyBorder="1" applyAlignment="1">
      <alignment horizontal="center" vertical="center" wrapText="1"/>
    </xf>
    <xf numFmtId="169" fontId="6" fillId="6" borderId="97" xfId="0" applyNumberFormat="1" applyFont="1" applyFill="1" applyBorder="1" applyAlignment="1">
      <alignment horizontal="center" vertical="center" wrapText="1"/>
    </xf>
    <xf numFmtId="169" fontId="6" fillId="6" borderId="2" xfId="0" applyNumberFormat="1" applyFont="1" applyFill="1" applyBorder="1" applyAlignment="1">
      <alignment horizontal="center" vertical="center" wrapText="1"/>
    </xf>
    <xf numFmtId="3" fontId="6" fillId="6" borderId="2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6" fillId="6" borderId="0" xfId="0" applyNumberFormat="1" applyFont="1" applyFill="1" applyAlignment="1">
      <alignment horizontal="center" vertical="center" wrapText="1"/>
    </xf>
    <xf numFmtId="4" fontId="6" fillId="6" borderId="0" xfId="0" applyNumberFormat="1" applyFont="1" applyFill="1" applyAlignment="1">
      <alignment horizontal="center" vertical="center"/>
    </xf>
    <xf numFmtId="4" fontId="6" fillId="3" borderId="97" xfId="0" applyNumberFormat="1" applyFont="1" applyFill="1" applyBorder="1" applyAlignment="1">
      <alignment horizontal="center" vertical="center" wrapText="1"/>
    </xf>
    <xf numFmtId="4" fontId="6" fillId="6" borderId="97" xfId="0" applyNumberFormat="1" applyFont="1" applyFill="1" applyBorder="1" applyAlignment="1">
      <alignment horizontal="center" vertical="center" wrapText="1"/>
    </xf>
    <xf numFmtId="0" fontId="2" fillId="6" borderId="0" xfId="0" applyNumberFormat="1" applyFont="1" applyFill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6" borderId="2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vertical="center" wrapText="1"/>
    </xf>
    <xf numFmtId="4" fontId="2" fillId="6" borderId="0" xfId="0" applyNumberFormat="1" applyFont="1" applyFill="1" applyAlignment="1">
      <alignment horizontal="center" vertical="center" wrapText="1"/>
    </xf>
    <xf numFmtId="4" fontId="6" fillId="3" borderId="2" xfId="0" applyNumberFormat="1" applyFont="1" applyFill="1" applyBorder="1" applyAlignment="1">
      <alignment vertical="center" wrapText="1"/>
    </xf>
    <xf numFmtId="167" fontId="5" fillId="0" borderId="3" xfId="0" applyNumberFormat="1" applyFont="1" applyBorder="1" applyAlignment="1">
      <alignment vertical="center"/>
    </xf>
    <xf numFmtId="4" fontId="18" fillId="0" borderId="6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horizontal="center" vertical="center" wrapText="1"/>
    </xf>
    <xf numFmtId="4" fontId="6" fillId="6" borderId="100" xfId="0" applyNumberFormat="1" applyFont="1" applyFill="1" applyBorder="1" applyAlignment="1">
      <alignment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7" fontId="2" fillId="2" borderId="2" xfId="0" applyNumberFormat="1" applyFont="1" applyFill="1" applyBorder="1" applyAlignment="1">
      <alignment vertical="center"/>
    </xf>
    <xf numFmtId="167" fontId="5" fillId="0" borderId="2" xfId="0" applyNumberFormat="1" applyFont="1" applyBorder="1"/>
    <xf numFmtId="167" fontId="5" fillId="2" borderId="2" xfId="0" applyNumberFormat="1" applyFont="1" applyFill="1" applyBorder="1"/>
    <xf numFmtId="167" fontId="5" fillId="7" borderId="4" xfId="0" applyNumberFormat="1" applyFont="1" applyFill="1" applyBorder="1" applyAlignment="1">
      <alignment vertical="center"/>
    </xf>
    <xf numFmtId="167" fontId="6" fillId="0" borderId="2" xfId="0" applyNumberFormat="1" applyFont="1" applyBorder="1" applyAlignment="1">
      <alignment vertical="center"/>
    </xf>
    <xf numFmtId="167" fontId="19" fillId="2" borderId="2" xfId="0" applyNumberFormat="1" applyFont="1" applyFill="1" applyBorder="1" applyAlignment="1">
      <alignment vertical="center"/>
    </xf>
    <xf numFmtId="4" fontId="5" fillId="3" borderId="97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168" fontId="5" fillId="0" borderId="2" xfId="0" applyNumberFormat="1" applyFont="1" applyBorder="1" applyAlignment="1">
      <alignment vertical="center"/>
    </xf>
    <xf numFmtId="168" fontId="13" fillId="2" borderId="2" xfId="0" applyNumberFormat="1" applyFont="1" applyFill="1" applyBorder="1" applyAlignment="1">
      <alignment vertical="center"/>
    </xf>
    <xf numFmtId="166" fontId="5" fillId="0" borderId="2" xfId="0" applyNumberFormat="1" applyFont="1" applyBorder="1" applyAlignment="1">
      <alignment vertical="center"/>
    </xf>
    <xf numFmtId="166" fontId="13" fillId="2" borderId="2" xfId="0" applyNumberFormat="1" applyFont="1" applyFill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166" fontId="5" fillId="5" borderId="4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vertical="center"/>
    </xf>
    <xf numFmtId="0" fontId="2" fillId="6" borderId="0" xfId="0" applyNumberFormat="1" applyFont="1" applyFill="1" applyAlignment="1">
      <alignment vertical="center"/>
    </xf>
    <xf numFmtId="0" fontId="6" fillId="6" borderId="101" xfId="0" applyNumberFormat="1" applyFont="1" applyFill="1" applyBorder="1" applyAlignment="1">
      <alignment horizontal="center" vertical="center"/>
    </xf>
    <xf numFmtId="0" fontId="2" fillId="6" borderId="2" xfId="0" applyNumberFormat="1" applyFont="1" applyFill="1" applyBorder="1" applyAlignment="1">
      <alignment horizontal="center" vertical="center"/>
    </xf>
    <xf numFmtId="167" fontId="6" fillId="6" borderId="102" xfId="0" applyNumberFormat="1" applyFont="1" applyFill="1" applyBorder="1" applyAlignment="1">
      <alignment vertical="center"/>
    </xf>
    <xf numFmtId="4" fontId="6" fillId="6" borderId="2" xfId="0" applyNumberFormat="1" applyFont="1" applyFill="1" applyBorder="1" applyAlignment="1">
      <alignment vertical="center"/>
    </xf>
    <xf numFmtId="4" fontId="7" fillId="6" borderId="2" xfId="0" applyNumberFormat="1" applyFont="1" applyFill="1" applyBorder="1" applyAlignment="1">
      <alignment vertical="center"/>
    </xf>
    <xf numFmtId="167" fontId="2" fillId="6" borderId="2" xfId="0" applyNumberFormat="1" applyFont="1" applyFill="1" applyBorder="1" applyAlignment="1">
      <alignment vertical="center"/>
    </xf>
    <xf numFmtId="0" fontId="2" fillId="6" borderId="4" xfId="0" applyNumberFormat="1" applyFont="1" applyFill="1" applyBorder="1" applyAlignment="1">
      <alignment horizontal="center" vertical="center"/>
    </xf>
    <xf numFmtId="4" fontId="2" fillId="6" borderId="0" xfId="0" applyNumberFormat="1" applyFont="1" applyFill="1" applyAlignment="1">
      <alignment vertical="center"/>
    </xf>
    <xf numFmtId="4" fontId="6" fillId="6" borderId="4" xfId="0" applyNumberFormat="1" applyFont="1" applyFill="1" applyBorder="1" applyAlignment="1">
      <alignment vertical="center"/>
    </xf>
    <xf numFmtId="0" fontId="2" fillId="8" borderId="0" xfId="0" applyNumberFormat="1" applyFont="1" applyFill="1" applyAlignment="1">
      <alignment vertical="center"/>
    </xf>
    <xf numFmtId="0" fontId="6" fillId="9" borderId="0" xfId="0" applyNumberFormat="1" applyFont="1" applyFill="1" applyAlignment="1">
      <alignment horizontal="center" vertical="center"/>
    </xf>
    <xf numFmtId="0" fontId="2" fillId="8" borderId="2" xfId="0" applyNumberFormat="1" applyFont="1" applyFill="1" applyBorder="1" applyAlignment="1">
      <alignment horizontal="center" vertical="center"/>
    </xf>
    <xf numFmtId="167" fontId="6" fillId="8" borderId="2" xfId="0" applyNumberFormat="1" applyFont="1" applyFill="1" applyBorder="1" applyAlignment="1">
      <alignment vertical="center"/>
    </xf>
    <xf numFmtId="4" fontId="6" fillId="8" borderId="2" xfId="0" applyNumberFormat="1" applyFont="1" applyFill="1" applyBorder="1" applyAlignment="1">
      <alignment vertical="center"/>
    </xf>
    <xf numFmtId="4" fontId="7" fillId="10" borderId="2" xfId="0" applyNumberFormat="1" applyFont="1" applyFill="1" applyBorder="1" applyAlignment="1">
      <alignment vertical="center"/>
    </xf>
    <xf numFmtId="167" fontId="2" fillId="8" borderId="2" xfId="0" applyNumberFormat="1" applyFont="1" applyFill="1" applyBorder="1" applyAlignment="1">
      <alignment vertical="center"/>
    </xf>
    <xf numFmtId="0" fontId="2" fillId="8" borderId="4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vertical="center"/>
    </xf>
    <xf numFmtId="4" fontId="6" fillId="6" borderId="0" xfId="0" applyNumberFormat="1" applyFont="1" applyFill="1" applyAlignment="1">
      <alignment vertical="center"/>
    </xf>
    <xf numFmtId="0" fontId="20" fillId="0" borderId="0" xfId="0" applyNumberFormat="1" applyFont="1" applyAlignment="1">
      <alignment vertical="center"/>
    </xf>
    <xf numFmtId="167" fontId="13" fillId="11" borderId="2" xfId="0" applyNumberFormat="1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13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" fontId="22" fillId="0" borderId="0" xfId="0" applyNumberFormat="1" applyFont="1" applyAlignment="1">
      <alignment horizontal="center"/>
    </xf>
    <xf numFmtId="4" fontId="3" fillId="11" borderId="2" xfId="0" applyNumberFormat="1" applyFont="1" applyFill="1" applyBorder="1" applyAlignment="1">
      <alignment vertical="center"/>
    </xf>
    <xf numFmtId="167" fontId="2" fillId="0" borderId="4" xfId="0" applyNumberFormat="1" applyFont="1" applyBorder="1" applyAlignment="1">
      <alignment vertical="center"/>
    </xf>
    <xf numFmtId="4" fontId="13" fillId="12" borderId="2" xfId="0" applyNumberFormat="1" applyFont="1" applyFill="1" applyBorder="1" applyAlignment="1">
      <alignment vertical="center"/>
    </xf>
    <xf numFmtId="167" fontId="21" fillId="0" borderId="2" xfId="0" applyNumberFormat="1" applyFont="1" applyBorder="1" applyAlignment="1">
      <alignment vertical="center"/>
    </xf>
    <xf numFmtId="4" fontId="13" fillId="11" borderId="2" xfId="0" applyNumberFormat="1" applyFont="1" applyFill="1" applyBorder="1" applyAlignment="1">
      <alignment vertical="center"/>
    </xf>
    <xf numFmtId="4" fontId="18" fillId="0" borderId="0" xfId="0" applyNumberFormat="1" applyFont="1" applyAlignment="1">
      <alignment horizontal="right" vertical="center" wrapText="1"/>
    </xf>
    <xf numFmtId="167" fontId="5" fillId="0" borderId="4" xfId="0" applyNumberFormat="1" applyFont="1" applyBorder="1" applyAlignment="1">
      <alignment vertical="center"/>
    </xf>
    <xf numFmtId="167" fontId="20" fillId="0" borderId="0" xfId="0" applyNumberFormat="1" applyFont="1" applyAlignment="1">
      <alignment vertical="center"/>
    </xf>
    <xf numFmtId="167" fontId="5" fillId="13" borderId="4" xfId="0" applyNumberFormat="1" applyFont="1" applyFill="1" applyBorder="1" applyAlignment="1">
      <alignment vertical="center"/>
    </xf>
    <xf numFmtId="4" fontId="5" fillId="5" borderId="2" xfId="0" applyNumberFormat="1" applyFont="1" applyFill="1" applyBorder="1" applyAlignment="1">
      <alignment vertical="center"/>
    </xf>
    <xf numFmtId="4" fontId="13" fillId="14" borderId="2" xfId="0" applyNumberFormat="1" applyFont="1" applyFill="1" applyBorder="1" applyAlignment="1">
      <alignment vertical="center"/>
    </xf>
    <xf numFmtId="167" fontId="13" fillId="14" borderId="2" xfId="0" applyNumberFormat="1" applyFont="1" applyFill="1" applyBorder="1" applyAlignment="1">
      <alignment vertical="center"/>
    </xf>
    <xf numFmtId="167" fontId="2" fillId="15" borderId="2" xfId="0" applyNumberFormat="1" applyFont="1" applyFill="1" applyBorder="1" applyAlignment="1">
      <alignment vertical="center"/>
    </xf>
    <xf numFmtId="4" fontId="5" fillId="14" borderId="2" xfId="0" applyNumberFormat="1" applyFont="1" applyFill="1" applyBorder="1" applyAlignment="1">
      <alignment vertical="center"/>
    </xf>
    <xf numFmtId="0" fontId="2" fillId="16" borderId="0" xfId="0" applyNumberFormat="1" applyFont="1" applyFill="1" applyAlignment="1">
      <alignment vertical="center"/>
    </xf>
    <xf numFmtId="0" fontId="2" fillId="15" borderId="0" xfId="0" applyNumberFormat="1" applyFont="1" applyFill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0" fontId="2" fillId="0" borderId="97" xfId="0" applyNumberFormat="1" applyFont="1" applyBorder="1" applyAlignment="1">
      <alignment vertical="center"/>
    </xf>
    <xf numFmtId="0" fontId="2" fillId="0" borderId="97" xfId="0" applyNumberFormat="1" applyFont="1" applyBorder="1" applyAlignment="1">
      <alignment horizontal="center" vertical="center"/>
    </xf>
    <xf numFmtId="167" fontId="2" fillId="0" borderId="97" xfId="0" applyNumberFormat="1" applyFont="1" applyBorder="1" applyAlignment="1">
      <alignment vertical="center"/>
    </xf>
    <xf numFmtId="165" fontId="2" fillId="0" borderId="97" xfId="0" applyNumberFormat="1" applyFont="1" applyBorder="1" applyAlignment="1">
      <alignment vertical="center"/>
    </xf>
    <xf numFmtId="167" fontId="13" fillId="11" borderId="97" xfId="0" applyNumberFormat="1" applyFont="1" applyFill="1" applyBorder="1" applyAlignment="1">
      <alignment vertical="center"/>
    </xf>
    <xf numFmtId="167" fontId="13" fillId="2" borderId="97" xfId="0" applyNumberFormat="1" applyFont="1" applyFill="1" applyBorder="1" applyAlignment="1">
      <alignment vertical="center"/>
    </xf>
    <xf numFmtId="167" fontId="5" fillId="0" borderId="97" xfId="0" applyNumberFormat="1" applyFont="1" applyBorder="1" applyAlignment="1">
      <alignment vertical="center"/>
    </xf>
    <xf numFmtId="4" fontId="13" fillId="2" borderId="97" xfId="0" applyNumberFormat="1" applyFont="1" applyFill="1" applyBorder="1" applyAlignment="1">
      <alignment vertical="center"/>
    </xf>
    <xf numFmtId="4" fontId="5" fillId="2" borderId="97" xfId="0" applyNumberFormat="1" applyFont="1" applyFill="1" applyBorder="1" applyAlignment="1">
      <alignment vertical="center"/>
    </xf>
    <xf numFmtId="4" fontId="23" fillId="2" borderId="2" xfId="0" applyNumberFormat="1" applyFont="1" applyFill="1" applyBorder="1" applyAlignment="1">
      <alignment vertical="center"/>
    </xf>
    <xf numFmtId="4" fontId="5" fillId="0" borderId="97" xfId="0" applyNumberFormat="1" applyFont="1" applyBorder="1" applyAlignment="1">
      <alignment vertical="center"/>
    </xf>
    <xf numFmtId="4" fontId="5" fillId="3" borderId="102" xfId="0" applyNumberFormat="1" applyFont="1" applyFill="1" applyBorder="1" applyAlignment="1">
      <alignment vertical="center"/>
    </xf>
    <xf numFmtId="167" fontId="2" fillId="0" borderId="102" xfId="0" applyNumberFormat="1" applyFont="1" applyBorder="1" applyAlignment="1">
      <alignment vertical="center"/>
    </xf>
    <xf numFmtId="167" fontId="2" fillId="15" borderId="102" xfId="0" applyNumberFormat="1" applyFont="1" applyFill="1" applyBorder="1" applyAlignment="1">
      <alignment vertical="center"/>
    </xf>
    <xf numFmtId="4" fontId="6" fillId="2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vertical="center"/>
    </xf>
    <xf numFmtId="167" fontId="5" fillId="6" borderId="2" xfId="0" applyNumberFormat="1" applyFont="1" applyFill="1" applyBorder="1" applyAlignment="1">
      <alignment vertical="center"/>
    </xf>
    <xf numFmtId="4" fontId="24" fillId="3" borderId="102" xfId="0" applyNumberFormat="1" applyFont="1" applyFill="1" applyBorder="1" applyAlignment="1">
      <alignment vertical="center"/>
    </xf>
    <xf numFmtId="4" fontId="24" fillId="6" borderId="102" xfId="0" applyNumberFormat="1" applyFont="1" applyFill="1" applyBorder="1" applyAlignment="1">
      <alignment vertical="center"/>
    </xf>
    <xf numFmtId="0" fontId="5" fillId="0" borderId="4" xfId="0" applyNumberFormat="1" applyFont="1" applyBorder="1" applyAlignment="1">
      <alignment horizontal="center" vertical="center"/>
    </xf>
    <xf numFmtId="4" fontId="3" fillId="12" borderId="2" xfId="0" applyNumberFormat="1" applyFont="1" applyFill="1" applyBorder="1" applyAlignment="1">
      <alignment vertical="center"/>
    </xf>
    <xf numFmtId="0" fontId="5" fillId="0" borderId="0" xfId="0" applyNumberFormat="1" applyFont="1" applyAlignment="1">
      <alignment vertical="center"/>
    </xf>
    <xf numFmtId="167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4" fontId="13" fillId="2" borderId="2" xfId="0" applyNumberFormat="1" applyFont="1" applyFill="1" applyBorder="1"/>
    <xf numFmtId="4" fontId="13" fillId="11" borderId="3" xfId="0" applyNumberFormat="1" applyFont="1" applyFill="1" applyBorder="1" applyAlignment="1">
      <alignment vertical="center"/>
    </xf>
    <xf numFmtId="167" fontId="5" fillId="0" borderId="102" xfId="0" applyNumberFormat="1" applyFont="1" applyBorder="1" applyAlignment="1">
      <alignment vertical="center"/>
    </xf>
    <xf numFmtId="167" fontId="13" fillId="2" borderId="102" xfId="0" applyNumberFormat="1" applyFont="1" applyFill="1" applyBorder="1" applyAlignment="1">
      <alignment vertical="center"/>
    </xf>
    <xf numFmtId="167" fontId="5" fillId="0" borderId="100" xfId="0" applyNumberFormat="1" applyFont="1" applyBorder="1" applyAlignment="1">
      <alignment vertical="center"/>
    </xf>
    <xf numFmtId="167" fontId="5" fillId="0" borderId="103" xfId="0" applyNumberFormat="1" applyFont="1" applyBorder="1" applyAlignment="1">
      <alignment vertical="center"/>
    </xf>
    <xf numFmtId="167" fontId="13" fillId="2" borderId="103" xfId="0" applyNumberFormat="1" applyFont="1" applyFill="1" applyBorder="1" applyAlignment="1">
      <alignment vertical="center"/>
    </xf>
    <xf numFmtId="4" fontId="19" fillId="11" borderId="2" xfId="0" applyNumberFormat="1" applyFont="1" applyFill="1" applyBorder="1" applyAlignment="1">
      <alignment vertical="center"/>
    </xf>
    <xf numFmtId="4" fontId="19" fillId="2" borderId="2" xfId="0" applyNumberFormat="1" applyFont="1" applyFill="1" applyBorder="1" applyAlignment="1">
      <alignment vertical="center"/>
    </xf>
    <xf numFmtId="4" fontId="3" fillId="11" borderId="0" xfId="0" applyNumberFormat="1" applyFont="1" applyFill="1" applyAlignment="1">
      <alignment vertical="center"/>
    </xf>
    <xf numFmtId="4" fontId="25" fillId="0" borderId="6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2" fillId="0" borderId="102" xfId="0" applyNumberFormat="1" applyFont="1" applyBorder="1" applyAlignment="1">
      <alignment vertical="center"/>
    </xf>
    <xf numFmtId="0" fontId="2" fillId="0" borderId="102" xfId="0" applyNumberFormat="1" applyFont="1" applyBorder="1" applyAlignment="1">
      <alignment horizontal="center" vertical="center"/>
    </xf>
    <xf numFmtId="165" fontId="2" fillId="0" borderId="102" xfId="0" applyNumberFormat="1" applyFont="1" applyBorder="1" applyAlignment="1">
      <alignment vertical="center"/>
    </xf>
    <xf numFmtId="4" fontId="13" fillId="11" borderId="102" xfId="0" applyNumberFormat="1" applyFont="1" applyFill="1" applyBorder="1" applyAlignment="1">
      <alignment vertical="center"/>
    </xf>
    <xf numFmtId="4" fontId="13" fillId="2" borderId="102" xfId="0" applyNumberFormat="1" applyFont="1" applyFill="1" applyBorder="1" applyAlignment="1">
      <alignment vertical="center"/>
    </xf>
    <xf numFmtId="4" fontId="5" fillId="2" borderId="102" xfId="0" applyNumberFormat="1" applyFont="1" applyFill="1" applyBorder="1" applyAlignment="1">
      <alignment vertical="center"/>
    </xf>
    <xf numFmtId="0" fontId="2" fillId="0" borderId="104" xfId="0" applyNumberFormat="1" applyFont="1" applyBorder="1" applyAlignment="1">
      <alignment horizontal="center" vertical="center"/>
    </xf>
    <xf numFmtId="0" fontId="2" fillId="10" borderId="105" xfId="0" applyNumberFormat="1" applyFont="1" applyFill="1" applyBorder="1" applyAlignment="1">
      <alignment vertical="center"/>
    </xf>
    <xf numFmtId="0" fontId="6" fillId="10" borderId="105" xfId="0" applyNumberFormat="1" applyFont="1" applyFill="1" applyBorder="1" applyAlignment="1">
      <alignment horizontal="center" vertical="center"/>
    </xf>
    <xf numFmtId="0" fontId="6" fillId="10" borderId="105" xfId="0" applyNumberFormat="1" applyFont="1" applyFill="1" applyBorder="1" applyAlignment="1">
      <alignment vertical="center"/>
    </xf>
    <xf numFmtId="168" fontId="6" fillId="10" borderId="105" xfId="0" applyNumberFormat="1" applyFont="1" applyFill="1" applyBorder="1" applyAlignment="1">
      <alignment vertical="center"/>
    </xf>
    <xf numFmtId="168" fontId="7" fillId="10" borderId="105" xfId="0" applyNumberFormat="1" applyFont="1" applyFill="1" applyBorder="1" applyAlignment="1">
      <alignment vertical="center"/>
    </xf>
    <xf numFmtId="0" fontId="2" fillId="10" borderId="4" xfId="0" applyNumberFormat="1" applyFont="1" applyFill="1" applyBorder="1" applyAlignment="1">
      <alignment vertical="center"/>
    </xf>
    <xf numFmtId="4" fontId="24" fillId="0" borderId="97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4" fontId="5" fillId="0" borderId="2" xfId="0" applyNumberFormat="1" applyFont="1" applyBorder="1"/>
    <xf numFmtId="4" fontId="2" fillId="2" borderId="2" xfId="0" applyNumberFormat="1" applyFont="1" applyFill="1" applyBorder="1" applyAlignment="1">
      <alignment vertical="center"/>
    </xf>
    <xf numFmtId="3" fontId="5" fillId="8" borderId="1" xfId="0" applyNumberFormat="1" applyFont="1" applyFill="1" applyBorder="1" applyAlignment="1">
      <alignment vertical="center"/>
    </xf>
    <xf numFmtId="0" fontId="5" fillId="8" borderId="2" xfId="0" applyNumberFormat="1" applyFont="1" applyFill="1" applyBorder="1" applyAlignment="1">
      <alignment vertical="center"/>
    </xf>
    <xf numFmtId="0" fontId="2" fillId="8" borderId="105" xfId="0" applyNumberFormat="1" applyFont="1" applyFill="1" applyBorder="1" applyAlignment="1">
      <alignment vertical="center"/>
    </xf>
    <xf numFmtId="0" fontId="2" fillId="8" borderId="102" xfId="0" applyNumberFormat="1" applyFont="1" applyFill="1" applyBorder="1" applyAlignment="1">
      <alignment horizontal="center" vertical="center"/>
    </xf>
    <xf numFmtId="167" fontId="6" fillId="8" borderId="102" xfId="0" applyNumberFormat="1" applyFont="1" applyFill="1" applyBorder="1" applyAlignment="1">
      <alignment vertical="center"/>
    </xf>
    <xf numFmtId="167" fontId="2" fillId="0" borderId="2" xfId="0" applyNumberFormat="1" applyFont="1" applyBorder="1"/>
    <xf numFmtId="167" fontId="2" fillId="2" borderId="2" xfId="0" applyNumberFormat="1" applyFont="1" applyFill="1" applyBorder="1"/>
    <xf numFmtId="4" fontId="6" fillId="8" borderId="102" xfId="0" applyNumberFormat="1" applyFont="1" applyFill="1" applyBorder="1" applyAlignment="1">
      <alignment vertical="center"/>
    </xf>
    <xf numFmtId="4" fontId="6" fillId="10" borderId="102" xfId="0" applyNumberFormat="1" applyFont="1" applyFill="1" applyBorder="1" applyAlignment="1">
      <alignment vertical="center"/>
    </xf>
    <xf numFmtId="0" fontId="2" fillId="8" borderId="104" xfId="0" applyNumberFormat="1" applyFont="1" applyFill="1" applyBorder="1" applyAlignment="1">
      <alignment horizontal="center" vertical="center"/>
    </xf>
    <xf numFmtId="4" fontId="24" fillId="8" borderId="97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167" fontId="3" fillId="0" borderId="2" xfId="0" applyNumberFormat="1" applyFont="1" applyBorder="1" applyAlignment="1">
      <alignment vertical="center"/>
    </xf>
    <xf numFmtId="1" fontId="26" fillId="0" borderId="0" xfId="0" applyNumberFormat="1" applyFont="1" applyAlignment="1">
      <alignment horizontal="center"/>
    </xf>
    <xf numFmtId="167" fontId="27" fillId="0" borderId="2" xfId="0" applyNumberFormat="1" applyFont="1" applyBorder="1" applyAlignment="1">
      <alignment vertical="center"/>
    </xf>
    <xf numFmtId="167" fontId="23" fillId="2" borderId="2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vertical="center"/>
    </xf>
    <xf numFmtId="167" fontId="20" fillId="2" borderId="0" xfId="0" applyNumberFormat="1" applyFont="1" applyFill="1" applyAlignment="1">
      <alignment vertical="center"/>
    </xf>
    <xf numFmtId="4" fontId="2" fillId="17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28" fillId="0" borderId="0" xfId="0" applyNumberFormat="1" applyFont="1" applyAlignment="1">
      <alignment vertical="center"/>
    </xf>
    <xf numFmtId="4" fontId="17" fillId="0" borderId="2" xfId="0" applyNumberFormat="1" applyFont="1" applyBorder="1" applyAlignment="1">
      <alignment vertical="center"/>
    </xf>
    <xf numFmtId="4" fontId="13" fillId="2" borderId="0" xfId="0" applyNumberFormat="1" applyFont="1" applyFill="1" applyAlignment="1">
      <alignment vertical="center"/>
    </xf>
    <xf numFmtId="4" fontId="5" fillId="2" borderId="2" xfId="0" applyNumberFormat="1" applyFont="1" applyFill="1" applyBorder="1"/>
    <xf numFmtId="166" fontId="5" fillId="0" borderId="102" xfId="0" applyNumberFormat="1" applyFont="1" applyBorder="1" applyAlignment="1">
      <alignment vertical="center"/>
    </xf>
    <xf numFmtId="166" fontId="13" fillId="2" borderId="106" xfId="0" applyNumberFormat="1" applyFont="1" applyFill="1" applyBorder="1" applyAlignment="1">
      <alignment vertical="center"/>
    </xf>
    <xf numFmtId="167" fontId="13" fillId="2" borderId="106" xfId="0" applyNumberFormat="1" applyFont="1" applyFill="1" applyBorder="1" applyAlignment="1">
      <alignment vertical="center"/>
    </xf>
    <xf numFmtId="4" fontId="5" fillId="0" borderId="102" xfId="0" applyNumberFormat="1" applyFont="1" applyBorder="1"/>
    <xf numFmtId="4" fontId="5" fillId="2" borderId="102" xfId="0" applyNumberFormat="1" applyFont="1" applyFill="1" applyBorder="1"/>
    <xf numFmtId="4" fontId="7" fillId="10" borderId="102" xfId="0" applyNumberFormat="1" applyFont="1" applyFill="1" applyBorder="1" applyAlignment="1">
      <alignment vertical="center"/>
    </xf>
    <xf numFmtId="4" fontId="6" fillId="0" borderId="102" xfId="0" applyNumberFormat="1" applyFont="1" applyBorder="1" applyAlignment="1">
      <alignment vertical="center"/>
    </xf>
    <xf numFmtId="4" fontId="7" fillId="2" borderId="102" xfId="0" applyNumberFormat="1" applyFont="1" applyFill="1" applyBorder="1" applyAlignment="1">
      <alignment vertical="center"/>
    </xf>
    <xf numFmtId="4" fontId="2" fillId="0" borderId="102" xfId="0" applyNumberFormat="1" applyFont="1" applyBorder="1" applyAlignment="1">
      <alignment vertical="center"/>
    </xf>
    <xf numFmtId="4" fontId="3" fillId="2" borderId="102" xfId="0" applyNumberFormat="1" applyFont="1" applyFill="1" applyBorder="1" applyAlignment="1">
      <alignment vertical="center"/>
    </xf>
    <xf numFmtId="167" fontId="5" fillId="0" borderId="106" xfId="0" applyNumberFormat="1" applyFont="1" applyBorder="1" applyAlignment="1">
      <alignment vertical="center"/>
    </xf>
    <xf numFmtId="4" fontId="6" fillId="2" borderId="102" xfId="0" applyNumberFormat="1" applyFont="1" applyFill="1" applyBorder="1" applyAlignment="1">
      <alignment vertical="center"/>
    </xf>
    <xf numFmtId="4" fontId="24" fillId="0" borderId="99" xfId="0" applyNumberFormat="1" applyFont="1" applyBorder="1" applyAlignment="1">
      <alignment vertical="center"/>
    </xf>
    <xf numFmtId="0" fontId="5" fillId="8" borderId="2" xfId="0" applyNumberFormat="1" applyFont="1" applyFill="1" applyBorder="1" applyAlignment="1">
      <alignment horizontal="center" vertical="center"/>
    </xf>
    <xf numFmtId="167" fontId="24" fillId="8" borderId="2" xfId="0" applyNumberFormat="1" applyFont="1" applyFill="1" applyBorder="1" applyAlignment="1">
      <alignment vertical="center"/>
    </xf>
    <xf numFmtId="4" fontId="18" fillId="8" borderId="0" xfId="0" applyNumberFormat="1" applyFont="1" applyFill="1" applyAlignment="1">
      <alignment horizontal="right" vertical="center" wrapText="1"/>
    </xf>
    <xf numFmtId="4" fontId="2" fillId="8" borderId="0" xfId="0" applyNumberFormat="1" applyFont="1" applyFill="1" applyAlignment="1">
      <alignment vertical="center"/>
    </xf>
    <xf numFmtId="4" fontId="24" fillId="8" borderId="4" xfId="0" applyNumberFormat="1" applyFont="1" applyFill="1" applyBorder="1" applyAlignment="1">
      <alignment vertical="center"/>
    </xf>
    <xf numFmtId="3" fontId="5" fillId="0" borderId="108" xfId="0" applyNumberFormat="1" applyFont="1" applyBorder="1" applyAlignment="1">
      <alignment vertical="center"/>
    </xf>
    <xf numFmtId="0" fontId="5" fillId="0" borderId="109" xfId="0" applyNumberFormat="1" applyFont="1" applyBorder="1" applyAlignment="1">
      <alignment vertical="center"/>
    </xf>
    <xf numFmtId="0" fontId="2" fillId="0" borderId="109" xfId="0" applyNumberFormat="1" applyFont="1" applyBorder="1" applyAlignment="1">
      <alignment horizontal="center" vertical="center"/>
    </xf>
    <xf numFmtId="167" fontId="2" fillId="0" borderId="109" xfId="0" applyNumberFormat="1" applyFont="1" applyBorder="1" applyAlignment="1">
      <alignment vertical="center"/>
    </xf>
    <xf numFmtId="165" fontId="2" fillId="0" borderId="109" xfId="0" applyNumberFormat="1" applyFont="1" applyBorder="1" applyAlignment="1">
      <alignment vertical="center"/>
    </xf>
    <xf numFmtId="167" fontId="5" fillId="0" borderId="109" xfId="0" applyNumberFormat="1" applyFont="1" applyBorder="1" applyAlignment="1">
      <alignment vertical="center"/>
    </xf>
    <xf numFmtId="167" fontId="13" fillId="2" borderId="109" xfId="0" applyNumberFormat="1" applyFont="1" applyFill="1" applyBorder="1" applyAlignment="1">
      <alignment vertical="center"/>
    </xf>
    <xf numFmtId="4" fontId="5" fillId="0" borderId="109" xfId="0" applyNumberFormat="1" applyFont="1" applyBorder="1" applyAlignment="1">
      <alignment vertical="center"/>
    </xf>
    <xf numFmtId="4" fontId="13" fillId="2" borderId="109" xfId="0" applyNumberFormat="1" applyFont="1" applyFill="1" applyBorder="1" applyAlignment="1">
      <alignment vertical="center"/>
    </xf>
    <xf numFmtId="4" fontId="5" fillId="2" borderId="109" xfId="0" applyNumberFormat="1" applyFont="1" applyFill="1" applyBorder="1" applyAlignment="1">
      <alignment vertical="center"/>
    </xf>
    <xf numFmtId="167" fontId="5" fillId="0" borderId="110" xfId="0" applyNumberFormat="1" applyFont="1" applyBorder="1" applyAlignment="1">
      <alignment vertical="center"/>
    </xf>
    <xf numFmtId="0" fontId="2" fillId="0" borderId="11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167" fontId="2" fillId="0" borderId="111" xfId="0" applyNumberFormat="1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2" borderId="0" xfId="0" applyNumberFormat="1" applyFont="1" applyFill="1" applyAlignment="1">
      <alignment vertical="center"/>
    </xf>
    <xf numFmtId="167" fontId="3" fillId="0" borderId="3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9" fillId="0" borderId="0" xfId="0" applyNumberFormat="1" applyFont="1" applyAlignment="1">
      <alignment horizontal="center" vertical="center"/>
    </xf>
    <xf numFmtId="0" fontId="6" fillId="15" borderId="0" xfId="0" applyNumberFormat="1" applyFont="1" applyFill="1" applyAlignment="1">
      <alignment horizontal="center" vertical="center"/>
    </xf>
    <xf numFmtId="0" fontId="29" fillId="15" borderId="0" xfId="0" applyNumberFormat="1" applyFont="1" applyFill="1" applyAlignment="1">
      <alignment horizontal="center" vertical="center"/>
    </xf>
    <xf numFmtId="4" fontId="6" fillId="6" borderId="97" xfId="0" applyNumberFormat="1" applyFont="1" applyFill="1" applyBorder="1" applyAlignment="1">
      <alignment horizontal="right" vertical="center" wrapText="1"/>
    </xf>
    <xf numFmtId="0" fontId="2" fillId="15" borderId="0" xfId="0" applyNumberFormat="1" applyFont="1" applyFill="1" applyAlignment="1">
      <alignment horizontal="center" vertical="center" wrapText="1"/>
    </xf>
    <xf numFmtId="0" fontId="4" fillId="15" borderId="0" xfId="0" applyNumberFormat="1" applyFont="1" applyFill="1" applyAlignment="1">
      <alignment horizontal="center" vertical="center" wrapText="1"/>
    </xf>
    <xf numFmtId="0" fontId="6" fillId="6" borderId="103" xfId="0" applyNumberFormat="1" applyFont="1" applyFill="1" applyBorder="1" applyAlignment="1">
      <alignment horizontal="center" vertical="center" wrapText="1"/>
    </xf>
    <xf numFmtId="4" fontId="6" fillId="6" borderId="100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Border="1" applyAlignment="1">
      <alignment vertical="center"/>
    </xf>
    <xf numFmtId="0" fontId="4" fillId="15" borderId="0" xfId="0" applyNumberFormat="1" applyFont="1" applyFill="1" applyAlignment="1">
      <alignment horizontal="center" vertical="center"/>
    </xf>
    <xf numFmtId="0" fontId="30" fillId="0" borderId="0" xfId="0" applyNumberFormat="1" applyFont="1" applyAlignment="1">
      <alignment horizontal="center"/>
    </xf>
    <xf numFmtId="167" fontId="24" fillId="0" borderId="4" xfId="0" applyNumberFormat="1" applyFont="1" applyBorder="1" applyAlignment="1">
      <alignment vertical="center"/>
    </xf>
    <xf numFmtId="166" fontId="5" fillId="0" borderId="4" xfId="0" applyNumberFormat="1" applyFont="1" applyBorder="1" applyAlignment="1">
      <alignment vertical="center"/>
    </xf>
    <xf numFmtId="0" fontId="5" fillId="6" borderId="1" xfId="0" applyNumberFormat="1" applyFont="1" applyFill="1" applyBorder="1" applyAlignment="1">
      <alignment vertical="center"/>
    </xf>
    <xf numFmtId="0" fontId="2" fillId="6" borderId="2" xfId="0" applyNumberFormat="1" applyFont="1" applyFill="1" applyBorder="1" applyAlignment="1">
      <alignment vertical="center"/>
    </xf>
    <xf numFmtId="0" fontId="6" fillId="6" borderId="2" xfId="0" applyNumberFormat="1" applyFont="1" applyFill="1" applyBorder="1" applyAlignment="1">
      <alignment horizontal="center" vertical="center"/>
    </xf>
    <xf numFmtId="0" fontId="5" fillId="8" borderId="1" xfId="0" applyNumberFormat="1" applyFont="1" applyFill="1" applyBorder="1" applyAlignment="1">
      <alignment vertical="center"/>
    </xf>
    <xf numFmtId="0" fontId="2" fillId="8" borderId="2" xfId="0" applyNumberFormat="1" applyFont="1" applyFill="1" applyBorder="1" applyAlignment="1">
      <alignment vertical="center"/>
    </xf>
    <xf numFmtId="0" fontId="31" fillId="0" borderId="0" xfId="0" applyNumberFormat="1" applyFont="1"/>
    <xf numFmtId="4" fontId="2" fillId="0" borderId="97" xfId="0" applyNumberFormat="1" applyFont="1" applyBorder="1" applyAlignment="1">
      <alignment vertical="center"/>
    </xf>
    <xf numFmtId="0" fontId="5" fillId="0" borderId="154" xfId="0" applyNumberFormat="1" applyFont="1" applyBorder="1" applyAlignment="1">
      <alignment vertical="center"/>
    </xf>
    <xf numFmtId="0" fontId="5" fillId="0" borderId="102" xfId="0" applyNumberFormat="1" applyFont="1" applyBorder="1" applyAlignment="1">
      <alignment vertical="center"/>
    </xf>
    <xf numFmtId="4" fontId="5" fillId="0" borderId="102" xfId="0" applyNumberFormat="1" applyFont="1" applyBorder="1" applyAlignment="1">
      <alignment vertical="center"/>
    </xf>
    <xf numFmtId="0" fontId="5" fillId="6" borderId="101" xfId="0" applyNumberFormat="1" applyFont="1" applyFill="1" applyBorder="1" applyAlignment="1">
      <alignment vertical="center"/>
    </xf>
    <xf numFmtId="0" fontId="5" fillId="6" borderId="102" xfId="0" applyNumberFormat="1" applyFont="1" applyFill="1" applyBorder="1" applyAlignment="1">
      <alignment vertical="center"/>
    </xf>
    <xf numFmtId="0" fontId="6" fillId="6" borderId="102" xfId="0" applyNumberFormat="1" applyFont="1" applyFill="1" applyBorder="1" applyAlignment="1">
      <alignment horizontal="center" vertical="center"/>
    </xf>
    <xf numFmtId="0" fontId="2" fillId="0" borderId="155" xfId="0" applyNumberFormat="1" applyFont="1" applyBorder="1" applyAlignment="1">
      <alignment vertical="center"/>
    </xf>
    <xf numFmtId="4" fontId="24" fillId="8" borderId="97" xfId="0" applyNumberFormat="1" applyFont="1" applyFill="1" applyBorder="1" applyAlignment="1">
      <alignment horizontal="center" vertical="center"/>
    </xf>
    <xf numFmtId="170" fontId="2" fillId="0" borderId="0" xfId="0" applyNumberFormat="1" applyFont="1" applyAlignment="1">
      <alignment vertical="center"/>
    </xf>
    <xf numFmtId="0" fontId="17" fillId="0" borderId="0" xfId="0" applyNumberFormat="1" applyFont="1" applyAlignment="1">
      <alignment vertical="center"/>
    </xf>
    <xf numFmtId="0" fontId="32" fillId="8" borderId="2" xfId="0" applyNumberFormat="1" applyFont="1" applyFill="1" applyBorder="1" applyAlignment="1">
      <alignment horizontal="center"/>
    </xf>
    <xf numFmtId="167" fontId="33" fillId="0" borderId="0" xfId="0" applyNumberFormat="1" applyFont="1" applyAlignment="1">
      <alignment vertical="center"/>
    </xf>
    <xf numFmtId="1" fontId="34" fillId="0" borderId="0" xfId="0" applyNumberFormat="1" applyFont="1"/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0" fontId="2" fillId="0" borderId="2" xfId="0" applyNumberFormat="1" applyFont="1" applyBorder="1"/>
    <xf numFmtId="0" fontId="6" fillId="0" borderId="5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6" fillId="0" borderId="60" xfId="0" applyNumberFormat="1" applyFont="1" applyBorder="1" applyAlignment="1">
      <alignment horizontal="center" vertical="center"/>
    </xf>
    <xf numFmtId="0" fontId="6" fillId="0" borderId="86" xfId="0" applyNumberFormat="1" applyFont="1" applyBorder="1" applyAlignment="1">
      <alignment horizontal="center" vertical="center"/>
    </xf>
    <xf numFmtId="0" fontId="6" fillId="0" borderId="27" xfId="0" applyNumberFormat="1" applyFont="1" applyBorder="1" applyAlignment="1">
      <alignment horizontal="center" vertical="center"/>
    </xf>
    <xf numFmtId="0" fontId="6" fillId="0" borderId="61" xfId="0" applyNumberFormat="1" applyFont="1" applyBorder="1" applyAlignment="1">
      <alignment horizontal="center" vertical="center"/>
    </xf>
    <xf numFmtId="0" fontId="6" fillId="0" borderId="87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4" xfId="0" applyNumberFormat="1" applyFont="1" applyBorder="1" applyAlignment="1">
      <alignment horizontal="center" vertical="center" wrapText="1"/>
    </xf>
    <xf numFmtId="0" fontId="6" fillId="0" borderId="90" xfId="0" applyNumberFormat="1" applyFont="1" applyBorder="1" applyAlignment="1">
      <alignment horizontal="center" vertical="center" wrapText="1"/>
    </xf>
    <xf numFmtId="0" fontId="6" fillId="0" borderId="28" xfId="0" applyNumberFormat="1" applyFont="1" applyBorder="1" applyAlignment="1">
      <alignment horizontal="center" vertical="center" wrapText="1"/>
    </xf>
    <xf numFmtId="0" fontId="6" fillId="0" borderId="62" xfId="0" applyNumberFormat="1" applyFont="1" applyBorder="1" applyAlignment="1">
      <alignment horizontal="center" vertical="center" wrapText="1"/>
    </xf>
    <xf numFmtId="0" fontId="6" fillId="0" borderId="88" xfId="0" applyNumberFormat="1" applyFont="1" applyBorder="1" applyAlignment="1">
      <alignment horizontal="center" vertical="center" wrapText="1"/>
    </xf>
    <xf numFmtId="0" fontId="6" fillId="0" borderId="29" xfId="0" applyNumberFormat="1" applyFont="1" applyBorder="1" applyAlignment="1">
      <alignment horizontal="center" vertical="center" wrapText="1"/>
    </xf>
    <xf numFmtId="0" fontId="6" fillId="0" borderId="63" xfId="0" applyNumberFormat="1" applyFont="1" applyBorder="1" applyAlignment="1">
      <alignment horizontal="center" vertical="center" wrapText="1"/>
    </xf>
    <xf numFmtId="0" fontId="6" fillId="0" borderId="89" xfId="0" applyNumberFormat="1" applyFont="1" applyBorder="1" applyAlignment="1">
      <alignment horizontal="center" vertical="center" wrapText="1"/>
    </xf>
    <xf numFmtId="0" fontId="24" fillId="8" borderId="2" xfId="0" applyNumberFormat="1" applyFont="1" applyFill="1" applyBorder="1" applyAlignment="1">
      <alignment horizontal="center" vertical="center" wrapText="1"/>
    </xf>
    <xf numFmtId="0" fontId="24" fillId="8" borderId="107" xfId="0" applyNumberFormat="1" applyFont="1" applyFill="1" applyBorder="1" applyAlignment="1">
      <alignment horizontal="center" vertical="center" wrapText="1"/>
    </xf>
    <xf numFmtId="0" fontId="6" fillId="0" borderId="65" xfId="0" applyNumberFormat="1" applyFont="1" applyBorder="1" applyAlignment="1">
      <alignment horizontal="center" vertical="center" wrapText="1"/>
    </xf>
    <xf numFmtId="0" fontId="6" fillId="0" borderId="91" xfId="0" applyNumberFormat="1" applyFont="1" applyBorder="1" applyAlignment="1">
      <alignment horizontal="center" vertical="center" wrapText="1"/>
    </xf>
    <xf numFmtId="0" fontId="6" fillId="0" borderId="52" xfId="0" applyNumberFormat="1" applyFont="1" applyBorder="1" applyAlignment="1">
      <alignment horizontal="center" vertical="center" wrapText="1"/>
    </xf>
    <xf numFmtId="0" fontId="6" fillId="0" borderId="76" xfId="0" applyNumberFormat="1" applyFont="1" applyBorder="1" applyAlignment="1">
      <alignment horizontal="center" vertical="center" wrapText="1"/>
    </xf>
    <xf numFmtId="0" fontId="6" fillId="0" borderId="95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51" xfId="0" applyNumberFormat="1" applyFont="1" applyBorder="1" applyAlignment="1">
      <alignment horizontal="center" vertical="center" wrapText="1"/>
    </xf>
    <xf numFmtId="4" fontId="6" fillId="0" borderId="75" xfId="0" applyNumberFormat="1" applyFont="1" applyBorder="1" applyAlignment="1">
      <alignment horizontal="center" vertical="center" wrapText="1"/>
    </xf>
    <xf numFmtId="4" fontId="6" fillId="0" borderId="50" xfId="0" applyNumberFormat="1" applyFont="1" applyBorder="1" applyAlignment="1">
      <alignment horizontal="center" vertical="center" wrapText="1"/>
    </xf>
    <xf numFmtId="4" fontId="6" fillId="0" borderId="74" xfId="0" applyNumberFormat="1" applyFont="1" applyBorder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4" fontId="6" fillId="0" borderId="22" xfId="0" applyNumberFormat="1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horizontal="center" vertical="center" wrapText="1"/>
    </xf>
    <xf numFmtId="4" fontId="6" fillId="0" borderId="36" xfId="0" applyNumberFormat="1" applyFont="1" applyBorder="1" applyAlignment="1">
      <alignment horizontal="center" vertical="center" wrapText="1"/>
    </xf>
    <xf numFmtId="4" fontId="6" fillId="0" borderId="37" xfId="0" applyNumberFormat="1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41" xfId="0" applyNumberFormat="1" applyFont="1" applyBorder="1" applyAlignment="1">
      <alignment horizontal="center" vertical="center" wrapText="1"/>
    </xf>
    <xf numFmtId="4" fontId="6" fillId="0" borderId="42" xfId="0" applyNumberFormat="1" applyFont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4" fontId="6" fillId="0" borderId="45" xfId="0" applyNumberFormat="1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4" fontId="6" fillId="0" borderId="47" xfId="0" applyNumberFormat="1" applyFont="1" applyBorder="1" applyAlignment="1">
      <alignment horizontal="center" vertical="center" wrapText="1"/>
    </xf>
    <xf numFmtId="4" fontId="6" fillId="0" borderId="48" xfId="0" applyNumberFormat="1" applyFont="1" applyBorder="1" applyAlignment="1">
      <alignment horizontal="center" vertical="center" wrapText="1"/>
    </xf>
    <xf numFmtId="4" fontId="6" fillId="0" borderId="49" xfId="0" applyNumberFormat="1" applyFont="1" applyBorder="1" applyAlignment="1">
      <alignment horizontal="center" vertical="center" wrapText="1"/>
    </xf>
    <xf numFmtId="4" fontId="6" fillId="0" borderId="35" xfId="0" applyNumberFormat="1" applyFont="1" applyBorder="1" applyAlignment="1">
      <alignment horizontal="center" vertical="center" wrapText="1"/>
    </xf>
    <xf numFmtId="4" fontId="6" fillId="0" borderId="73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34" xfId="0" applyNumberFormat="1" applyFont="1" applyBorder="1" applyAlignment="1">
      <alignment horizontal="center" vertical="center" wrapText="1"/>
    </xf>
    <xf numFmtId="3" fontId="6" fillId="0" borderId="72" xfId="0" applyNumberFormat="1" applyFont="1" applyBorder="1" applyAlignment="1">
      <alignment horizontal="center" vertical="center" wrapText="1"/>
    </xf>
    <xf numFmtId="169" fontId="6" fillId="0" borderId="6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6" fillId="0" borderId="71" xfId="0" applyNumberFormat="1" applyFont="1" applyBorder="1" applyAlignment="1">
      <alignment horizontal="center" vertical="center" wrapText="1"/>
    </xf>
    <xf numFmtId="169" fontId="6" fillId="0" borderId="70" xfId="0" applyNumberFormat="1" applyFont="1" applyBorder="1" applyAlignment="1">
      <alignment horizontal="center" vertical="center" wrapText="1"/>
    </xf>
    <xf numFmtId="169" fontId="6" fillId="0" borderId="33" xfId="0" applyNumberFormat="1" applyFont="1" applyBorder="1" applyAlignment="1">
      <alignment horizontal="center" vertical="center" wrapText="1"/>
    </xf>
    <xf numFmtId="169" fontId="6" fillId="0" borderId="69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 applyAlignment="1">
      <alignment horizontal="center" vertical="center" wrapText="1"/>
    </xf>
    <xf numFmtId="3" fontId="6" fillId="0" borderId="68" xfId="0" applyNumberFormat="1" applyFont="1" applyBorder="1" applyAlignment="1">
      <alignment horizontal="center" vertical="center" wrapText="1"/>
    </xf>
    <xf numFmtId="3" fontId="6" fillId="0" borderId="94" xfId="0" applyNumberFormat="1" applyFont="1" applyBorder="1" applyAlignment="1">
      <alignment horizontal="center" vertical="center" wrapText="1"/>
    </xf>
    <xf numFmtId="0" fontId="6" fillId="0" borderId="31" xfId="0" applyNumberFormat="1" applyFont="1" applyBorder="1" applyAlignment="1">
      <alignment horizontal="center" vertical="center" wrapText="1"/>
    </xf>
    <xf numFmtId="0" fontId="6" fillId="0" borderId="67" xfId="0" applyNumberFormat="1" applyFont="1" applyBorder="1" applyAlignment="1">
      <alignment horizontal="center" vertical="center" wrapText="1"/>
    </xf>
    <xf numFmtId="0" fontId="6" fillId="0" borderId="93" xfId="0" applyNumberFormat="1" applyFont="1" applyBorder="1" applyAlignment="1">
      <alignment horizontal="center" vertical="center" wrapText="1"/>
    </xf>
    <xf numFmtId="0" fontId="6" fillId="0" borderId="30" xfId="0" applyNumberFormat="1" applyFont="1" applyBorder="1" applyAlignment="1">
      <alignment horizontal="center" vertical="center" wrapText="1"/>
    </xf>
    <xf numFmtId="0" fontId="6" fillId="0" borderId="66" xfId="0" applyNumberFormat="1" applyFont="1" applyBorder="1" applyAlignment="1">
      <alignment horizontal="center" vertical="center" wrapText="1"/>
    </xf>
    <xf numFmtId="0" fontId="6" fillId="0" borderId="9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4" fontId="6" fillId="0" borderId="80" xfId="0" applyNumberFormat="1" applyFont="1" applyBorder="1" applyAlignment="1">
      <alignment horizontal="center" vertical="center" wrapText="1"/>
    </xf>
    <xf numFmtId="4" fontId="6" fillId="0" borderId="79" xfId="0" applyNumberFormat="1" applyFont="1" applyBorder="1" applyAlignment="1">
      <alignment horizontal="center" vertical="center" wrapText="1"/>
    </xf>
    <xf numFmtId="4" fontId="6" fillId="0" borderId="78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/>
    </xf>
    <xf numFmtId="4" fontId="6" fillId="0" borderId="54" xfId="0" applyNumberFormat="1" applyFont="1" applyBorder="1" applyAlignment="1">
      <alignment horizontal="center" vertical="center"/>
    </xf>
    <xf numFmtId="4" fontId="6" fillId="0" borderId="55" xfId="0" applyNumberFormat="1" applyFont="1" applyBorder="1" applyAlignment="1">
      <alignment horizontal="center" vertical="center"/>
    </xf>
    <xf numFmtId="4" fontId="6" fillId="0" borderId="56" xfId="0" applyNumberFormat="1" applyFont="1" applyBorder="1" applyAlignment="1">
      <alignment horizontal="center" vertical="center"/>
    </xf>
    <xf numFmtId="4" fontId="6" fillId="0" borderId="57" xfId="0" applyNumberFormat="1" applyFont="1" applyBorder="1" applyAlignment="1">
      <alignment horizontal="center" vertical="center"/>
    </xf>
    <xf numFmtId="4" fontId="6" fillId="0" borderId="58" xfId="0" applyNumberFormat="1" applyFont="1" applyBorder="1" applyAlignment="1">
      <alignment horizontal="center" vertical="center"/>
    </xf>
    <xf numFmtId="4" fontId="6" fillId="0" borderId="59" xfId="0" applyNumberFormat="1" applyFont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53" xfId="0" applyNumberFormat="1" applyFont="1" applyFill="1" applyBorder="1" applyAlignment="1">
      <alignment horizontal="center" vertical="center" wrapText="1"/>
    </xf>
    <xf numFmtId="4" fontId="6" fillId="3" borderId="77" xfId="0" applyNumberFormat="1" applyFont="1" applyFill="1" applyBorder="1" applyAlignment="1">
      <alignment horizontal="center" vertical="center" wrapText="1"/>
    </xf>
    <xf numFmtId="4" fontId="6" fillId="0" borderId="85" xfId="0" applyNumberFormat="1" applyFont="1" applyBorder="1" applyAlignment="1">
      <alignment horizontal="center" vertical="center" wrapText="1"/>
    </xf>
    <xf numFmtId="4" fontId="6" fillId="0" borderId="84" xfId="0" applyNumberFormat="1" applyFont="1" applyBorder="1" applyAlignment="1">
      <alignment horizontal="center" vertical="center" wrapText="1"/>
    </xf>
    <xf numFmtId="4" fontId="6" fillId="0" borderId="83" xfId="0" applyNumberFormat="1" applyFont="1" applyBorder="1" applyAlignment="1">
      <alignment horizontal="center" vertical="center" wrapText="1"/>
    </xf>
    <xf numFmtId="4" fontId="6" fillId="0" borderId="82" xfId="0" applyNumberFormat="1" applyFont="1" applyBorder="1" applyAlignment="1">
      <alignment horizontal="center" vertical="center" wrapText="1"/>
    </xf>
    <xf numFmtId="4" fontId="6" fillId="0" borderId="81" xfId="0" applyNumberFormat="1" applyFont="1" applyBorder="1" applyAlignment="1">
      <alignment horizontal="center" vertical="center" wrapText="1"/>
    </xf>
    <xf numFmtId="4" fontId="6" fillId="0" borderId="148" xfId="0" applyNumberFormat="1" applyFont="1" applyBorder="1" applyAlignment="1">
      <alignment horizontal="center" vertical="center" wrapText="1"/>
    </xf>
    <xf numFmtId="0" fontId="6" fillId="0" borderId="129" xfId="0" applyNumberFormat="1" applyFont="1" applyBorder="1" applyAlignment="1">
      <alignment horizontal="center" vertical="center" wrapText="1"/>
    </xf>
    <xf numFmtId="0" fontId="6" fillId="0" borderId="140" xfId="0" applyNumberFormat="1" applyFont="1" applyBorder="1" applyAlignment="1">
      <alignment horizontal="center" vertical="center" wrapText="1"/>
    </xf>
    <xf numFmtId="0" fontId="6" fillId="0" borderId="153" xfId="0" applyNumberFormat="1" applyFont="1" applyBorder="1" applyAlignment="1">
      <alignment horizontal="center" vertical="center" wrapText="1"/>
    </xf>
    <xf numFmtId="4" fontId="6" fillId="0" borderId="142" xfId="0" applyNumberFormat="1" applyFont="1" applyBorder="1" applyAlignment="1">
      <alignment horizontal="center" vertical="center" wrapText="1"/>
    </xf>
    <xf numFmtId="4" fontId="6" fillId="0" borderId="147" xfId="0" applyNumberFormat="1" applyFont="1" applyBorder="1" applyAlignment="1">
      <alignment horizontal="center" vertical="center" wrapText="1"/>
    </xf>
    <xf numFmtId="4" fontId="6" fillId="0" borderId="149" xfId="0" applyNumberFormat="1" applyFont="1" applyBorder="1" applyAlignment="1">
      <alignment horizontal="center" vertical="center" wrapText="1"/>
    </xf>
    <xf numFmtId="4" fontId="6" fillId="0" borderId="146" xfId="0" applyNumberFormat="1" applyFont="1" applyBorder="1" applyAlignment="1">
      <alignment horizontal="center" vertical="center" wrapText="1"/>
    </xf>
    <xf numFmtId="4" fontId="6" fillId="0" borderId="144" xfId="0" applyNumberFormat="1" applyFont="1" applyBorder="1" applyAlignment="1">
      <alignment horizontal="center" vertical="center" wrapText="1"/>
    </xf>
    <xf numFmtId="4" fontId="6" fillId="0" borderId="143" xfId="0" applyNumberFormat="1" applyFont="1" applyBorder="1" applyAlignment="1">
      <alignment horizontal="center" vertical="center" wrapText="1"/>
    </xf>
    <xf numFmtId="4" fontId="6" fillId="0" borderId="112" xfId="0" applyNumberFormat="1" applyFont="1" applyBorder="1" applyAlignment="1">
      <alignment horizontal="center" vertical="center" wrapText="1"/>
    </xf>
    <xf numFmtId="4" fontId="6" fillId="0" borderId="113" xfId="0" applyNumberFormat="1" applyFont="1" applyBorder="1" applyAlignment="1">
      <alignment horizontal="center" vertical="center" wrapText="1"/>
    </xf>
    <xf numFmtId="4" fontId="6" fillId="0" borderId="114" xfId="0" applyNumberFormat="1" applyFont="1" applyBorder="1" applyAlignment="1">
      <alignment horizontal="center" vertical="center" wrapText="1"/>
    </xf>
    <xf numFmtId="4" fontId="6" fillId="0" borderId="115" xfId="0" applyNumberFormat="1" applyFont="1" applyBorder="1" applyAlignment="1">
      <alignment horizontal="center" vertical="center" wrapText="1"/>
    </xf>
    <xf numFmtId="4" fontId="6" fillId="0" borderId="116" xfId="0" applyNumberFormat="1" applyFont="1" applyBorder="1" applyAlignment="1">
      <alignment horizontal="center" vertical="center" wrapText="1"/>
    </xf>
    <xf numFmtId="4" fontId="6" fillId="0" borderId="117" xfId="0" applyNumberFormat="1" applyFont="1" applyBorder="1" applyAlignment="1">
      <alignment horizontal="center" vertical="center" wrapText="1"/>
    </xf>
    <xf numFmtId="4" fontId="6" fillId="0" borderId="118" xfId="0" applyNumberFormat="1" applyFont="1" applyBorder="1" applyAlignment="1">
      <alignment horizontal="center" vertical="center" wrapText="1"/>
    </xf>
    <xf numFmtId="4" fontId="6" fillId="0" borderId="119" xfId="0" applyNumberFormat="1" applyFont="1" applyBorder="1" applyAlignment="1">
      <alignment horizontal="center" vertical="center" wrapText="1"/>
    </xf>
    <xf numFmtId="4" fontId="6" fillId="0" borderId="120" xfId="0" applyNumberFormat="1" applyFont="1" applyBorder="1" applyAlignment="1">
      <alignment horizontal="center" vertical="center" wrapText="1"/>
    </xf>
    <xf numFmtId="4" fontId="6" fillId="0" borderId="121" xfId="0" applyNumberFormat="1" applyFont="1" applyBorder="1" applyAlignment="1">
      <alignment horizontal="center" vertical="center" wrapText="1"/>
    </xf>
    <xf numFmtId="4" fontId="6" fillId="0" borderId="122" xfId="0" applyNumberFormat="1" applyFont="1" applyBorder="1" applyAlignment="1">
      <alignment horizontal="center" vertical="center" wrapText="1"/>
    </xf>
    <xf numFmtId="4" fontId="6" fillId="0" borderId="123" xfId="0" applyNumberFormat="1" applyFont="1" applyBorder="1" applyAlignment="1">
      <alignment horizontal="center" vertical="center" wrapText="1"/>
    </xf>
    <xf numFmtId="4" fontId="6" fillId="0" borderId="124" xfId="0" applyNumberFormat="1" applyFont="1" applyBorder="1" applyAlignment="1">
      <alignment horizontal="center" vertical="center" wrapText="1"/>
    </xf>
    <xf numFmtId="4" fontId="6" fillId="0" borderId="125" xfId="0" applyNumberFormat="1" applyFont="1" applyBorder="1" applyAlignment="1">
      <alignment horizontal="center" vertical="center" wrapText="1"/>
    </xf>
    <xf numFmtId="0" fontId="6" fillId="0" borderId="128" xfId="0" applyNumberFormat="1" applyFont="1" applyBorder="1" applyAlignment="1">
      <alignment horizontal="center" vertical="center" wrapText="1"/>
    </xf>
    <xf numFmtId="0" fontId="6" fillId="0" borderId="139" xfId="0" applyNumberFormat="1" applyFont="1" applyBorder="1" applyAlignment="1">
      <alignment horizontal="center" vertical="center" wrapText="1"/>
    </xf>
    <xf numFmtId="0" fontId="6" fillId="0" borderId="15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/>
    </xf>
    <xf numFmtId="0" fontId="6" fillId="0" borderId="127" xfId="0" applyNumberFormat="1" applyFont="1" applyBorder="1" applyAlignment="1">
      <alignment horizontal="center" vertical="center"/>
    </xf>
    <xf numFmtId="0" fontId="6" fillId="0" borderId="138" xfId="0" applyNumberFormat="1" applyFont="1" applyBorder="1" applyAlignment="1">
      <alignment horizontal="center" vertical="center"/>
    </xf>
    <xf numFmtId="0" fontId="6" fillId="0" borderId="151" xfId="0" applyNumberFormat="1" applyFont="1" applyBorder="1" applyAlignment="1">
      <alignment horizontal="center" vertical="center"/>
    </xf>
    <xf numFmtId="0" fontId="6" fillId="0" borderId="126" xfId="0" applyNumberFormat="1" applyFont="1" applyBorder="1" applyAlignment="1">
      <alignment horizontal="center" vertical="center"/>
    </xf>
    <xf numFmtId="0" fontId="6" fillId="0" borderId="137" xfId="0" applyNumberFormat="1" applyFont="1" applyBorder="1" applyAlignment="1">
      <alignment horizontal="center" vertical="center"/>
    </xf>
    <xf numFmtId="0" fontId="6" fillId="0" borderId="150" xfId="0" applyNumberFormat="1" applyFont="1" applyBorder="1" applyAlignment="1">
      <alignment horizontal="center" vertical="center"/>
    </xf>
    <xf numFmtId="4" fontId="6" fillId="0" borderId="130" xfId="0" applyNumberFormat="1" applyFont="1" applyBorder="1" applyAlignment="1">
      <alignment horizontal="center" vertical="center" wrapText="1"/>
    </xf>
    <xf numFmtId="4" fontId="6" fillId="0" borderId="141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/>
    </xf>
    <xf numFmtId="4" fontId="6" fillId="0" borderId="131" xfId="0" applyNumberFormat="1" applyFont="1" applyBorder="1" applyAlignment="1">
      <alignment horizontal="center"/>
    </xf>
    <xf numFmtId="4" fontId="6" fillId="0" borderId="132" xfId="0" applyNumberFormat="1" applyFont="1" applyBorder="1" applyAlignment="1">
      <alignment horizontal="center"/>
    </xf>
    <xf numFmtId="4" fontId="6" fillId="0" borderId="133" xfId="0" applyNumberFormat="1" applyFont="1" applyBorder="1" applyAlignment="1">
      <alignment horizontal="center"/>
    </xf>
    <xf numFmtId="4" fontId="6" fillId="0" borderId="134" xfId="0" applyNumberFormat="1" applyFont="1" applyBorder="1" applyAlignment="1">
      <alignment horizontal="center"/>
    </xf>
    <xf numFmtId="4" fontId="6" fillId="0" borderId="135" xfId="0" applyNumberFormat="1" applyFont="1" applyBorder="1" applyAlignment="1">
      <alignment horizontal="center"/>
    </xf>
    <xf numFmtId="4" fontId="6" fillId="0" borderId="136" xfId="0" applyNumberFormat="1" applyFont="1" applyBorder="1" applyAlignment="1">
      <alignment horizontal="center"/>
    </xf>
    <xf numFmtId="4" fontId="6" fillId="0" borderId="14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fkrserver2/&#1054;&#1040;&#1055;/Users/&#1042;&#1080;&#1085;&#1086;&#1082;&#1091;&#1088;&#1086;&#1074;&#1072;_&#1042;&#1042;/AppData/Local/Microsoft/fkrserver2/&#1054;&#1040;&#1055;/Users/&#1042;&#1072;&#1089;&#1080;&#1083;&#1080;&#1081;/Desktop/&#1059;&#1078;&#1080;&#1085;&#1089;&#1082;&#1072;&#1103;/&#1056;&#1055;&#1050;&#1056;%20&#1050;&#1055;&#1050;&#1056;/&#1055;&#1088;&#1080;&#1082;&#1072;&#1079;%2067&#1086;&#1076;/&#1055;&#1088;&#1086;&#1077;&#1082;&#1090;%20&#1050;&#1055;&#1050;&#1056;%202019-2021%2004.02.22_&#1087;&#1086;&#1089;&#1083;&#1077;&#1076;&#1085;&#1080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://fkrserver2/&#1054;&#1040;&#1055;/Users/&#1042;&#1080;&#1085;&#1086;&#1082;&#1091;&#1088;&#1086;&#1074;&#1072;_&#1042;&#1042;/AppData/Local/Microsoft/fkrserver2/&#1054;&#1040;&#1055;/Users/&#1042;&#1072;&#1089;&#1080;&#1083;&#1080;&#1081;/Desktop/&#1059;&#1078;&#1080;&#1085;&#1089;&#1082;&#1072;&#1103;/&#1056;&#1055;&#1050;&#1056;%20&#1050;&#1055;&#1050;&#1056;/&#1055;&#1088;&#1080;&#1082;&#1072;&#1079;%2067&#1086;&#1076;/&#1042;&#1085;&#1077;&#1089;%20&#1080;&#1079;&#1084;/&#1055;&#1088;&#1086;&#1077;&#1082;&#1090;%20&#1050;&#1055;&#1050;&#1056;%202019-2021%20&#1074;%20&#1052;&#1046;&#1050;&#106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1/Desktop/&#1059;&#1078;&#1080;&#1085;&#1089;&#1082;&#1072;&#1103;/&#1059;&#1078;&#1080;&#1085;&#1089;&#1082;&#1072;&#1103;/&#1056;&#1055;&#1050;&#1056;%20&#1050;&#1055;&#1050;&#1056;/&#1050;&#1055;&#1050;&#1056;%20&#1085;&#1072;%202022-2024/13.%20&#1055;&#1088;&#1080;&#1082;&#1072;&#1079;%20&#1052;&#1046;&#1050;&#1061;%20454-&#1054;&#1044;%20&#1086;&#1090;%2015.10.2024&#1075;.%202022-2024&#1075;&#1075;/&#1054;&#1090;&#1095;&#1077;&#1090;%20&#1086;%20&#1076;&#1074;&#1080;&#1078;&#1077;&#1085;&#1080;&#1080;%20&#1089;&#1088;&#1077;&#1076;&#1089;&#1090;&#1074;%20-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&#1042;&#1080;&#1085;&#1086;&#1082;&#1091;&#1088;&#1086;&#1074;&#1072;_&#1042;&#1042;/Downloads/&#1054;&#1090;&#1095;&#1077;&#1090;%20&#1086;%20&#1076;&#1074;&#1080;&#1078;&#1077;&#1085;&#1080;&#1080;%20&#1089;&#1088;&#1077;&#1076;&#1089;&#1090;&#1074;%20(5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1"/>
    </sheetNames>
    <sheetDataSet>
      <sheetData sheetId="0">
        <row r="83">
          <cell r="R83"/>
          <cell r="S83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1"/>
    </sheetNames>
    <sheetDataSet>
      <sheetData sheetId="0">
        <row r="23">
          <cell r="R23"/>
          <cell r="S23"/>
        </row>
        <row r="346">
          <cell r="R346"/>
          <cell r="S346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1">
          <cell r="AQ11">
            <v>1427296.36</v>
          </cell>
        </row>
        <row r="13">
          <cell r="AQ13">
            <v>330702.87</v>
          </cell>
        </row>
        <row r="16">
          <cell r="AQ16">
            <v>877990.46</v>
          </cell>
        </row>
        <row r="17">
          <cell r="AQ17">
            <v>261846.71</v>
          </cell>
        </row>
        <row r="19">
          <cell r="AQ19">
            <v>1011069.82</v>
          </cell>
        </row>
        <row r="20">
          <cell r="AP20">
            <v>974240.73</v>
          </cell>
        </row>
        <row r="21">
          <cell r="AQ21">
            <v>2350928.29</v>
          </cell>
        </row>
        <row r="22">
          <cell r="AQ22">
            <v>1138306.8700000001</v>
          </cell>
        </row>
        <row r="23">
          <cell r="AQ23">
            <v>712630.73</v>
          </cell>
        </row>
        <row r="24">
          <cell r="AQ24">
            <v>1081940.96</v>
          </cell>
        </row>
        <row r="28">
          <cell r="AQ28">
            <v>184024.5</v>
          </cell>
        </row>
        <row r="32">
          <cell r="BC32">
            <v>646471.06999999995</v>
          </cell>
        </row>
        <row r="34">
          <cell r="AQ34">
            <v>754595.44</v>
          </cell>
        </row>
        <row r="39">
          <cell r="AQ39">
            <v>279379.40000000002</v>
          </cell>
        </row>
        <row r="45">
          <cell r="AQ45">
            <v>61259.75</v>
          </cell>
        </row>
        <row r="47">
          <cell r="AQ47">
            <v>3138078.39</v>
          </cell>
        </row>
        <row r="49">
          <cell r="AQ49">
            <v>721387.79</v>
          </cell>
        </row>
        <row r="50">
          <cell r="AQ50">
            <v>4653992.55</v>
          </cell>
        </row>
        <row r="56">
          <cell r="AQ56">
            <v>4014803.38</v>
          </cell>
        </row>
        <row r="64">
          <cell r="AQ64">
            <v>2758393.44</v>
          </cell>
        </row>
        <row r="67">
          <cell r="AQ67">
            <v>1067596.8700000001</v>
          </cell>
        </row>
        <row r="69">
          <cell r="AQ69">
            <v>29563996.280000001</v>
          </cell>
        </row>
        <row r="71">
          <cell r="AQ71">
            <v>187317.64</v>
          </cell>
        </row>
        <row r="72">
          <cell r="AQ72">
            <v>254349.57</v>
          </cell>
        </row>
        <row r="73">
          <cell r="AQ73">
            <v>2131913.84</v>
          </cell>
        </row>
        <row r="87">
          <cell r="AQ87">
            <v>2550060.15</v>
          </cell>
        </row>
        <row r="92">
          <cell r="AQ92">
            <v>363574.43</v>
          </cell>
        </row>
        <row r="94">
          <cell r="AQ94">
            <v>1522087.74</v>
          </cell>
        </row>
        <row r="95">
          <cell r="AQ95">
            <v>1734003.69</v>
          </cell>
        </row>
        <row r="97">
          <cell r="BC97">
            <v>203289.13</v>
          </cell>
        </row>
        <row r="99">
          <cell r="AQ99"/>
        </row>
        <row r="112">
          <cell r="AQ112">
            <v>11718221</v>
          </cell>
        </row>
        <row r="113">
          <cell r="AQ113">
            <v>11917803.300000001</v>
          </cell>
        </row>
        <row r="115">
          <cell r="AQ115">
            <v>4958926.66</v>
          </cell>
        </row>
        <row r="121">
          <cell r="AQ121">
            <v>8582569.3000000007</v>
          </cell>
        </row>
        <row r="123">
          <cell r="AQ123">
            <v>291033.01</v>
          </cell>
        </row>
        <row r="126">
          <cell r="AQ126">
            <v>6463970.1699999999</v>
          </cell>
        </row>
        <row r="135">
          <cell r="AQ135">
            <v>7145845.7999999998</v>
          </cell>
        </row>
        <row r="137">
          <cell r="AQ137">
            <v>303111.59999999998</v>
          </cell>
        </row>
        <row r="139">
          <cell r="AQ139">
            <v>46387</v>
          </cell>
        </row>
        <row r="140">
          <cell r="AQ140">
            <v>2632114.16</v>
          </cell>
        </row>
        <row r="142">
          <cell r="AQ142">
            <v>12678894.949999999</v>
          </cell>
        </row>
        <row r="143">
          <cell r="AQ143">
            <v>432667.76</v>
          </cell>
        </row>
        <row r="144">
          <cell r="AQ144">
            <v>1914011.42</v>
          </cell>
        </row>
        <row r="145">
          <cell r="BC145">
            <v>2820894.2</v>
          </cell>
        </row>
        <row r="148">
          <cell r="AQ148">
            <v>4310443.32</v>
          </cell>
        </row>
        <row r="149">
          <cell r="BC149">
            <v>468663.01</v>
          </cell>
        </row>
        <row r="150">
          <cell r="AQ150">
            <v>13019223.800000001</v>
          </cell>
        </row>
        <row r="151">
          <cell r="AQ151">
            <v>11023791.140000001</v>
          </cell>
        </row>
        <row r="152">
          <cell r="AQ152">
            <v>6313279.9400000004</v>
          </cell>
        </row>
        <row r="153">
          <cell r="AQ153">
            <v>4461045.8</v>
          </cell>
        </row>
        <row r="154">
          <cell r="AQ154">
            <v>6137883.54</v>
          </cell>
        </row>
        <row r="156">
          <cell r="AQ156">
            <v>2599774.96</v>
          </cell>
        </row>
        <row r="159">
          <cell r="AQ159">
            <v>8249286.1299999999</v>
          </cell>
        </row>
        <row r="160">
          <cell r="AQ160">
            <v>4284306.5599999996</v>
          </cell>
        </row>
        <row r="162">
          <cell r="AQ162">
            <v>572646.13</v>
          </cell>
        </row>
        <row r="166">
          <cell r="AQ166">
            <v>2292875.7400000002</v>
          </cell>
        </row>
        <row r="167">
          <cell r="AQ167">
            <v>9496638.7100000009</v>
          </cell>
        </row>
        <row r="168">
          <cell r="AQ168">
            <v>10840071.27</v>
          </cell>
        </row>
        <row r="170">
          <cell r="AQ170">
            <v>3361436.88</v>
          </cell>
        </row>
        <row r="171">
          <cell r="AQ171">
            <v>1491863.12</v>
          </cell>
        </row>
        <row r="172">
          <cell r="AQ172">
            <v>3452425.1</v>
          </cell>
        </row>
        <row r="173">
          <cell r="AQ173">
            <v>3891599.37</v>
          </cell>
        </row>
        <row r="175">
          <cell r="AQ175">
            <v>739212.5</v>
          </cell>
        </row>
        <row r="182">
          <cell r="AQ182">
            <v>6495368.5700000003</v>
          </cell>
        </row>
        <row r="183">
          <cell r="AQ183">
            <v>4099363.34</v>
          </cell>
        </row>
        <row r="184">
          <cell r="AQ184">
            <v>7446961.7999999998</v>
          </cell>
        </row>
        <row r="185">
          <cell r="AQ185">
            <v>3262126.09</v>
          </cell>
        </row>
        <row r="186">
          <cell r="AQ186">
            <v>6929107.96</v>
          </cell>
        </row>
        <row r="187">
          <cell r="AQ187">
            <v>7536853.8499999996</v>
          </cell>
        </row>
        <row r="194">
          <cell r="AQ194">
            <v>4714852.09</v>
          </cell>
        </row>
        <row r="196">
          <cell r="BC196">
            <v>2073222.36</v>
          </cell>
        </row>
        <row r="197">
          <cell r="AQ197">
            <v>1705317.69</v>
          </cell>
        </row>
        <row r="203">
          <cell r="AQ203">
            <v>5805292.3899999997</v>
          </cell>
        </row>
        <row r="204">
          <cell r="AQ204">
            <v>17226575.699999999</v>
          </cell>
        </row>
        <row r="205">
          <cell r="AQ205">
            <v>3819024.81</v>
          </cell>
        </row>
        <row r="210">
          <cell r="AQ210">
            <v>1414144.83</v>
          </cell>
        </row>
        <row r="211">
          <cell r="AQ211">
            <v>8430467.6699999999</v>
          </cell>
        </row>
        <row r="220">
          <cell r="AQ220">
            <v>2590822.91</v>
          </cell>
        </row>
        <row r="221">
          <cell r="AQ221">
            <v>1126433.8400000001</v>
          </cell>
        </row>
        <row r="223">
          <cell r="AQ223">
            <v>5532177.5899999999</v>
          </cell>
        </row>
        <row r="239">
          <cell r="AQ239">
            <v>766015.77</v>
          </cell>
        </row>
        <row r="242">
          <cell r="AQ242">
            <v>331346.99</v>
          </cell>
        </row>
        <row r="243">
          <cell r="AQ243">
            <v>1051052.94</v>
          </cell>
        </row>
        <row r="244">
          <cell r="AQ244">
            <v>618595.75</v>
          </cell>
        </row>
        <row r="245">
          <cell r="AQ245">
            <v>592912.56000000006</v>
          </cell>
        </row>
        <row r="254">
          <cell r="AQ254">
            <v>1282175.44</v>
          </cell>
        </row>
        <row r="255">
          <cell r="AQ255">
            <v>4301198.3499999996</v>
          </cell>
        </row>
        <row r="257">
          <cell r="AQ257">
            <v>158652.38</v>
          </cell>
        </row>
        <row r="260">
          <cell r="AQ260">
            <v>12359996.74</v>
          </cell>
        </row>
        <row r="264">
          <cell r="AQ264">
            <v>19055874.25</v>
          </cell>
        </row>
        <row r="265">
          <cell r="AQ265">
            <v>19553295.690000001</v>
          </cell>
        </row>
        <row r="266">
          <cell r="AQ266">
            <v>14193901.189999999</v>
          </cell>
        </row>
        <row r="270">
          <cell r="AQ270">
            <v>8962836.4199999999</v>
          </cell>
        </row>
        <row r="271">
          <cell r="AQ271">
            <v>7241651.5800000001</v>
          </cell>
        </row>
        <row r="277">
          <cell r="AQ277">
            <v>4784106.34</v>
          </cell>
        </row>
        <row r="280">
          <cell r="BC280">
            <v>59734.07</v>
          </cell>
        </row>
        <row r="284">
          <cell r="AQ284">
            <v>13437107.82</v>
          </cell>
        </row>
        <row r="287">
          <cell r="AQ287">
            <v>3495110.32</v>
          </cell>
        </row>
        <row r="291">
          <cell r="AQ291">
            <v>489644.57</v>
          </cell>
        </row>
        <row r="293">
          <cell r="AQ293">
            <v>4691677.09</v>
          </cell>
        </row>
        <row r="294">
          <cell r="AQ294">
            <v>3921696.03</v>
          </cell>
        </row>
        <row r="302">
          <cell r="AQ302">
            <v>17398372.780000001</v>
          </cell>
        </row>
        <row r="306">
          <cell r="AQ306">
            <v>2601916.2400000002</v>
          </cell>
        </row>
        <row r="308">
          <cell r="AQ308">
            <v>3495300.18</v>
          </cell>
        </row>
        <row r="313">
          <cell r="AQ313">
            <v>5305764.45</v>
          </cell>
        </row>
        <row r="314">
          <cell r="AQ314">
            <v>4548461.87</v>
          </cell>
        </row>
        <row r="316">
          <cell r="AQ316">
            <v>6143184.0700000003</v>
          </cell>
        </row>
        <row r="319">
          <cell r="AQ319">
            <v>5330333.55</v>
          </cell>
        </row>
        <row r="321">
          <cell r="AQ321">
            <v>8590695.7400000002</v>
          </cell>
        </row>
        <row r="322">
          <cell r="AQ322">
            <v>10318155.050000001</v>
          </cell>
        </row>
        <row r="323">
          <cell r="AQ323">
            <v>5917907.4299999997</v>
          </cell>
        </row>
        <row r="325">
          <cell r="AQ325">
            <v>5064237.34</v>
          </cell>
        </row>
        <row r="326">
          <cell r="AQ326">
            <v>7296669.8099999996</v>
          </cell>
        </row>
        <row r="327">
          <cell r="AQ327">
            <v>14198801.34</v>
          </cell>
        </row>
        <row r="329">
          <cell r="AQ329">
            <v>1372210.89</v>
          </cell>
        </row>
        <row r="330">
          <cell r="AQ330">
            <v>10571697.07</v>
          </cell>
        </row>
        <row r="332">
          <cell r="AQ332">
            <v>3884523.35</v>
          </cell>
        </row>
        <row r="334">
          <cell r="AQ334">
            <v>14339287.82</v>
          </cell>
        </row>
        <row r="335">
          <cell r="AQ335">
            <v>19669001.859999999</v>
          </cell>
        </row>
        <row r="336">
          <cell r="AQ336">
            <v>20005818.149999999</v>
          </cell>
        </row>
        <row r="337">
          <cell r="AQ337">
            <v>19891383.800000001</v>
          </cell>
        </row>
        <row r="338">
          <cell r="AQ338">
            <v>23089531.379999999</v>
          </cell>
        </row>
        <row r="339">
          <cell r="AQ339">
            <v>5568483.6399999997</v>
          </cell>
        </row>
        <row r="343">
          <cell r="AQ343">
            <v>2955407.27</v>
          </cell>
        </row>
        <row r="344">
          <cell r="AQ344">
            <v>10981237.310000001</v>
          </cell>
        </row>
        <row r="345">
          <cell r="AQ345">
            <v>4584674.3</v>
          </cell>
        </row>
        <row r="346">
          <cell r="AQ346">
            <v>3253642.8</v>
          </cell>
        </row>
        <row r="347">
          <cell r="AQ347">
            <v>3313717.2</v>
          </cell>
        </row>
        <row r="348">
          <cell r="AQ348">
            <v>239463.3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">
          <cell r="BC5">
            <v>-4786019.83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BI871"/>
  <sheetViews>
    <sheetView showZeros="0" tabSelected="1" workbookViewId="0">
      <pane xSplit="4" ySplit="12" topLeftCell="N13" activePane="bottomRight" state="frozen"/>
      <selection pane="topRight"/>
      <selection pane="bottomLeft"/>
      <selection pane="bottomRight" activeCell="P872" sqref="P872"/>
    </sheetView>
  </sheetViews>
  <sheetFormatPr defaultColWidth="9.140625" defaultRowHeight="15"/>
  <cols>
    <col min="1" max="1" width="8.140625" style="1" customWidth="1"/>
    <col min="2" max="2" width="10" style="1" customWidth="1"/>
    <col min="3" max="3" width="33.5703125" style="1" customWidth="1"/>
    <col min="4" max="4" width="66" style="1" customWidth="1"/>
    <col min="5" max="5" width="12.42578125" style="2" customWidth="1"/>
    <col min="6" max="6" width="12.7109375" style="2" customWidth="1"/>
    <col min="7" max="7" width="16.28515625" style="2" customWidth="1"/>
    <col min="8" max="8" width="9" style="2" customWidth="1"/>
    <col min="9" max="9" width="8.7109375" style="2" customWidth="1"/>
    <col min="10" max="10" width="14" style="1" customWidth="1"/>
    <col min="11" max="11" width="17.140625" style="1" customWidth="1"/>
    <col min="12" max="12" width="16.7109375" style="1" customWidth="1"/>
    <col min="13" max="13" width="16.85546875" style="1" customWidth="1"/>
    <col min="14" max="14" width="21" style="1" customWidth="1"/>
    <col min="15" max="15" width="18.85546875" style="1" customWidth="1"/>
    <col min="16" max="16" width="22.140625" style="1" customWidth="1"/>
    <col min="17" max="18" width="22.42578125" style="3" hidden="1" customWidth="1"/>
    <col min="19" max="19" width="19.42578125" style="1" customWidth="1"/>
    <col min="20" max="21" width="19.42578125" style="3" hidden="1" customWidth="1"/>
    <col min="22" max="22" width="21.7109375" style="1" customWidth="1"/>
    <col min="23" max="24" width="21.7109375" style="3" hidden="1" customWidth="1"/>
    <col min="25" max="25" width="22.28515625" style="1" customWidth="1"/>
    <col min="26" max="27" width="22.28515625" style="3" hidden="1" customWidth="1"/>
    <col min="28" max="28" width="22.28515625" style="1" customWidth="1"/>
    <col min="29" max="30" width="22.28515625" style="4" hidden="1" customWidth="1"/>
    <col min="31" max="32" width="17.140625" style="1" customWidth="1"/>
    <col min="33" max="33" width="14.5703125" style="2" customWidth="1"/>
    <col min="34" max="34" width="17.140625" style="1" hidden="1" customWidth="1"/>
    <col min="35" max="35" width="16.42578125" style="5" hidden="1" customWidth="1"/>
    <col min="36" max="37" width="17.28515625" style="5" hidden="1" customWidth="1"/>
    <col min="38" max="38" width="20.140625" style="6" hidden="1" customWidth="1"/>
    <col min="39" max="39" width="19.140625" style="1" hidden="1" customWidth="1"/>
    <col min="40" max="53" width="16.28515625" style="1" hidden="1" customWidth="1"/>
    <col min="54" max="54" width="17.85546875" style="1" hidden="1" customWidth="1"/>
    <col min="55" max="55" width="23.28515625" style="1" hidden="1" customWidth="1"/>
    <col min="56" max="56" width="14.85546875" style="1" hidden="1" customWidth="1"/>
    <col min="57" max="57" width="22.28515625" style="1" customWidth="1"/>
    <col min="58" max="58" width="9.140625" style="1" bestFit="1" customWidth="1"/>
    <col min="59" max="59" width="23.42578125" style="1" customWidth="1"/>
    <col min="60" max="60" width="28" style="1" customWidth="1"/>
    <col min="61" max="61" width="24.85546875" style="1" customWidth="1"/>
    <col min="62" max="62" width="9.140625" style="1" bestFit="1" customWidth="1"/>
    <col min="63" max="16384" width="9.140625" style="1"/>
  </cols>
  <sheetData>
    <row r="1" spans="1:54" ht="15.75" hidden="1">
      <c r="V1" s="5" t="e">
        <f>N491-#REF!</f>
        <v>#REF!</v>
      </c>
      <c r="W1" s="7"/>
      <c r="X1" s="7"/>
      <c r="Y1" s="5"/>
      <c r="Z1" s="7"/>
      <c r="AA1" s="7"/>
      <c r="AB1" s="5"/>
      <c r="AC1" s="8"/>
      <c r="AD1" s="8"/>
      <c r="AG1" s="9" t="s">
        <v>0</v>
      </c>
    </row>
    <row r="2" spans="1:54" ht="15.75" hidden="1">
      <c r="N2" s="5"/>
      <c r="P2" s="11">
        <v>444755619.99760002</v>
      </c>
      <c r="Q2" s="13"/>
      <c r="R2" s="13"/>
      <c r="S2" s="5" t="e">
        <f>#REF!-N655</f>
        <v>#REF!</v>
      </c>
      <c r="T2" s="7"/>
      <c r="U2" s="7"/>
      <c r="V2" s="16" t="e">
        <f>#REF!-N750</f>
        <v>#REF!</v>
      </c>
      <c r="W2" s="17"/>
      <c r="X2" s="17"/>
      <c r="Y2" s="18"/>
      <c r="Z2" s="20"/>
      <c r="AA2" s="20"/>
      <c r="AB2" s="18"/>
      <c r="AC2" s="21"/>
      <c r="AD2" s="21"/>
      <c r="AG2" s="9" t="s">
        <v>4</v>
      </c>
    </row>
    <row r="3" spans="1:54" ht="18.75" hidden="1">
      <c r="N3" s="5"/>
      <c r="P3" s="5" t="e">
        <f>P2-#REF!</f>
        <v>#REF!</v>
      </c>
      <c r="Q3" s="7"/>
      <c r="R3" s="7"/>
      <c r="S3" s="23" t="e">
        <f>N583-#REF!</f>
        <v>#REF!</v>
      </c>
      <c r="T3" s="24"/>
      <c r="U3" s="24"/>
      <c r="V3" s="25"/>
      <c r="W3" s="26"/>
      <c r="X3" s="26"/>
      <c r="Y3" s="18" t="e">
        <f>#REF!-N590</f>
        <v>#REF!</v>
      </c>
      <c r="Z3" s="20"/>
      <c r="AA3" s="20"/>
      <c r="AB3" s="18"/>
      <c r="AC3" s="21"/>
      <c r="AD3" s="21"/>
      <c r="AG3" s="9"/>
    </row>
    <row r="4" spans="1:54" hidden="1">
      <c r="P4" s="27" t="s">
        <v>5</v>
      </c>
      <c r="Q4" s="7"/>
      <c r="R4" s="7"/>
      <c r="S4" s="5"/>
      <c r="T4" s="7"/>
      <c r="U4" s="7"/>
      <c r="V4" s="5"/>
      <c r="W4" s="7"/>
      <c r="X4" s="7"/>
      <c r="Y4" s="5"/>
      <c r="Z4" s="7"/>
      <c r="AA4" s="7"/>
      <c r="AB4" s="5"/>
      <c r="AC4" s="8"/>
      <c r="AD4" s="8"/>
    </row>
    <row r="5" spans="1:54">
      <c r="P5" s="5"/>
      <c r="Q5" s="7"/>
      <c r="R5" s="7"/>
      <c r="V5" s="5"/>
      <c r="W5" s="7"/>
      <c r="X5" s="7"/>
      <c r="Y5" s="5"/>
      <c r="Z5" s="7"/>
      <c r="AA5" s="7"/>
      <c r="AB5" s="5"/>
      <c r="AC5" s="8"/>
      <c r="AD5" s="8"/>
      <c r="AE5" s="5"/>
      <c r="AF5" s="5"/>
      <c r="AH5" s="5"/>
    </row>
    <row r="6" spans="1:54" ht="20.25">
      <c r="A6" s="352" t="s">
        <v>6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352"/>
      <c r="AB6" s="352"/>
      <c r="AC6" s="352"/>
      <c r="AD6" s="352"/>
      <c r="AE6" s="352"/>
      <c r="AF6" s="352"/>
      <c r="AG6" s="352"/>
      <c r="AH6" s="34"/>
      <c r="AK6" s="35"/>
      <c r="AM6" s="5">
        <f>N22-AL22</f>
        <v>1311120.1400000001</v>
      </c>
      <c r="AN6" s="18"/>
    </row>
    <row r="7" spans="1:54" ht="17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8"/>
      <c r="O7" s="38"/>
      <c r="P7" s="38"/>
      <c r="Q7" s="39"/>
      <c r="R7" s="39"/>
      <c r="S7" s="38"/>
      <c r="T7" s="39"/>
      <c r="U7" s="39"/>
      <c r="V7" s="38"/>
      <c r="W7" s="39"/>
      <c r="X7" s="39"/>
      <c r="Y7" s="38"/>
      <c r="Z7" s="39"/>
      <c r="AA7" s="39"/>
      <c r="AB7" s="38"/>
      <c r="AC7" s="41"/>
      <c r="AD7" s="41"/>
      <c r="AE7" s="42"/>
      <c r="AF7" s="36"/>
      <c r="AG7" s="42"/>
      <c r="AH7" s="34"/>
      <c r="AM7" s="18"/>
    </row>
    <row r="8" spans="1:54">
      <c r="A8" s="43"/>
      <c r="B8" s="43"/>
      <c r="C8" s="43"/>
      <c r="D8" s="43"/>
      <c r="I8" s="44"/>
      <c r="J8" s="45"/>
      <c r="K8" s="45"/>
      <c r="L8" s="45"/>
      <c r="M8" s="46"/>
      <c r="N8" s="47"/>
      <c r="O8" s="47"/>
      <c r="P8" s="47"/>
      <c r="Q8" s="48"/>
      <c r="R8" s="48"/>
      <c r="S8" s="47"/>
      <c r="T8" s="48"/>
      <c r="U8" s="48"/>
      <c r="V8" s="47"/>
      <c r="W8" s="48"/>
      <c r="X8" s="48"/>
      <c r="Y8" s="47"/>
      <c r="Z8" s="48"/>
      <c r="AA8" s="48"/>
      <c r="AB8" s="47"/>
      <c r="AC8" s="49"/>
      <c r="AD8" s="49"/>
      <c r="AE8" s="50"/>
      <c r="AF8" s="50"/>
      <c r="AH8" s="5"/>
    </row>
    <row r="9" spans="1:54" s="51" customFormat="1" ht="14.25" customHeight="1">
      <c r="A9" s="324" t="s">
        <v>8</v>
      </c>
      <c r="B9" s="324" t="s">
        <v>8</v>
      </c>
      <c r="C9" s="331" t="s">
        <v>9</v>
      </c>
      <c r="D9" s="331" t="s">
        <v>10</v>
      </c>
      <c r="E9" s="403" t="s">
        <v>11</v>
      </c>
      <c r="F9" s="404"/>
      <c r="G9" s="331" t="s">
        <v>12</v>
      </c>
      <c r="H9" s="331" t="s">
        <v>13</v>
      </c>
      <c r="I9" s="393" t="s">
        <v>14</v>
      </c>
      <c r="J9" s="387" t="s">
        <v>15</v>
      </c>
      <c r="K9" s="387" t="s">
        <v>16</v>
      </c>
      <c r="L9" s="388"/>
      <c r="M9" s="384" t="s">
        <v>17</v>
      </c>
      <c r="N9" s="353" t="s">
        <v>18</v>
      </c>
      <c r="O9" s="354"/>
      <c r="P9" s="355"/>
      <c r="Q9" s="356"/>
      <c r="R9" s="357"/>
      <c r="S9" s="358"/>
      <c r="T9" s="359"/>
      <c r="U9" s="360"/>
      <c r="V9" s="361"/>
      <c r="W9" s="362"/>
      <c r="X9" s="363"/>
      <c r="Y9" s="364"/>
      <c r="Z9" s="365"/>
      <c r="AA9" s="366"/>
      <c r="AB9" s="367"/>
      <c r="AC9" s="55"/>
      <c r="AD9" s="55"/>
      <c r="AE9" s="347" t="s">
        <v>19</v>
      </c>
      <c r="AF9" s="347" t="s">
        <v>20</v>
      </c>
      <c r="AG9" s="331" t="s">
        <v>21</v>
      </c>
      <c r="AI9" s="5">
        <f>N774-AL774</f>
        <v>5979919.5200000005</v>
      </c>
      <c r="AJ9" s="57"/>
      <c r="AK9" s="57"/>
      <c r="AL9" s="415" t="s">
        <v>23</v>
      </c>
      <c r="AM9" s="59" t="s">
        <v>26</v>
      </c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1"/>
    </row>
    <row r="10" spans="1:54" s="51" customFormat="1" ht="14.25" customHeight="1">
      <c r="A10" s="325"/>
      <c r="B10" s="328"/>
      <c r="C10" s="334"/>
      <c r="D10" s="337"/>
      <c r="E10" s="331" t="s">
        <v>28</v>
      </c>
      <c r="F10" s="331" t="s">
        <v>29</v>
      </c>
      <c r="G10" s="400"/>
      <c r="H10" s="397"/>
      <c r="I10" s="394"/>
      <c r="J10" s="391"/>
      <c r="K10" s="387" t="s">
        <v>30</v>
      </c>
      <c r="L10" s="387" t="s">
        <v>31</v>
      </c>
      <c r="M10" s="385"/>
      <c r="N10" s="382" t="s">
        <v>32</v>
      </c>
      <c r="O10" s="368" t="s">
        <v>33</v>
      </c>
      <c r="P10" s="369"/>
      <c r="Q10" s="370"/>
      <c r="R10" s="371"/>
      <c r="S10" s="372"/>
      <c r="T10" s="373"/>
      <c r="U10" s="374"/>
      <c r="V10" s="375"/>
      <c r="W10" s="376"/>
      <c r="X10" s="377"/>
      <c r="Y10" s="378"/>
      <c r="Z10" s="379"/>
      <c r="AA10" s="380"/>
      <c r="AB10" s="381"/>
      <c r="AC10" s="65"/>
      <c r="AD10" s="65"/>
      <c r="AE10" s="350"/>
      <c r="AF10" s="348"/>
      <c r="AG10" s="344"/>
      <c r="AH10" s="57"/>
      <c r="AI10" s="57"/>
      <c r="AJ10" s="57"/>
      <c r="AK10" s="57"/>
      <c r="AL10" s="416"/>
      <c r="AM10" s="408" t="s">
        <v>34</v>
      </c>
      <c r="AN10" s="409"/>
      <c r="AO10" s="410"/>
      <c r="AP10" s="411"/>
      <c r="AQ10" s="412"/>
      <c r="AR10" s="413"/>
      <c r="AS10" s="414"/>
      <c r="AT10" s="347" t="s">
        <v>35</v>
      </c>
      <c r="AU10" s="347" t="s">
        <v>36</v>
      </c>
      <c r="AV10" s="347" t="s">
        <v>37</v>
      </c>
      <c r="AW10" s="347" t="s">
        <v>39</v>
      </c>
      <c r="AX10" s="347" t="s">
        <v>40</v>
      </c>
      <c r="AY10" s="347" t="s">
        <v>41</v>
      </c>
      <c r="AZ10" s="347" t="s">
        <v>42</v>
      </c>
      <c r="BA10" s="347" t="s">
        <v>43</v>
      </c>
    </row>
    <row r="11" spans="1:54" s="51" customFormat="1" ht="78.75" customHeight="1">
      <c r="A11" s="326"/>
      <c r="B11" s="329"/>
      <c r="C11" s="335"/>
      <c r="D11" s="338"/>
      <c r="E11" s="332"/>
      <c r="F11" s="342"/>
      <c r="G11" s="401"/>
      <c r="H11" s="398"/>
      <c r="I11" s="395"/>
      <c r="J11" s="392"/>
      <c r="K11" s="390"/>
      <c r="L11" s="389"/>
      <c r="M11" s="386"/>
      <c r="N11" s="383"/>
      <c r="O11" s="56" t="s">
        <v>44</v>
      </c>
      <c r="P11" s="54" t="s">
        <v>45</v>
      </c>
      <c r="Q11" s="66" t="s">
        <v>46</v>
      </c>
      <c r="R11" s="66" t="s">
        <v>47</v>
      </c>
      <c r="S11" s="56" t="s">
        <v>48</v>
      </c>
      <c r="T11" s="67" t="s">
        <v>49</v>
      </c>
      <c r="U11" s="67" t="s">
        <v>50</v>
      </c>
      <c r="V11" s="56" t="s">
        <v>51</v>
      </c>
      <c r="W11" s="67" t="s">
        <v>52</v>
      </c>
      <c r="X11" s="67" t="s">
        <v>53</v>
      </c>
      <c r="Y11" s="56" t="s">
        <v>54</v>
      </c>
      <c r="Z11" s="67" t="s">
        <v>55</v>
      </c>
      <c r="AA11" s="67" t="s">
        <v>53</v>
      </c>
      <c r="AB11" s="54" t="s">
        <v>56</v>
      </c>
      <c r="AC11" s="67" t="s">
        <v>57</v>
      </c>
      <c r="AD11" s="67" t="s">
        <v>58</v>
      </c>
      <c r="AE11" s="351"/>
      <c r="AF11" s="349"/>
      <c r="AG11" s="345"/>
      <c r="AH11" s="51" t="s">
        <v>59</v>
      </c>
      <c r="AI11" s="57" t="s">
        <v>60</v>
      </c>
      <c r="AJ11" s="57" t="s">
        <v>61</v>
      </c>
      <c r="AK11" s="57"/>
      <c r="AL11" s="417"/>
      <c r="AM11" s="56" t="s">
        <v>62</v>
      </c>
      <c r="AN11" s="56" t="s">
        <v>63</v>
      </c>
      <c r="AO11" s="56" t="s">
        <v>64</v>
      </c>
      <c r="AP11" s="56" t="s">
        <v>65</v>
      </c>
      <c r="AQ11" s="56" t="s">
        <v>66</v>
      </c>
      <c r="AR11" s="56" t="s">
        <v>67</v>
      </c>
      <c r="AS11" s="56" t="s">
        <v>68</v>
      </c>
      <c r="AT11" s="407"/>
      <c r="AU11" s="406"/>
      <c r="AV11" s="405"/>
      <c r="AW11" s="422"/>
      <c r="AX11" s="421"/>
      <c r="AY11" s="420"/>
      <c r="AZ11" s="419"/>
      <c r="BA11" s="418"/>
    </row>
    <row r="12" spans="1:54" s="51" customFormat="1" ht="33" customHeight="1">
      <c r="A12" s="327"/>
      <c r="B12" s="330"/>
      <c r="C12" s="336"/>
      <c r="D12" s="339"/>
      <c r="E12" s="333"/>
      <c r="F12" s="343"/>
      <c r="G12" s="402"/>
      <c r="H12" s="399"/>
      <c r="I12" s="396"/>
      <c r="J12" s="68" t="s">
        <v>71</v>
      </c>
      <c r="K12" s="68" t="s">
        <v>71</v>
      </c>
      <c r="L12" s="68" t="s">
        <v>71</v>
      </c>
      <c r="M12" s="53" t="s">
        <v>72</v>
      </c>
      <c r="N12" s="69" t="s">
        <v>73</v>
      </c>
      <c r="O12" s="69" t="s">
        <v>73</v>
      </c>
      <c r="P12" s="69" t="s">
        <v>73</v>
      </c>
      <c r="Q12" s="70" t="s">
        <v>73</v>
      </c>
      <c r="R12" s="70" t="s">
        <v>73</v>
      </c>
      <c r="S12" s="69" t="s">
        <v>73</v>
      </c>
      <c r="T12" s="70"/>
      <c r="U12" s="70"/>
      <c r="V12" s="69" t="s">
        <v>73</v>
      </c>
      <c r="W12" s="70"/>
      <c r="X12" s="70" t="s">
        <v>73</v>
      </c>
      <c r="Y12" s="69" t="s">
        <v>73</v>
      </c>
      <c r="Z12" s="70"/>
      <c r="AA12" s="70" t="s">
        <v>73</v>
      </c>
      <c r="AB12" s="69" t="s">
        <v>73</v>
      </c>
      <c r="AC12" s="70" t="s">
        <v>73</v>
      </c>
      <c r="AD12" s="70" t="s">
        <v>73</v>
      </c>
      <c r="AE12" s="69" t="s">
        <v>74</v>
      </c>
      <c r="AF12" s="69" t="s">
        <v>74</v>
      </c>
      <c r="AG12" s="346"/>
      <c r="AI12" s="57"/>
      <c r="AJ12" s="57"/>
      <c r="AK12" s="57"/>
      <c r="AL12" s="58" t="s">
        <v>73</v>
      </c>
      <c r="AM12" s="56" t="s">
        <v>73</v>
      </c>
      <c r="AN12" s="56" t="s">
        <v>73</v>
      </c>
      <c r="AO12" s="56" t="s">
        <v>73</v>
      </c>
      <c r="AP12" s="56" t="s">
        <v>73</v>
      </c>
      <c r="AQ12" s="56" t="s">
        <v>73</v>
      </c>
      <c r="AR12" s="56" t="s">
        <v>73</v>
      </c>
      <c r="AS12" s="56" t="s">
        <v>73</v>
      </c>
      <c r="AT12" s="56" t="s">
        <v>73</v>
      </c>
      <c r="AU12" s="56" t="s">
        <v>73</v>
      </c>
      <c r="AV12" s="56" t="s">
        <v>73</v>
      </c>
      <c r="AW12" s="56" t="s">
        <v>73</v>
      </c>
      <c r="AX12" s="56" t="s">
        <v>73</v>
      </c>
      <c r="AY12" s="56" t="s">
        <v>73</v>
      </c>
      <c r="AZ12" s="56" t="s">
        <v>73</v>
      </c>
      <c r="BA12" s="56" t="s">
        <v>73</v>
      </c>
    </row>
    <row r="13" spans="1:54" s="71" customFormat="1" ht="15" hidden="1" customHeight="1">
      <c r="A13" s="72"/>
      <c r="B13" s="73"/>
      <c r="C13" s="74"/>
      <c r="D13" s="75" t="s">
        <v>76</v>
      </c>
      <c r="E13" s="76"/>
      <c r="F13" s="77"/>
      <c r="G13" s="78"/>
      <c r="H13" s="78"/>
      <c r="I13" s="79"/>
      <c r="J13" s="80"/>
      <c r="K13" s="81"/>
      <c r="L13" s="81"/>
      <c r="M13" s="82"/>
      <c r="N13" s="83">
        <f t="shared" ref="N13:S13" si="0">N14+N206+N479</f>
        <v>6994234454.8026266</v>
      </c>
      <c r="O13" s="83">
        <f t="shared" si="0"/>
        <v>0</v>
      </c>
      <c r="P13" s="83">
        <f t="shared" si="0"/>
        <v>1871817002.015305</v>
      </c>
      <c r="Q13" s="84">
        <f t="shared" si="0"/>
        <v>588841326.03999996</v>
      </c>
      <c r="R13" s="84">
        <f t="shared" si="0"/>
        <v>284706550.03999996</v>
      </c>
      <c r="S13" s="83">
        <f t="shared" si="0"/>
        <v>125814414.41</v>
      </c>
      <c r="T13" s="85"/>
      <c r="U13" s="85"/>
      <c r="V13" s="83">
        <f>V14+V206+V479</f>
        <v>1035599091.176035</v>
      </c>
      <c r="W13" s="85"/>
      <c r="X13" s="85"/>
      <c r="Y13" s="83">
        <f>Y14+Y206+Y479</f>
        <v>3318343259.5240588</v>
      </c>
      <c r="Z13" s="85"/>
      <c r="AA13" s="85"/>
      <c r="AB13" s="83">
        <f>AB14+AB206+AB479</f>
        <v>642660687.67722738</v>
      </c>
      <c r="AC13" s="86"/>
      <c r="AD13" s="86"/>
      <c r="AE13" s="87"/>
      <c r="AF13" s="87"/>
      <c r="AG13" s="78"/>
      <c r="AI13" s="88"/>
      <c r="AJ13" s="88"/>
      <c r="AK13" s="88"/>
      <c r="AL13" s="89" t="e">
        <f t="shared" ref="AL13:BA13" si="1">+(+AL14+AL206)+AL479</f>
        <v>#REF!</v>
      </c>
      <c r="AM13" s="90" t="e">
        <f t="shared" si="1"/>
        <v>#REF!</v>
      </c>
      <c r="AN13" s="90" t="e">
        <f t="shared" si="1"/>
        <v>#REF!</v>
      </c>
      <c r="AO13" s="90" t="e">
        <f t="shared" si="1"/>
        <v>#REF!</v>
      </c>
      <c r="AP13" s="90" t="e">
        <f t="shared" si="1"/>
        <v>#REF!</v>
      </c>
      <c r="AQ13" s="90" t="e">
        <f t="shared" si="1"/>
        <v>#REF!</v>
      </c>
      <c r="AR13" s="90" t="e">
        <f t="shared" si="1"/>
        <v>#REF!</v>
      </c>
      <c r="AS13" s="90" t="e">
        <f t="shared" si="1"/>
        <v>#REF!</v>
      </c>
      <c r="AT13" s="90" t="e">
        <f t="shared" si="1"/>
        <v>#REF!</v>
      </c>
      <c r="AU13" s="90" t="e">
        <f t="shared" si="1"/>
        <v>#REF!</v>
      </c>
      <c r="AV13" s="90" t="e">
        <f t="shared" si="1"/>
        <v>#REF!</v>
      </c>
      <c r="AW13" s="90" t="e">
        <f t="shared" si="1"/>
        <v>#REF!</v>
      </c>
      <c r="AX13" s="90" t="e">
        <f t="shared" si="1"/>
        <v>#REF!</v>
      </c>
      <c r="AY13" s="90" t="e">
        <f t="shared" si="1"/>
        <v>#REF!</v>
      </c>
      <c r="AZ13" s="90" t="e">
        <f t="shared" si="1"/>
        <v>#REF!</v>
      </c>
      <c r="BA13" s="90" t="e">
        <f t="shared" si="1"/>
        <v>#REF!</v>
      </c>
      <c r="BB13" s="51"/>
    </row>
    <row r="14" spans="1:54" s="91" customFormat="1" ht="18.75" hidden="1" customHeight="1">
      <c r="A14" s="92"/>
      <c r="B14" s="93"/>
      <c r="C14" s="93"/>
      <c r="D14" s="93" t="s">
        <v>79</v>
      </c>
      <c r="E14" s="93"/>
      <c r="F14" s="93"/>
      <c r="G14" s="93"/>
      <c r="H14" s="93"/>
      <c r="I14" s="93"/>
      <c r="J14" s="94">
        <f>SUM(J18:J205)</f>
        <v>737192.31</v>
      </c>
      <c r="K14" s="94">
        <f>SUM(K18:K205)</f>
        <v>609716.5900000002</v>
      </c>
      <c r="L14" s="94">
        <f>SUM(L18:L205)</f>
        <v>49272.189999999995</v>
      </c>
      <c r="M14" s="94">
        <f>SUM(M18:M205)</f>
        <v>26756</v>
      </c>
      <c r="N14" s="83">
        <f t="shared" ref="N14:S14" si="2">N15+N16+N17</f>
        <v>1841173018.2494566</v>
      </c>
      <c r="O14" s="83">
        <f t="shared" si="2"/>
        <v>0</v>
      </c>
      <c r="P14" s="83">
        <f t="shared" si="2"/>
        <v>542902980.41734922</v>
      </c>
      <c r="Q14" s="84">
        <f t="shared" si="2"/>
        <v>147308686.03999999</v>
      </c>
      <c r="R14" s="84">
        <f t="shared" si="2"/>
        <v>147308687.03999999</v>
      </c>
      <c r="S14" s="83">
        <f t="shared" si="2"/>
        <v>2000000</v>
      </c>
      <c r="T14" s="85"/>
      <c r="U14" s="85"/>
      <c r="V14" s="83">
        <f>V15+V16+V17</f>
        <v>261070337.10346851</v>
      </c>
      <c r="W14" s="85"/>
      <c r="X14" s="85"/>
      <c r="Y14" s="83">
        <f>Y15+Y16+Y17</f>
        <v>835237074.22102213</v>
      </c>
      <c r="Z14" s="85"/>
      <c r="AA14" s="85"/>
      <c r="AB14" s="83">
        <f>AB15+AB16+AB17</f>
        <v>199962626.50761688</v>
      </c>
      <c r="AC14" s="84"/>
      <c r="AD14" s="84"/>
      <c r="AE14" s="94"/>
      <c r="AF14" s="94"/>
      <c r="AG14" s="94"/>
      <c r="AI14" s="95"/>
      <c r="AJ14" s="95"/>
      <c r="AK14" s="95"/>
      <c r="AL14" s="96">
        <f>SUM(AM14:BA14)+AL15+AL16</f>
        <v>1841171471.9894569</v>
      </c>
      <c r="AM14" s="94">
        <f t="shared" ref="AM14:BA14" si="3">+AM15+AM17</f>
        <v>261418719.91</v>
      </c>
      <c r="AN14" s="94">
        <f t="shared" si="3"/>
        <v>92211687.10999997</v>
      </c>
      <c r="AO14" s="94">
        <f t="shared" si="3"/>
        <v>91010822.590000033</v>
      </c>
      <c r="AP14" s="94">
        <f t="shared" si="3"/>
        <v>100780746.21000001</v>
      </c>
      <c r="AQ14" s="94">
        <f t="shared" si="3"/>
        <v>20726332.382261999</v>
      </c>
      <c r="AR14" s="94">
        <f t="shared" si="3"/>
        <v>0</v>
      </c>
      <c r="AS14" s="94">
        <f t="shared" si="3"/>
        <v>0</v>
      </c>
      <c r="AT14" s="94">
        <f t="shared" si="3"/>
        <v>28694966.41</v>
      </c>
      <c r="AU14" s="94">
        <f t="shared" si="3"/>
        <v>417243389.46806598</v>
      </c>
      <c r="AV14" s="94">
        <f t="shared" si="3"/>
        <v>79372152.859999985</v>
      </c>
      <c r="AW14" s="94">
        <f t="shared" si="3"/>
        <v>386032575.02000004</v>
      </c>
      <c r="AX14" s="94">
        <f t="shared" si="3"/>
        <v>162824150.38999999</v>
      </c>
      <c r="AY14" s="94">
        <f t="shared" si="3"/>
        <v>44622520.010968477</v>
      </c>
      <c r="AZ14" s="94">
        <f t="shared" si="3"/>
        <v>3686982.5281604878</v>
      </c>
      <c r="BA14" s="94">
        <f t="shared" si="3"/>
        <v>5237742.0600000015</v>
      </c>
      <c r="BB14" s="99"/>
    </row>
    <row r="15" spans="1:54" s="91" customFormat="1" ht="19.5" hidden="1" customHeight="1">
      <c r="A15" s="92"/>
      <c r="B15" s="93"/>
      <c r="C15" s="93"/>
      <c r="D15" s="93" t="s">
        <v>84</v>
      </c>
      <c r="E15" s="93"/>
      <c r="F15" s="93"/>
      <c r="G15" s="93"/>
      <c r="H15" s="93"/>
      <c r="I15" s="93"/>
      <c r="J15" s="94"/>
      <c r="K15" s="94"/>
      <c r="L15" s="94"/>
      <c r="M15" s="94"/>
      <c r="N15" s="83">
        <v>147308685.03999999</v>
      </c>
      <c r="O15" s="83"/>
      <c r="P15" s="83">
        <v>147308685.03999999</v>
      </c>
      <c r="Q15" s="84">
        <v>147308686.03999999</v>
      </c>
      <c r="R15" s="84">
        <v>147308687.03999999</v>
      </c>
      <c r="S15" s="83"/>
      <c r="T15" s="85"/>
      <c r="U15" s="85"/>
      <c r="V15" s="83"/>
      <c r="W15" s="85"/>
      <c r="X15" s="85"/>
      <c r="Y15" s="83"/>
      <c r="Z15" s="85"/>
      <c r="AA15" s="85"/>
      <c r="AB15" s="83"/>
      <c r="AC15" s="84"/>
      <c r="AD15" s="84"/>
      <c r="AE15" s="94"/>
      <c r="AF15" s="94"/>
      <c r="AG15" s="100"/>
      <c r="AI15" s="95"/>
      <c r="AJ15" s="95"/>
      <c r="AK15" s="95"/>
      <c r="AL15" s="96">
        <v>147308685.03999999</v>
      </c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100"/>
      <c r="BB15" s="99"/>
    </row>
    <row r="16" spans="1:54" s="91" customFormat="1" ht="15.75" hidden="1" customHeight="1">
      <c r="A16" s="93"/>
      <c r="B16" s="93"/>
      <c r="C16" s="93"/>
      <c r="D16" s="93" t="s">
        <v>86</v>
      </c>
      <c r="E16" s="93"/>
      <c r="F16" s="93"/>
      <c r="G16" s="93"/>
      <c r="H16" s="93"/>
      <c r="I16" s="93"/>
      <c r="J16" s="94"/>
      <c r="K16" s="94"/>
      <c r="L16" s="94"/>
      <c r="M16" s="94"/>
      <c r="N16" s="83">
        <f t="shared" ref="N16:S16" si="4">4547441.6-4547441.6</f>
        <v>0</v>
      </c>
      <c r="O16" s="83">
        <f t="shared" si="4"/>
        <v>0</v>
      </c>
      <c r="P16" s="83">
        <f t="shared" si="4"/>
        <v>0</v>
      </c>
      <c r="Q16" s="84">
        <f t="shared" si="4"/>
        <v>0</v>
      </c>
      <c r="R16" s="84">
        <f t="shared" si="4"/>
        <v>0</v>
      </c>
      <c r="S16" s="83">
        <f t="shared" si="4"/>
        <v>0</v>
      </c>
      <c r="T16" s="85"/>
      <c r="U16" s="85"/>
      <c r="V16" s="83">
        <f>4547441.6-4547441.6</f>
        <v>0</v>
      </c>
      <c r="W16" s="85"/>
      <c r="X16" s="85"/>
      <c r="Y16" s="83">
        <f>4547441.6-4547441.6</f>
        <v>0</v>
      </c>
      <c r="Z16" s="85"/>
      <c r="AA16" s="85"/>
      <c r="AB16" s="83"/>
      <c r="AC16" s="84"/>
      <c r="AD16" s="84"/>
      <c r="AE16" s="94"/>
      <c r="AF16" s="94"/>
      <c r="AG16" s="94"/>
      <c r="AI16" s="95"/>
      <c r="AJ16" s="95"/>
      <c r="AK16" s="95"/>
      <c r="AL16" s="96">
        <f>4547441.6-4547441.6</f>
        <v>0</v>
      </c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100"/>
      <c r="BB16" s="99"/>
    </row>
    <row r="17" spans="1:54" s="91" customFormat="1" hidden="1">
      <c r="A17" s="93"/>
      <c r="B17" s="93"/>
      <c r="C17" s="93"/>
      <c r="D17" s="93"/>
      <c r="E17" s="93"/>
      <c r="F17" s="93"/>
      <c r="G17" s="93"/>
      <c r="H17" s="93"/>
      <c r="I17" s="93"/>
      <c r="J17" s="94"/>
      <c r="K17" s="94"/>
      <c r="L17" s="94"/>
      <c r="M17" s="94"/>
      <c r="N17" s="83">
        <f t="shared" ref="N17:S17" si="5">SUM(N18:N205)</f>
        <v>1693864333.2094567</v>
      </c>
      <c r="O17" s="83">
        <f t="shared" si="5"/>
        <v>0</v>
      </c>
      <c r="P17" s="83">
        <f t="shared" si="5"/>
        <v>395594295.3773492</v>
      </c>
      <c r="Q17" s="84">
        <f t="shared" si="5"/>
        <v>0</v>
      </c>
      <c r="R17" s="84">
        <f t="shared" si="5"/>
        <v>0</v>
      </c>
      <c r="S17" s="83">
        <f t="shared" si="5"/>
        <v>2000000</v>
      </c>
      <c r="T17" s="85"/>
      <c r="U17" s="85"/>
      <c r="V17" s="83">
        <f>SUM(V18:V205)</f>
        <v>261070337.10346851</v>
      </c>
      <c r="W17" s="85"/>
      <c r="X17" s="85"/>
      <c r="Y17" s="83">
        <f>SUM(Y18:Y205)</f>
        <v>835237074.22102213</v>
      </c>
      <c r="Z17" s="85"/>
      <c r="AA17" s="85"/>
      <c r="AB17" s="83">
        <f>SUM(AB18:AB205)</f>
        <v>199962626.50761688</v>
      </c>
      <c r="AC17" s="84"/>
      <c r="AD17" s="84"/>
      <c r="AE17" s="94"/>
      <c r="AF17" s="94"/>
      <c r="AG17" s="94"/>
      <c r="AI17" s="95"/>
      <c r="AJ17" s="95"/>
      <c r="AK17" s="95"/>
      <c r="AL17" s="96">
        <f t="shared" ref="AL17:BA17" si="6">SUM(AL18:AL205)</f>
        <v>0</v>
      </c>
      <c r="AM17" s="94">
        <f t="shared" si="6"/>
        <v>261418719.91</v>
      </c>
      <c r="AN17" s="94">
        <f t="shared" si="6"/>
        <v>92211687.10999997</v>
      </c>
      <c r="AO17" s="94">
        <f t="shared" si="6"/>
        <v>91010822.590000033</v>
      </c>
      <c r="AP17" s="94">
        <f t="shared" si="6"/>
        <v>100780746.21000001</v>
      </c>
      <c r="AQ17" s="94">
        <f t="shared" si="6"/>
        <v>20726332.382261999</v>
      </c>
      <c r="AR17" s="94">
        <f t="shared" si="6"/>
        <v>0</v>
      </c>
      <c r="AS17" s="94">
        <f t="shared" si="6"/>
        <v>0</v>
      </c>
      <c r="AT17" s="94">
        <f t="shared" si="6"/>
        <v>28694966.41</v>
      </c>
      <c r="AU17" s="94">
        <f t="shared" si="6"/>
        <v>417243389.46806598</v>
      </c>
      <c r="AV17" s="94">
        <f t="shared" si="6"/>
        <v>79372152.859999985</v>
      </c>
      <c r="AW17" s="94">
        <f t="shared" si="6"/>
        <v>386032575.02000004</v>
      </c>
      <c r="AX17" s="94">
        <f t="shared" si="6"/>
        <v>162824150.38999999</v>
      </c>
      <c r="AY17" s="94">
        <f t="shared" si="6"/>
        <v>44622520.010968477</v>
      </c>
      <c r="AZ17" s="94">
        <f t="shared" si="6"/>
        <v>3686982.5281604878</v>
      </c>
      <c r="BA17" s="94">
        <f t="shared" si="6"/>
        <v>5237742.0600000015</v>
      </c>
      <c r="BB17" s="99"/>
    </row>
    <row r="18" spans="1:54" hidden="1">
      <c r="A18" s="104">
        <v>1</v>
      </c>
      <c r="B18" s="101">
        <v>1</v>
      </c>
      <c r="C18" s="101" t="s">
        <v>90</v>
      </c>
      <c r="D18" s="101" t="s">
        <v>91</v>
      </c>
      <c r="E18" s="102">
        <v>1981</v>
      </c>
      <c r="F18" s="102">
        <v>2011</v>
      </c>
      <c r="G18" s="102" t="s">
        <v>3</v>
      </c>
      <c r="H18" s="102">
        <v>5</v>
      </c>
      <c r="I18" s="102">
        <v>6</v>
      </c>
      <c r="J18" s="62">
        <v>5474.4</v>
      </c>
      <c r="K18" s="62">
        <v>4591</v>
      </c>
      <c r="L18" s="62">
        <v>74.8</v>
      </c>
      <c r="M18" s="103">
        <v>142</v>
      </c>
      <c r="N18" s="28">
        <f t="shared" ref="N18:N81" si="7">SUM(P18:AB18)</f>
        <v>35047609.429999992</v>
      </c>
      <c r="O18" s="105"/>
      <c r="P18" s="62">
        <v>6584690.7694666702</v>
      </c>
      <c r="Q18" s="29"/>
      <c r="R18" s="29"/>
      <c r="S18" s="62">
        <v>1000000</v>
      </c>
      <c r="T18" s="29"/>
      <c r="U18" s="29"/>
      <c r="V18" s="62">
        <v>2702980.2694666702</v>
      </c>
      <c r="W18" s="29"/>
      <c r="X18" s="29"/>
      <c r="Y18" s="62">
        <v>21119848.48</v>
      </c>
      <c r="Z18" s="29"/>
      <c r="AA18" s="29"/>
      <c r="AB18" s="62">
        <v>3640089.9110666499</v>
      </c>
      <c r="AC18" s="106"/>
      <c r="AD18" s="106"/>
      <c r="AE18" s="62">
        <v>7690.7327580823003</v>
      </c>
      <c r="AF18" s="62">
        <v>7690.7327580823003</v>
      </c>
      <c r="AG18" s="33">
        <v>2022</v>
      </c>
      <c r="AH18" s="1">
        <v>2359832.7200000002</v>
      </c>
      <c r="AI18" s="5">
        <f t="shared" ref="AI18:AI27" si="8">+(K18*10+L18*20)*12*0.85</f>
        <v>483541.2</v>
      </c>
      <c r="AJ18" s="5">
        <f t="shared" ref="AJ18:AJ26" si="9">+(K18*10+L18*20)*12*30</f>
        <v>17066160</v>
      </c>
      <c r="AL18" s="37">
        <f t="shared" ref="AL18:AL49" si="10">SUBTOTAL(9, AM18:BA18)</f>
        <v>0</v>
      </c>
      <c r="AM18" s="62">
        <v>11937105.199999999</v>
      </c>
      <c r="AN18" s="62">
        <v>7031659.7400000002</v>
      </c>
      <c r="AO18" s="62"/>
      <c r="AP18" s="62">
        <v>2917316.85</v>
      </c>
      <c r="AQ18" s="62">
        <v>0</v>
      </c>
      <c r="AR18" s="62"/>
      <c r="AS18" s="62"/>
      <c r="AT18" s="62">
        <v>0</v>
      </c>
      <c r="AU18" s="62">
        <v>4693934.4000000004</v>
      </c>
      <c r="AV18" s="62">
        <v>8467593.2400000002</v>
      </c>
      <c r="AW18" s="62">
        <v>0</v>
      </c>
      <c r="AX18" s="62">
        <v>0</v>
      </c>
      <c r="AY18" s="62"/>
      <c r="AZ18" s="30"/>
      <c r="BA18" s="109">
        <v>0</v>
      </c>
    </row>
    <row r="19" spans="1:54" hidden="1">
      <c r="A19" s="104">
        <f t="shared" ref="A19:A50" si="11">+A18+1</f>
        <v>2</v>
      </c>
      <c r="B19" s="101">
        <f t="shared" ref="B19:B50" si="12">+B18+1</f>
        <v>2</v>
      </c>
      <c r="C19" s="101" t="s">
        <v>90</v>
      </c>
      <c r="D19" s="101" t="s">
        <v>93</v>
      </c>
      <c r="E19" s="102">
        <v>1982</v>
      </c>
      <c r="F19" s="102">
        <v>2011</v>
      </c>
      <c r="G19" s="102" t="s">
        <v>3</v>
      </c>
      <c r="H19" s="102">
        <v>5</v>
      </c>
      <c r="I19" s="102">
        <v>6</v>
      </c>
      <c r="J19" s="62">
        <v>4657</v>
      </c>
      <c r="K19" s="62">
        <v>4657</v>
      </c>
      <c r="L19" s="62">
        <v>0</v>
      </c>
      <c r="M19" s="103">
        <v>172</v>
      </c>
      <c r="N19" s="28">
        <f t="shared" si="7"/>
        <v>33206648.359999999</v>
      </c>
      <c r="O19" s="105"/>
      <c r="P19" s="62">
        <v>4521209.8099999996</v>
      </c>
      <c r="Q19" s="29"/>
      <c r="R19" s="29"/>
      <c r="S19" s="62">
        <v>1000000</v>
      </c>
      <c r="T19" s="29"/>
      <c r="U19" s="29"/>
      <c r="V19" s="62">
        <v>2932021.84</v>
      </c>
      <c r="W19" s="29"/>
      <c r="X19" s="29"/>
      <c r="Y19" s="62">
        <v>16765200</v>
      </c>
      <c r="Z19" s="29"/>
      <c r="AA19" s="29"/>
      <c r="AB19" s="62">
        <v>7988216.71</v>
      </c>
      <c r="AC19" s="106"/>
      <c r="AD19" s="106"/>
      <c r="AE19" s="62">
        <v>7330.55647412497</v>
      </c>
      <c r="AF19" s="62">
        <v>7330.55647412497</v>
      </c>
      <c r="AG19" s="33">
        <v>2022</v>
      </c>
      <c r="AH19" s="1">
        <v>2457007.84</v>
      </c>
      <c r="AI19" s="5">
        <f t="shared" si="8"/>
        <v>475014</v>
      </c>
      <c r="AJ19" s="5">
        <f t="shared" si="9"/>
        <v>16765200</v>
      </c>
      <c r="AL19" s="37">
        <f t="shared" si="10"/>
        <v>0</v>
      </c>
      <c r="AM19" s="62">
        <v>10136488.119999999</v>
      </c>
      <c r="AN19" s="62">
        <v>6838744.3399999999</v>
      </c>
      <c r="AO19" s="62"/>
      <c r="AP19" s="62">
        <v>2920060.1</v>
      </c>
      <c r="AQ19" s="62">
        <v>0</v>
      </c>
      <c r="AR19" s="62"/>
      <c r="AS19" s="62"/>
      <c r="AT19" s="62">
        <v>0</v>
      </c>
      <c r="AU19" s="62">
        <v>4839492</v>
      </c>
      <c r="AV19" s="62">
        <v>8471863.8000000007</v>
      </c>
      <c r="AW19" s="62">
        <v>0</v>
      </c>
      <c r="AX19" s="62">
        <v>0</v>
      </c>
      <c r="AY19" s="62"/>
      <c r="AZ19" s="30"/>
      <c r="BA19" s="109">
        <v>0</v>
      </c>
    </row>
    <row r="20" spans="1:54" hidden="1">
      <c r="A20" s="104">
        <f t="shared" si="11"/>
        <v>3</v>
      </c>
      <c r="B20" s="101">
        <f t="shared" si="12"/>
        <v>3</v>
      </c>
      <c r="C20" s="101" t="s">
        <v>90</v>
      </c>
      <c r="D20" s="101" t="s">
        <v>95</v>
      </c>
      <c r="E20" s="102">
        <v>1983</v>
      </c>
      <c r="F20" s="102">
        <v>2011</v>
      </c>
      <c r="G20" s="102" t="s">
        <v>3</v>
      </c>
      <c r="H20" s="102">
        <v>5</v>
      </c>
      <c r="I20" s="102">
        <v>4</v>
      </c>
      <c r="J20" s="62">
        <v>3725.7</v>
      </c>
      <c r="K20" s="62">
        <v>3170.6</v>
      </c>
      <c r="L20" s="62">
        <v>0</v>
      </c>
      <c r="M20" s="103">
        <v>120</v>
      </c>
      <c r="N20" s="28">
        <f t="shared" si="7"/>
        <v>21470844.819999997</v>
      </c>
      <c r="O20" s="105"/>
      <c r="P20" s="30">
        <v>4188632.37</v>
      </c>
      <c r="Q20" s="31"/>
      <c r="R20" s="31"/>
      <c r="S20" s="30">
        <v>0</v>
      </c>
      <c r="T20" s="31"/>
      <c r="U20" s="31"/>
      <c r="V20" s="30">
        <v>1877886.64</v>
      </c>
      <c r="W20" s="31"/>
      <c r="X20" s="31"/>
      <c r="Y20" s="30">
        <v>11414160</v>
      </c>
      <c r="Z20" s="31"/>
      <c r="AA20" s="31"/>
      <c r="AB20" s="62">
        <v>3990165.81</v>
      </c>
      <c r="AC20" s="106"/>
      <c r="AD20" s="106"/>
      <c r="AE20" s="30">
        <v>6877.0837402243797</v>
      </c>
      <c r="AF20" s="30">
        <v>6877.0837402243797</v>
      </c>
      <c r="AG20" s="33">
        <v>2022</v>
      </c>
      <c r="AH20" s="1">
        <v>1554485.44</v>
      </c>
      <c r="AI20" s="5">
        <f t="shared" si="8"/>
        <v>323401.2</v>
      </c>
      <c r="AJ20" s="5">
        <f t="shared" si="9"/>
        <v>11414160</v>
      </c>
      <c r="AL20" s="37">
        <f t="shared" si="10"/>
        <v>0</v>
      </c>
      <c r="AM20" s="62">
        <v>8693551.2400000002</v>
      </c>
      <c r="AN20" s="62">
        <v>2539728.9700000002</v>
      </c>
      <c r="AO20" s="62"/>
      <c r="AP20" s="62">
        <v>1744090.12</v>
      </c>
      <c r="AQ20" s="62">
        <v>0</v>
      </c>
      <c r="AR20" s="62"/>
      <c r="AS20" s="62"/>
      <c r="AT20" s="62">
        <v>0</v>
      </c>
      <c r="AU20" s="62">
        <v>2720365.2</v>
      </c>
      <c r="AV20" s="62">
        <v>5773109.29</v>
      </c>
      <c r="AW20" s="62">
        <v>0</v>
      </c>
      <c r="AX20" s="62">
        <v>0</v>
      </c>
      <c r="AY20" s="62"/>
      <c r="AZ20" s="30"/>
      <c r="BA20" s="109">
        <v>0</v>
      </c>
    </row>
    <row r="21" spans="1:54" ht="15" hidden="1" customHeight="1">
      <c r="A21" s="104">
        <f t="shared" si="11"/>
        <v>4</v>
      </c>
      <c r="B21" s="101">
        <f t="shared" si="12"/>
        <v>4</v>
      </c>
      <c r="C21" s="101" t="s">
        <v>98</v>
      </c>
      <c r="D21" s="101" t="s">
        <v>99</v>
      </c>
      <c r="E21" s="102">
        <v>1995</v>
      </c>
      <c r="F21" s="102">
        <v>2013</v>
      </c>
      <c r="G21" s="102" t="s">
        <v>3</v>
      </c>
      <c r="H21" s="102">
        <v>3</v>
      </c>
      <c r="I21" s="102">
        <v>4</v>
      </c>
      <c r="J21" s="62">
        <v>2740.5</v>
      </c>
      <c r="K21" s="62">
        <v>1849.2</v>
      </c>
      <c r="L21" s="62">
        <v>0</v>
      </c>
      <c r="M21" s="103">
        <v>67</v>
      </c>
      <c r="N21" s="28">
        <f t="shared" si="7"/>
        <v>6419657.1599999992</v>
      </c>
      <c r="O21" s="62"/>
      <c r="P21" s="30"/>
      <c r="Q21" s="31"/>
      <c r="R21" s="31"/>
      <c r="S21" s="30"/>
      <c r="T21" s="31"/>
      <c r="U21" s="31"/>
      <c r="V21" s="30">
        <v>1097135.0900000001</v>
      </c>
      <c r="W21" s="31"/>
      <c r="X21" s="31"/>
      <c r="Y21" s="30">
        <v>5320975.8099999996</v>
      </c>
      <c r="Z21" s="31"/>
      <c r="AA21" s="31"/>
      <c r="AB21" s="110">
        <v>1546.26</v>
      </c>
      <c r="AC21" s="106"/>
      <c r="AD21" s="106"/>
      <c r="AE21" s="30">
        <v>3614.2774491455798</v>
      </c>
      <c r="AF21" s="30">
        <v>3614.2774491455798</v>
      </c>
      <c r="AG21" s="33">
        <v>2022</v>
      </c>
      <c r="AH21" s="98">
        <v>908516.69</v>
      </c>
      <c r="AI21" s="5">
        <f t="shared" si="8"/>
        <v>188618.4</v>
      </c>
      <c r="AJ21" s="5">
        <f t="shared" si="9"/>
        <v>6657120</v>
      </c>
      <c r="AL21" s="37">
        <f t="shared" si="10"/>
        <v>0</v>
      </c>
      <c r="AM21" s="62">
        <v>0</v>
      </c>
      <c r="AN21" s="62">
        <v>0</v>
      </c>
      <c r="AO21" s="62">
        <v>0</v>
      </c>
      <c r="AP21" s="62">
        <v>0</v>
      </c>
      <c r="AQ21" s="62">
        <v>0</v>
      </c>
      <c r="AR21" s="62"/>
      <c r="AS21" s="62"/>
      <c r="AT21" s="62">
        <v>0</v>
      </c>
      <c r="AU21" s="62">
        <v>6340797.9400000004</v>
      </c>
      <c r="AV21" s="62">
        <v>0</v>
      </c>
      <c r="AW21" s="62">
        <v>0</v>
      </c>
      <c r="AX21" s="62">
        <v>0</v>
      </c>
      <c r="AY21" s="62"/>
      <c r="AZ21" s="30"/>
      <c r="BA21" s="109">
        <f>77312.96</f>
        <v>77312.960000000006</v>
      </c>
    </row>
    <row r="22" spans="1:54" ht="15" hidden="1" customHeight="1">
      <c r="A22" s="104">
        <f t="shared" si="11"/>
        <v>5</v>
      </c>
      <c r="B22" s="101">
        <f t="shared" si="12"/>
        <v>5</v>
      </c>
      <c r="C22" s="101" t="s">
        <v>98</v>
      </c>
      <c r="D22" s="101" t="s">
        <v>101</v>
      </c>
      <c r="E22" s="102">
        <v>1994</v>
      </c>
      <c r="F22" s="102">
        <v>2013</v>
      </c>
      <c r="G22" s="102" t="s">
        <v>3</v>
      </c>
      <c r="H22" s="102">
        <v>3</v>
      </c>
      <c r="I22" s="102">
        <v>2</v>
      </c>
      <c r="J22" s="62">
        <v>1781.6</v>
      </c>
      <c r="K22" s="62">
        <v>1210.5999999999999</v>
      </c>
      <c r="L22" s="62">
        <v>0</v>
      </c>
      <c r="M22" s="103">
        <v>67</v>
      </c>
      <c r="N22" s="28">
        <f t="shared" si="7"/>
        <v>1311120.1400000001</v>
      </c>
      <c r="O22" s="62"/>
      <c r="P22" s="30"/>
      <c r="Q22" s="31"/>
      <c r="R22" s="31"/>
      <c r="S22" s="30"/>
      <c r="T22" s="31"/>
      <c r="U22" s="31"/>
      <c r="V22" s="30">
        <v>428000.15</v>
      </c>
      <c r="W22" s="31"/>
      <c r="X22" s="31"/>
      <c r="Y22" s="30">
        <v>883119.99</v>
      </c>
      <c r="Z22" s="31"/>
      <c r="AA22" s="31"/>
      <c r="AB22" s="110">
        <v>0</v>
      </c>
      <c r="AC22" s="106"/>
      <c r="AD22" s="106"/>
      <c r="AE22" s="30">
        <v>1140.3401745665899</v>
      </c>
      <c r="AF22" s="30">
        <v>1140.3401745665899</v>
      </c>
      <c r="AG22" s="33">
        <v>2022</v>
      </c>
      <c r="AH22" s="98">
        <v>581248.32999999996</v>
      </c>
      <c r="AI22" s="5">
        <f t="shared" si="8"/>
        <v>123481.2</v>
      </c>
      <c r="AJ22" s="5">
        <f t="shared" si="9"/>
        <v>4358160</v>
      </c>
      <c r="AL22" s="37">
        <f t="shared" si="10"/>
        <v>0</v>
      </c>
      <c r="AM22" s="62">
        <v>1272491.3999999999</v>
      </c>
      <c r="AN22" s="62">
        <v>0</v>
      </c>
      <c r="AO22" s="62">
        <v>0</v>
      </c>
      <c r="AP22" s="62">
        <v>0</v>
      </c>
      <c r="AQ22" s="62">
        <v>0</v>
      </c>
      <c r="AR22" s="62"/>
      <c r="AS22" s="62"/>
      <c r="AT22" s="62">
        <v>0</v>
      </c>
      <c r="AU22" s="62">
        <v>0</v>
      </c>
      <c r="AV22" s="62">
        <v>0</v>
      </c>
      <c r="AW22" s="62">
        <v>0</v>
      </c>
      <c r="AX22" s="62">
        <v>0</v>
      </c>
      <c r="AY22" s="62"/>
      <c r="AZ22" s="30"/>
      <c r="BA22" s="109">
        <v>38628.74</v>
      </c>
      <c r="BB22" s="5">
        <f>N22-AL22</f>
        <v>1311120.1400000001</v>
      </c>
    </row>
    <row r="23" spans="1:54" ht="15" hidden="1" customHeight="1">
      <c r="A23" s="104">
        <f t="shared" si="11"/>
        <v>6</v>
      </c>
      <c r="B23" s="101">
        <f t="shared" si="12"/>
        <v>6</v>
      </c>
      <c r="C23" s="101" t="s">
        <v>98</v>
      </c>
      <c r="D23" s="101" t="s">
        <v>103</v>
      </c>
      <c r="E23" s="102">
        <v>1993</v>
      </c>
      <c r="F23" s="102">
        <v>2013</v>
      </c>
      <c r="G23" s="102" t="s">
        <v>3</v>
      </c>
      <c r="H23" s="102">
        <v>2</v>
      </c>
      <c r="I23" s="102">
        <v>0</v>
      </c>
      <c r="J23" s="62">
        <v>868.3</v>
      </c>
      <c r="K23" s="62">
        <v>868.3</v>
      </c>
      <c r="L23" s="62">
        <v>0</v>
      </c>
      <c r="M23" s="103">
        <v>31</v>
      </c>
      <c r="N23" s="28">
        <f t="shared" si="7"/>
        <v>2472986.52</v>
      </c>
      <c r="O23" s="62"/>
      <c r="P23" s="63"/>
      <c r="Q23" s="111"/>
      <c r="R23" s="111"/>
      <c r="S23" s="30"/>
      <c r="T23" s="31"/>
      <c r="U23" s="31"/>
      <c r="V23" s="30">
        <v>505278.46</v>
      </c>
      <c r="W23" s="31"/>
      <c r="X23" s="31"/>
      <c r="Y23" s="30">
        <v>1967708.06</v>
      </c>
      <c r="Z23" s="31"/>
      <c r="AA23" s="31"/>
      <c r="AB23" s="62">
        <v>0</v>
      </c>
      <c r="AC23" s="106"/>
      <c r="AD23" s="106"/>
      <c r="AE23" s="30">
        <v>2848.0784521478799</v>
      </c>
      <c r="AF23" s="30">
        <v>2848.0784521478799</v>
      </c>
      <c r="AG23" s="33">
        <v>2022</v>
      </c>
      <c r="AH23" s="98">
        <v>416711.86</v>
      </c>
      <c r="AI23" s="5">
        <f t="shared" si="8"/>
        <v>88566.599999999991</v>
      </c>
      <c r="AJ23" s="5">
        <f t="shared" si="9"/>
        <v>3125880</v>
      </c>
      <c r="AL23" s="37">
        <f t="shared" si="10"/>
        <v>0</v>
      </c>
      <c r="AM23" s="62">
        <v>2428165.69</v>
      </c>
      <c r="AN23" s="62">
        <v>0</v>
      </c>
      <c r="AO23" s="62">
        <v>0</v>
      </c>
      <c r="AP23" s="62">
        <v>0</v>
      </c>
      <c r="AQ23" s="62">
        <v>0</v>
      </c>
      <c r="AR23" s="62"/>
      <c r="AS23" s="62"/>
      <c r="AT23" s="62">
        <v>0</v>
      </c>
      <c r="AU23" s="62">
        <v>0</v>
      </c>
      <c r="AV23" s="62">
        <v>0</v>
      </c>
      <c r="AW23" s="62">
        <v>0</v>
      </c>
      <c r="AX23" s="62">
        <v>0</v>
      </c>
      <c r="AY23" s="62"/>
      <c r="AZ23" s="30"/>
      <c r="BA23" s="109">
        <f>44820.83</f>
        <v>44820.83</v>
      </c>
      <c r="BB23" s="5">
        <f>N23-AL23</f>
        <v>2472986.52</v>
      </c>
    </row>
    <row r="24" spans="1:54" ht="15" hidden="1" customHeight="1">
      <c r="A24" s="104">
        <f t="shared" si="11"/>
        <v>7</v>
      </c>
      <c r="B24" s="101">
        <f t="shared" si="12"/>
        <v>7</v>
      </c>
      <c r="C24" s="101" t="s">
        <v>106</v>
      </c>
      <c r="D24" s="101" t="s">
        <v>107</v>
      </c>
      <c r="E24" s="102">
        <v>1993</v>
      </c>
      <c r="F24" s="102">
        <v>2012</v>
      </c>
      <c r="G24" s="102" t="s">
        <v>3</v>
      </c>
      <c r="H24" s="102">
        <v>3</v>
      </c>
      <c r="I24" s="102">
        <v>1</v>
      </c>
      <c r="J24" s="62">
        <v>1090</v>
      </c>
      <c r="K24" s="62">
        <v>942.47</v>
      </c>
      <c r="L24" s="62">
        <v>0</v>
      </c>
      <c r="M24" s="103">
        <v>33</v>
      </c>
      <c r="N24" s="28">
        <f t="shared" si="7"/>
        <v>105901.14</v>
      </c>
      <c r="O24" s="105"/>
      <c r="P24" s="30"/>
      <c r="Q24" s="31"/>
      <c r="R24" s="31"/>
      <c r="S24" s="30"/>
      <c r="T24" s="31"/>
      <c r="U24" s="31"/>
      <c r="V24" s="30">
        <v>105901.14</v>
      </c>
      <c r="W24" s="31"/>
      <c r="X24" s="31"/>
      <c r="Y24" s="30">
        <v>0</v>
      </c>
      <c r="Z24" s="31"/>
      <c r="AA24" s="31"/>
      <c r="AB24" s="62">
        <v>0</v>
      </c>
      <c r="AC24" s="106"/>
      <c r="AD24" s="106"/>
      <c r="AE24" s="30">
        <v>119.980757665483</v>
      </c>
      <c r="AF24" s="30">
        <v>119.980757665483</v>
      </c>
      <c r="AG24" s="33">
        <v>2022</v>
      </c>
      <c r="AH24" s="1">
        <v>502001.62</v>
      </c>
      <c r="AI24" s="5">
        <f t="shared" si="8"/>
        <v>96131.94</v>
      </c>
      <c r="AJ24" s="5">
        <f t="shared" si="9"/>
        <v>3392892.0000000005</v>
      </c>
      <c r="AL24" s="37">
        <f t="shared" si="10"/>
        <v>0</v>
      </c>
      <c r="AM24" s="62">
        <v>0</v>
      </c>
      <c r="AN24" s="62">
        <v>0</v>
      </c>
      <c r="AO24" s="62"/>
      <c r="AP24" s="62">
        <v>104364.26</v>
      </c>
      <c r="AQ24" s="62">
        <v>0</v>
      </c>
      <c r="AR24" s="62"/>
      <c r="AS24" s="62"/>
      <c r="AT24" s="62">
        <v>0</v>
      </c>
      <c r="AU24" s="62">
        <v>0</v>
      </c>
      <c r="AV24" s="62">
        <v>0</v>
      </c>
      <c r="AW24" s="62">
        <v>0</v>
      </c>
      <c r="AX24" s="62">
        <v>0</v>
      </c>
      <c r="AY24" s="62"/>
      <c r="AZ24" s="30"/>
      <c r="BA24" s="109">
        <v>1536.88</v>
      </c>
      <c r="BB24" s="5">
        <f>N24-AL24</f>
        <v>105901.14</v>
      </c>
    </row>
    <row r="25" spans="1:54" ht="15" hidden="1" customHeight="1">
      <c r="A25" s="104">
        <f t="shared" si="11"/>
        <v>8</v>
      </c>
      <c r="B25" s="101">
        <f t="shared" si="12"/>
        <v>8</v>
      </c>
      <c r="C25" s="101" t="s">
        <v>106</v>
      </c>
      <c r="D25" s="101" t="s">
        <v>109</v>
      </c>
      <c r="E25" s="102">
        <v>1990</v>
      </c>
      <c r="F25" s="102">
        <v>1990</v>
      </c>
      <c r="G25" s="102" t="s">
        <v>3</v>
      </c>
      <c r="H25" s="102">
        <v>5</v>
      </c>
      <c r="I25" s="102">
        <v>6</v>
      </c>
      <c r="J25" s="62">
        <v>5208.7</v>
      </c>
      <c r="K25" s="62">
        <v>4621.34</v>
      </c>
      <c r="L25" s="62">
        <v>0</v>
      </c>
      <c r="M25" s="103">
        <v>157</v>
      </c>
      <c r="N25" s="28">
        <f t="shared" si="7"/>
        <v>5195773.5</v>
      </c>
      <c r="O25" s="62"/>
      <c r="P25" s="30"/>
      <c r="Q25" s="31"/>
      <c r="R25" s="31"/>
      <c r="S25" s="30"/>
      <c r="T25" s="31"/>
      <c r="U25" s="31"/>
      <c r="V25" s="30">
        <v>1998629.62</v>
      </c>
      <c r="W25" s="31"/>
      <c r="X25" s="31"/>
      <c r="Y25" s="30">
        <v>3197143.88</v>
      </c>
      <c r="Z25" s="31"/>
      <c r="AA25" s="31"/>
      <c r="AB25" s="62">
        <v>0</v>
      </c>
      <c r="AC25" s="106"/>
      <c r="AD25" s="106"/>
      <c r="AE25" s="30">
        <v>1161.2029271674801</v>
      </c>
      <c r="AF25" s="30">
        <v>1161.2029271674801</v>
      </c>
      <c r="AG25" s="33">
        <v>2022</v>
      </c>
      <c r="AH25" s="1">
        <v>2233749.27</v>
      </c>
      <c r="AI25" s="5">
        <f t="shared" si="8"/>
        <v>471376.68000000005</v>
      </c>
      <c r="AJ25" s="5">
        <f t="shared" si="9"/>
        <v>16636824.000000002</v>
      </c>
      <c r="AL25" s="37">
        <f t="shared" si="10"/>
        <v>0</v>
      </c>
      <c r="AM25" s="62">
        <v>0</v>
      </c>
      <c r="AN25" s="62">
        <v>0</v>
      </c>
      <c r="AO25" s="62">
        <v>0</v>
      </c>
      <c r="AP25" s="62">
        <v>0</v>
      </c>
      <c r="AQ25" s="62">
        <v>0</v>
      </c>
      <c r="AR25" s="62"/>
      <c r="AS25" s="62"/>
      <c r="AT25" s="62">
        <v>0</v>
      </c>
      <c r="AU25" s="62">
        <v>0</v>
      </c>
      <c r="AV25" s="62">
        <v>5195773.5</v>
      </c>
      <c r="AW25" s="62"/>
      <c r="AX25" s="62"/>
      <c r="AY25" s="62"/>
      <c r="AZ25" s="30"/>
      <c r="BA25" s="40"/>
      <c r="BB25" s="5"/>
    </row>
    <row r="26" spans="1:54" ht="15" hidden="1" customHeight="1">
      <c r="A26" s="104">
        <f t="shared" si="11"/>
        <v>9</v>
      </c>
      <c r="B26" s="101">
        <f t="shared" si="12"/>
        <v>9</v>
      </c>
      <c r="C26" s="101" t="s">
        <v>106</v>
      </c>
      <c r="D26" s="101" t="s">
        <v>111</v>
      </c>
      <c r="E26" s="102">
        <v>1985</v>
      </c>
      <c r="F26" s="102">
        <v>1985</v>
      </c>
      <c r="G26" s="102" t="s">
        <v>3</v>
      </c>
      <c r="H26" s="102">
        <v>4</v>
      </c>
      <c r="I26" s="102">
        <v>2</v>
      </c>
      <c r="J26" s="62">
        <v>1511.1</v>
      </c>
      <c r="K26" s="62">
        <v>1366.85</v>
      </c>
      <c r="L26" s="62">
        <v>0</v>
      </c>
      <c r="M26" s="103">
        <v>62</v>
      </c>
      <c r="N26" s="28">
        <f t="shared" si="7"/>
        <v>3656105.7167226211</v>
      </c>
      <c r="O26" s="62"/>
      <c r="P26" s="30"/>
      <c r="Q26" s="31"/>
      <c r="R26" s="31"/>
      <c r="S26" s="30"/>
      <c r="T26" s="31"/>
      <c r="U26" s="31"/>
      <c r="V26" s="30">
        <v>399040.09</v>
      </c>
      <c r="W26" s="31"/>
      <c r="X26" s="31"/>
      <c r="Y26" s="30">
        <v>3206331.2592353402</v>
      </c>
      <c r="Z26" s="31"/>
      <c r="AA26" s="31"/>
      <c r="AB26" s="62">
        <v>50734.367487281103</v>
      </c>
      <c r="AC26" s="106"/>
      <c r="AD26" s="106"/>
      <c r="AE26" s="30">
        <v>2704.8544823757802</v>
      </c>
      <c r="AF26" s="30">
        <v>2704.8544823757802</v>
      </c>
      <c r="AG26" s="33">
        <v>2022</v>
      </c>
      <c r="AH26" s="1">
        <v>593500.14</v>
      </c>
      <c r="AI26" s="5">
        <f t="shared" si="8"/>
        <v>139418.69999999998</v>
      </c>
      <c r="AJ26" s="5">
        <f t="shared" si="9"/>
        <v>4920660</v>
      </c>
      <c r="AL26" s="37">
        <f t="shared" si="10"/>
        <v>0</v>
      </c>
      <c r="AM26" s="62">
        <v>0</v>
      </c>
      <c r="AN26" s="62">
        <v>0</v>
      </c>
      <c r="AO26" s="62">
        <v>0</v>
      </c>
      <c r="AP26" s="62">
        <v>0</v>
      </c>
      <c r="AQ26" s="62">
        <v>0</v>
      </c>
      <c r="AR26" s="62"/>
      <c r="AS26" s="62"/>
      <c r="AT26" s="62">
        <v>0</v>
      </c>
      <c r="AU26" s="62">
        <v>0</v>
      </c>
      <c r="AV26" s="62">
        <v>2388753.41</v>
      </c>
      <c r="AW26" s="62"/>
      <c r="AX26" s="62">
        <v>815005.58</v>
      </c>
      <c r="AY26" s="62">
        <v>392917.04065692797</v>
      </c>
      <c r="AZ26" s="30">
        <v>18562.626065692799</v>
      </c>
      <c r="BA26" s="109">
        <f>12130.9+28736.16</f>
        <v>40867.06</v>
      </c>
      <c r="BB26" s="5">
        <f t="shared" ref="BB26:BB57" si="13">N26-AL26</f>
        <v>3656105.7167226211</v>
      </c>
    </row>
    <row r="27" spans="1:54" ht="15" hidden="1" customHeight="1">
      <c r="A27" s="104">
        <f t="shared" si="11"/>
        <v>10</v>
      </c>
      <c r="B27" s="101">
        <f t="shared" si="12"/>
        <v>10</v>
      </c>
      <c r="C27" s="101" t="s">
        <v>114</v>
      </c>
      <c r="D27" s="101" t="s">
        <v>115</v>
      </c>
      <c r="E27" s="102">
        <v>1991</v>
      </c>
      <c r="F27" s="102">
        <v>1992</v>
      </c>
      <c r="G27" s="102" t="s">
        <v>3</v>
      </c>
      <c r="H27" s="102">
        <v>5</v>
      </c>
      <c r="I27" s="102">
        <v>6</v>
      </c>
      <c r="J27" s="62">
        <v>5213.3</v>
      </c>
      <c r="K27" s="62">
        <v>4504.3999999999996</v>
      </c>
      <c r="L27" s="62">
        <v>150</v>
      </c>
      <c r="M27" s="103">
        <v>215</v>
      </c>
      <c r="N27" s="28">
        <f t="shared" si="7"/>
        <v>3272026.074273</v>
      </c>
      <c r="O27" s="62"/>
      <c r="P27" s="30"/>
      <c r="Q27" s="31"/>
      <c r="R27" s="31"/>
      <c r="S27" s="30"/>
      <c r="T27" s="31"/>
      <c r="U27" s="31"/>
      <c r="V27" s="30">
        <v>458250.55</v>
      </c>
      <c r="W27" s="31"/>
      <c r="X27" s="31"/>
      <c r="Y27" s="30">
        <v>2813775.5242730002</v>
      </c>
      <c r="Z27" s="31"/>
      <c r="AA27" s="31"/>
      <c r="AB27" s="62">
        <v>0</v>
      </c>
      <c r="AC27" s="106"/>
      <c r="AD27" s="106"/>
      <c r="AE27" s="30">
        <v>797.54243923147897</v>
      </c>
      <c r="AF27" s="30">
        <v>797.54243923147897</v>
      </c>
      <c r="AG27" s="33">
        <v>2022</v>
      </c>
      <c r="AH27" s="1">
        <f>2134189.71-1374751.67</f>
        <v>759438.04</v>
      </c>
      <c r="AI27" s="5">
        <f t="shared" si="8"/>
        <v>490048.8</v>
      </c>
      <c r="AJ27" s="5">
        <f>+(K27*10+L27*20)*12*30-2680584.06</f>
        <v>14615255.939999999</v>
      </c>
      <c r="AL27" s="37">
        <f t="shared" si="10"/>
        <v>0</v>
      </c>
      <c r="AM27" s="62"/>
      <c r="AN27" s="62"/>
      <c r="AO27" s="62">
        <v>878254.94</v>
      </c>
      <c r="AP27" s="62"/>
      <c r="AQ27" s="62">
        <v>0</v>
      </c>
      <c r="AR27" s="62"/>
      <c r="AS27" s="62"/>
      <c r="AT27" s="62">
        <v>0</v>
      </c>
      <c r="AU27" s="62">
        <v>0</v>
      </c>
      <c r="AV27" s="62">
        <v>0</v>
      </c>
      <c r="AW27" s="62">
        <v>0</v>
      </c>
      <c r="AX27" s="62">
        <v>0</v>
      </c>
      <c r="AY27" s="62">
        <f>2191683.42279663-27761</f>
        <v>2163922.4227966298</v>
      </c>
      <c r="AZ27" s="30">
        <v>229848.711476372</v>
      </c>
      <c r="BA27" s="40"/>
      <c r="BB27" s="5">
        <f t="shared" si="13"/>
        <v>3272026.074273</v>
      </c>
    </row>
    <row r="28" spans="1:54" ht="15" hidden="1" customHeight="1">
      <c r="A28" s="104">
        <f t="shared" si="11"/>
        <v>11</v>
      </c>
      <c r="B28" s="101">
        <f t="shared" si="12"/>
        <v>11</v>
      </c>
      <c r="C28" s="101" t="s">
        <v>114</v>
      </c>
      <c r="D28" s="101" t="s">
        <v>118</v>
      </c>
      <c r="E28" s="102">
        <v>1996</v>
      </c>
      <c r="F28" s="102">
        <v>1996</v>
      </c>
      <c r="G28" s="102" t="s">
        <v>3</v>
      </c>
      <c r="H28" s="102">
        <v>9</v>
      </c>
      <c r="I28" s="102">
        <v>2</v>
      </c>
      <c r="J28" s="62">
        <v>5868.8</v>
      </c>
      <c r="K28" s="62">
        <v>4891.1000000000004</v>
      </c>
      <c r="L28" s="62">
        <v>103.4</v>
      </c>
      <c r="M28" s="103">
        <v>176</v>
      </c>
      <c r="N28" s="28">
        <f t="shared" si="7"/>
        <v>5807146.3799999999</v>
      </c>
      <c r="O28" s="62"/>
      <c r="P28" s="30">
        <v>0</v>
      </c>
      <c r="Q28" s="31"/>
      <c r="R28" s="31"/>
      <c r="S28" s="30"/>
      <c r="T28" s="31"/>
      <c r="U28" s="31"/>
      <c r="V28" s="30">
        <v>2916099.9</v>
      </c>
      <c r="W28" s="31"/>
      <c r="X28" s="31"/>
      <c r="Y28" s="30">
        <v>2891046.48</v>
      </c>
      <c r="Z28" s="31"/>
      <c r="AA28" s="31"/>
      <c r="AB28" s="62">
        <v>0</v>
      </c>
      <c r="AC28" s="106"/>
      <c r="AD28" s="106"/>
      <c r="AE28" s="30">
        <v>1232.6258095548801</v>
      </c>
      <c r="AF28" s="30">
        <v>1232.6258095548801</v>
      </c>
      <c r="AG28" s="33">
        <v>2022</v>
      </c>
      <c r="AH28" s="1">
        <f>3041149.84-317048.16</f>
        <v>2724101.6799999997</v>
      </c>
      <c r="AI28" s="5">
        <f>+(K28*13.29+L28*22.52)*12*0.85</f>
        <v>686779.12739999988</v>
      </c>
      <c r="AJ28" s="5">
        <f>+(K28*13.29+L28*22.52)*12*30-2665031.47</f>
        <v>21574231.849999998</v>
      </c>
      <c r="AL28" s="37">
        <f t="shared" si="10"/>
        <v>0</v>
      </c>
      <c r="AM28" s="62">
        <v>2699032.56</v>
      </c>
      <c r="AN28" s="62">
        <v>2261633.31</v>
      </c>
      <c r="AO28" s="62"/>
      <c r="AP28" s="62">
        <v>818058.15</v>
      </c>
      <c r="AQ28" s="62">
        <v>0</v>
      </c>
      <c r="AR28" s="62"/>
      <c r="AS28" s="62"/>
      <c r="AT28" s="62">
        <v>0</v>
      </c>
      <c r="AU28" s="62"/>
      <c r="AV28" s="62">
        <v>0</v>
      </c>
      <c r="AW28" s="62">
        <v>0</v>
      </c>
      <c r="AX28" s="62">
        <v>0</v>
      </c>
      <c r="AY28" s="62"/>
      <c r="AZ28" s="30"/>
      <c r="BA28" s="109">
        <f>28422.36</f>
        <v>28422.36</v>
      </c>
      <c r="BB28" s="5">
        <f t="shared" si="13"/>
        <v>5807146.3799999999</v>
      </c>
    </row>
    <row r="29" spans="1:54" hidden="1">
      <c r="A29" s="104">
        <f t="shared" si="11"/>
        <v>12</v>
      </c>
      <c r="B29" s="101">
        <f t="shared" si="12"/>
        <v>12</v>
      </c>
      <c r="C29" s="101" t="s">
        <v>120</v>
      </c>
      <c r="D29" s="101" t="s">
        <v>122</v>
      </c>
      <c r="E29" s="102">
        <v>1986</v>
      </c>
      <c r="F29" s="102">
        <v>2016</v>
      </c>
      <c r="G29" s="102" t="s">
        <v>3</v>
      </c>
      <c r="H29" s="102">
        <v>9</v>
      </c>
      <c r="I29" s="102">
        <v>1</v>
      </c>
      <c r="J29" s="62">
        <v>3158.3</v>
      </c>
      <c r="K29" s="62">
        <v>2706.55</v>
      </c>
      <c r="L29" s="62">
        <v>0</v>
      </c>
      <c r="M29" s="103">
        <v>111</v>
      </c>
      <c r="N29" s="28">
        <f t="shared" si="7"/>
        <v>12771162.560000001</v>
      </c>
      <c r="O29" s="62"/>
      <c r="P29" s="114">
        <v>12411219.705962</v>
      </c>
      <c r="Q29" s="115"/>
      <c r="R29" s="115"/>
      <c r="S29" s="116"/>
      <c r="T29" s="117"/>
      <c r="U29" s="117"/>
      <c r="V29" s="116">
        <v>359942.85403799999</v>
      </c>
      <c r="W29" s="117"/>
      <c r="X29" s="117"/>
      <c r="Y29" s="30"/>
      <c r="Z29" s="31"/>
      <c r="AA29" s="31"/>
      <c r="AB29" s="62"/>
      <c r="AC29" s="106"/>
      <c r="AD29" s="106"/>
      <c r="AE29" s="30">
        <v>4816.5434852487497</v>
      </c>
      <c r="AF29" s="30">
        <v>4816.5434852487497</v>
      </c>
      <c r="AG29" s="33">
        <v>2022</v>
      </c>
      <c r="AI29" s="5">
        <f>+(K29*13.29+L29*22.52)*12*0.85</f>
        <v>366894.5049</v>
      </c>
      <c r="AL29" s="37">
        <f t="shared" si="10"/>
        <v>0</v>
      </c>
      <c r="AM29" s="62">
        <v>0</v>
      </c>
      <c r="AN29" s="62">
        <v>0</v>
      </c>
      <c r="AO29" s="62">
        <v>0</v>
      </c>
      <c r="AP29" s="62">
        <v>0</v>
      </c>
      <c r="AQ29" s="62">
        <v>0</v>
      </c>
      <c r="AR29" s="62"/>
      <c r="AS29" s="62"/>
      <c r="AT29" s="62">
        <v>0</v>
      </c>
      <c r="AU29" s="118">
        <v>2807713.83</v>
      </c>
      <c r="AV29" s="118">
        <v>0</v>
      </c>
      <c r="AW29" s="118">
        <v>9577950</v>
      </c>
      <c r="AX29" s="118">
        <v>0</v>
      </c>
      <c r="AY29" s="118">
        <v>377498.73</v>
      </c>
      <c r="AZ29" s="116">
        <v>8000</v>
      </c>
      <c r="BA29" s="119"/>
      <c r="BB29" s="5">
        <f t="shared" si="13"/>
        <v>12771162.560000001</v>
      </c>
    </row>
    <row r="30" spans="1:54" hidden="1">
      <c r="A30" s="104">
        <f t="shared" si="11"/>
        <v>13</v>
      </c>
      <c r="B30" s="101">
        <f t="shared" si="12"/>
        <v>13</v>
      </c>
      <c r="C30" s="101" t="s">
        <v>114</v>
      </c>
      <c r="D30" s="101" t="s">
        <v>124</v>
      </c>
      <c r="E30" s="102">
        <v>1990</v>
      </c>
      <c r="F30" s="102">
        <v>2017</v>
      </c>
      <c r="G30" s="102" t="s">
        <v>3</v>
      </c>
      <c r="H30" s="102">
        <v>10</v>
      </c>
      <c r="I30" s="102">
        <v>3</v>
      </c>
      <c r="J30" s="62">
        <v>10664.8</v>
      </c>
      <c r="K30" s="62">
        <v>8965.7000000000007</v>
      </c>
      <c r="L30" s="62">
        <v>241.2</v>
      </c>
      <c r="M30" s="103">
        <v>365</v>
      </c>
      <c r="N30" s="28">
        <f t="shared" si="7"/>
        <v>856822.67999999993</v>
      </c>
      <c r="O30" s="62"/>
      <c r="P30" s="30"/>
      <c r="Q30" s="31"/>
      <c r="R30" s="31"/>
      <c r="S30" s="30"/>
      <c r="T30" s="31"/>
      <c r="U30" s="31"/>
      <c r="V30" s="30">
        <v>529034.98</v>
      </c>
      <c r="W30" s="31"/>
      <c r="X30" s="31"/>
      <c r="Y30" s="30">
        <v>327787.7</v>
      </c>
      <c r="Z30" s="31"/>
      <c r="AA30" s="31"/>
      <c r="AB30" s="62">
        <v>0</v>
      </c>
      <c r="AC30" s="106"/>
      <c r="AD30" s="106"/>
      <c r="AE30" s="30">
        <v>102.94371879825</v>
      </c>
      <c r="AF30" s="30">
        <v>102.94371879825</v>
      </c>
      <c r="AG30" s="33">
        <v>2022</v>
      </c>
      <c r="AH30" s="1">
        <v>6040448.1299999999</v>
      </c>
      <c r="AI30" s="5">
        <f>+(K30*13.29+L30*22.52)*12*0.85</f>
        <v>1270776.9653999999</v>
      </c>
      <c r="AJ30" s="5">
        <f>+(K30*13.29+L30*22.52)*12*30-11155353.44</f>
        <v>33695598.280000001</v>
      </c>
      <c r="AL30" s="37">
        <f t="shared" si="10"/>
        <v>0</v>
      </c>
      <c r="AM30" s="62"/>
      <c r="AN30" s="62"/>
      <c r="AO30" s="62"/>
      <c r="AP30" s="62">
        <v>856822.68</v>
      </c>
      <c r="AQ30" s="62">
        <v>0</v>
      </c>
      <c r="AR30" s="62"/>
      <c r="AS30" s="62"/>
      <c r="AT30" s="62">
        <v>0</v>
      </c>
      <c r="AU30" s="62">
        <v>0</v>
      </c>
      <c r="AV30" s="62">
        <v>0</v>
      </c>
      <c r="AW30" s="62">
        <v>0</v>
      </c>
      <c r="AX30" s="62">
        <v>0</v>
      </c>
      <c r="AY30" s="62"/>
      <c r="AZ30" s="30"/>
      <c r="BA30" s="40"/>
      <c r="BB30" s="5">
        <f t="shared" si="13"/>
        <v>856822.67999999993</v>
      </c>
    </row>
    <row r="31" spans="1:54" hidden="1">
      <c r="A31" s="104">
        <f t="shared" si="11"/>
        <v>14</v>
      </c>
      <c r="B31" s="101">
        <f t="shared" si="12"/>
        <v>14</v>
      </c>
      <c r="C31" s="101" t="s">
        <v>114</v>
      </c>
      <c r="D31" s="101" t="s">
        <v>126</v>
      </c>
      <c r="E31" s="102">
        <v>1990</v>
      </c>
      <c r="F31" s="102">
        <v>2017</v>
      </c>
      <c r="G31" s="102" t="s">
        <v>3</v>
      </c>
      <c r="H31" s="102">
        <v>9</v>
      </c>
      <c r="I31" s="102">
        <v>1</v>
      </c>
      <c r="J31" s="62">
        <v>4531.3</v>
      </c>
      <c r="K31" s="62">
        <v>3818.4</v>
      </c>
      <c r="L31" s="62">
        <v>61.2</v>
      </c>
      <c r="M31" s="103">
        <v>144</v>
      </c>
      <c r="N31" s="28">
        <f t="shared" si="7"/>
        <v>3114754.5799999973</v>
      </c>
      <c r="O31" s="62"/>
      <c r="P31" s="30">
        <v>339282.04</v>
      </c>
      <c r="Q31" s="31"/>
      <c r="R31" s="31"/>
      <c r="S31" s="30"/>
      <c r="T31" s="31"/>
      <c r="U31" s="31"/>
      <c r="V31" s="30">
        <v>120075.015726597</v>
      </c>
      <c r="W31" s="31"/>
      <c r="X31" s="31"/>
      <c r="Y31" s="30">
        <v>2655397.5242734002</v>
      </c>
      <c r="Z31" s="31"/>
      <c r="AA31" s="31"/>
      <c r="AB31" s="62">
        <v>0</v>
      </c>
      <c r="AC31" s="106"/>
      <c r="AD31" s="106"/>
      <c r="AE31" s="30">
        <v>826.06726872012496</v>
      </c>
      <c r="AF31" s="30">
        <v>826.06726872012496</v>
      </c>
      <c r="AG31" s="33">
        <v>2022</v>
      </c>
      <c r="AH31" s="1">
        <f>2472188.7-'[1]Приложение №1'!$R$83</f>
        <v>2472188.7000000002</v>
      </c>
      <c r="AI31" s="5">
        <f>+(K31*13.29+L31*22.52)*12*0.85</f>
        <v>531672.55200000003</v>
      </c>
      <c r="AJ31" s="5">
        <f>+(K31*13.29+L31*22.52)*12*30-'[1]Приложение №1'!$S$83</f>
        <v>18764913.600000001</v>
      </c>
      <c r="AL31" s="37">
        <f t="shared" si="10"/>
        <v>0</v>
      </c>
      <c r="AM31" s="62"/>
      <c r="AN31" s="62">
        <v>1900545.16</v>
      </c>
      <c r="AO31" s="62"/>
      <c r="AP31" s="62">
        <v>1184190.3999999999</v>
      </c>
      <c r="AQ31" s="62">
        <v>0</v>
      </c>
      <c r="AR31" s="62"/>
      <c r="AS31" s="62"/>
      <c r="AT31" s="62">
        <v>0</v>
      </c>
      <c r="AU31" s="62">
        <v>0</v>
      </c>
      <c r="AV31" s="62"/>
      <c r="AW31" s="62">
        <v>0</v>
      </c>
      <c r="AX31" s="62">
        <v>0</v>
      </c>
      <c r="AY31" s="62"/>
      <c r="AZ31" s="30"/>
      <c r="BA31" s="109">
        <v>30019.02</v>
      </c>
      <c r="BB31" s="5">
        <f t="shared" si="13"/>
        <v>3114754.5799999973</v>
      </c>
    </row>
    <row r="32" spans="1:54" hidden="1">
      <c r="A32" s="104">
        <f t="shared" si="11"/>
        <v>15</v>
      </c>
      <c r="B32" s="101">
        <f t="shared" si="12"/>
        <v>15</v>
      </c>
      <c r="C32" s="101" t="s">
        <v>114</v>
      </c>
      <c r="D32" s="101" t="s">
        <v>128</v>
      </c>
      <c r="E32" s="102">
        <v>1988</v>
      </c>
      <c r="F32" s="102">
        <v>2016</v>
      </c>
      <c r="G32" s="102" t="s">
        <v>3</v>
      </c>
      <c r="H32" s="102">
        <v>5</v>
      </c>
      <c r="I32" s="102">
        <v>2</v>
      </c>
      <c r="J32" s="62">
        <v>4465.5</v>
      </c>
      <c r="K32" s="62">
        <v>2945.85</v>
      </c>
      <c r="L32" s="62">
        <v>451.6</v>
      </c>
      <c r="M32" s="103">
        <v>169</v>
      </c>
      <c r="N32" s="28">
        <f t="shared" si="7"/>
        <v>6822761.3899999978</v>
      </c>
      <c r="O32" s="62"/>
      <c r="P32" s="30"/>
      <c r="Q32" s="31"/>
      <c r="R32" s="31"/>
      <c r="S32" s="30"/>
      <c r="T32" s="31"/>
      <c r="U32" s="31"/>
      <c r="V32" s="30">
        <v>2137034.25</v>
      </c>
      <c r="W32" s="31"/>
      <c r="X32" s="31"/>
      <c r="Y32" s="30">
        <v>3849733.41</v>
      </c>
      <c r="Z32" s="31"/>
      <c r="AA32" s="31"/>
      <c r="AB32" s="62">
        <v>835993.729999998</v>
      </c>
      <c r="AC32" s="106"/>
      <c r="AD32" s="106"/>
      <c r="AE32" s="30">
        <v>2087.30316218709</v>
      </c>
      <c r="AF32" s="30">
        <v>2087.30316218709</v>
      </c>
      <c r="AG32" s="33">
        <v>2022</v>
      </c>
      <c r="AH32" s="1">
        <v>1790670.12</v>
      </c>
      <c r="AI32" s="5">
        <f>+(K32*10+L32*20)*12*0.85</f>
        <v>392603.1</v>
      </c>
      <c r="AJ32" s="5">
        <f>+(K32*10+L32*20)*12*30</f>
        <v>13856580</v>
      </c>
      <c r="AL32" s="37">
        <f t="shared" si="10"/>
        <v>0</v>
      </c>
      <c r="AM32" s="62">
        <v>2005222.15</v>
      </c>
      <c r="AN32" s="62"/>
      <c r="AO32" s="62">
        <v>0</v>
      </c>
      <c r="AP32" s="62"/>
      <c r="AQ32" s="62">
        <v>0</v>
      </c>
      <c r="AR32" s="62"/>
      <c r="AS32" s="62"/>
      <c r="AT32" s="62">
        <v>0</v>
      </c>
      <c r="AU32" s="62">
        <v>0</v>
      </c>
      <c r="AV32" s="62">
        <v>4791041.3099999996</v>
      </c>
      <c r="AW32" s="62"/>
      <c r="AX32" s="62">
        <v>0</v>
      </c>
      <c r="AY32" s="62"/>
      <c r="AZ32" s="30"/>
      <c r="BA32" s="109">
        <f>26497.93</f>
        <v>26497.93</v>
      </c>
      <c r="BB32" s="5">
        <f t="shared" si="13"/>
        <v>6822761.3899999978</v>
      </c>
    </row>
    <row r="33" spans="1:54" hidden="1">
      <c r="A33" s="104">
        <f t="shared" si="11"/>
        <v>16</v>
      </c>
      <c r="B33" s="101">
        <f t="shared" si="12"/>
        <v>16</v>
      </c>
      <c r="C33" s="101" t="s">
        <v>120</v>
      </c>
      <c r="D33" s="101" t="s">
        <v>130</v>
      </c>
      <c r="E33" s="102">
        <v>1985</v>
      </c>
      <c r="F33" s="102">
        <v>2011</v>
      </c>
      <c r="G33" s="102" t="s">
        <v>3</v>
      </c>
      <c r="H33" s="102">
        <v>5</v>
      </c>
      <c r="I33" s="102">
        <v>12</v>
      </c>
      <c r="J33" s="62">
        <v>12985.9</v>
      </c>
      <c r="K33" s="62">
        <v>10520.9</v>
      </c>
      <c r="L33" s="62">
        <v>299.10000000000002</v>
      </c>
      <c r="M33" s="103">
        <v>439</v>
      </c>
      <c r="N33" s="28">
        <f t="shared" si="7"/>
        <v>49595204.57</v>
      </c>
      <c r="O33" s="62"/>
      <c r="P33" s="116">
        <v>44003584.140000001</v>
      </c>
      <c r="Q33" s="117"/>
      <c r="R33" s="117"/>
      <c r="S33" s="116"/>
      <c r="T33" s="117"/>
      <c r="U33" s="117"/>
      <c r="V33" s="116">
        <v>5591620.4299999997</v>
      </c>
      <c r="W33" s="117"/>
      <c r="X33" s="117"/>
      <c r="Y33" s="30"/>
      <c r="Z33" s="31"/>
      <c r="AA33" s="31"/>
      <c r="AB33" s="62">
        <v>0</v>
      </c>
      <c r="AC33" s="106"/>
      <c r="AD33" s="106"/>
      <c r="AE33" s="30">
        <v>4702.3116367837301</v>
      </c>
      <c r="AF33" s="30">
        <v>4702.3116367837301</v>
      </c>
      <c r="AG33" s="33">
        <v>2022</v>
      </c>
      <c r="AI33" s="5">
        <f>+(K33*10+L33*20)*12*0.85</f>
        <v>1134148.2</v>
      </c>
      <c r="AL33" s="37">
        <f t="shared" si="10"/>
        <v>0</v>
      </c>
      <c r="AM33" s="62">
        <v>0</v>
      </c>
      <c r="AN33" s="62">
        <v>0</v>
      </c>
      <c r="AO33" s="62">
        <v>0</v>
      </c>
      <c r="AP33" s="118">
        <v>6678313.5999999996</v>
      </c>
      <c r="AQ33" s="118">
        <v>0</v>
      </c>
      <c r="AR33" s="118"/>
      <c r="AS33" s="118"/>
      <c r="AT33" s="118">
        <v>0</v>
      </c>
      <c r="AU33" s="118">
        <v>25055410.800000001</v>
      </c>
      <c r="AV33" s="118">
        <v>16117459.310000001</v>
      </c>
      <c r="AW33" s="118">
        <v>0</v>
      </c>
      <c r="AX33" s="118">
        <v>0</v>
      </c>
      <c r="AY33" s="118">
        <v>1734020.86</v>
      </c>
      <c r="AZ33" s="116">
        <v>10000</v>
      </c>
      <c r="BA33" s="119"/>
      <c r="BB33" s="5">
        <f t="shared" si="13"/>
        <v>49595204.57</v>
      </c>
    </row>
    <row r="34" spans="1:54" hidden="1">
      <c r="A34" s="104">
        <f t="shared" si="11"/>
        <v>17</v>
      </c>
      <c r="B34" s="101">
        <f t="shared" si="12"/>
        <v>17</v>
      </c>
      <c r="C34" s="101" t="s">
        <v>114</v>
      </c>
      <c r="D34" s="101" t="s">
        <v>132</v>
      </c>
      <c r="E34" s="102">
        <v>1981</v>
      </c>
      <c r="F34" s="102">
        <v>2016</v>
      </c>
      <c r="G34" s="102" t="s">
        <v>3</v>
      </c>
      <c r="H34" s="102">
        <v>4</v>
      </c>
      <c r="I34" s="102">
        <v>3</v>
      </c>
      <c r="J34" s="62">
        <v>3910.2</v>
      </c>
      <c r="K34" s="62">
        <v>2017.9</v>
      </c>
      <c r="L34" s="62">
        <v>997.9</v>
      </c>
      <c r="M34" s="103">
        <v>113</v>
      </c>
      <c r="N34" s="28">
        <f t="shared" si="7"/>
        <v>10120631.58</v>
      </c>
      <c r="O34" s="62"/>
      <c r="P34" s="30"/>
      <c r="Q34" s="31"/>
      <c r="R34" s="31"/>
      <c r="S34" s="30"/>
      <c r="T34" s="31"/>
      <c r="U34" s="31"/>
      <c r="V34" s="30">
        <v>806677.1</v>
      </c>
      <c r="W34" s="31"/>
      <c r="X34" s="31"/>
      <c r="Y34" s="30">
        <v>9313954.4800000004</v>
      </c>
      <c r="Z34" s="31"/>
      <c r="AA34" s="31"/>
      <c r="AB34" s="62">
        <v>0</v>
      </c>
      <c r="AC34" s="106"/>
      <c r="AD34" s="106"/>
      <c r="AE34" s="30">
        <v>3500.9675696187201</v>
      </c>
      <c r="AF34" s="30">
        <v>3500.9675696187201</v>
      </c>
      <c r="AG34" s="33">
        <v>2022</v>
      </c>
      <c r="AH34" s="1">
        <v>954415.48</v>
      </c>
      <c r="AI34" s="5">
        <f>+(K34*10+L34*20)*12*0.85</f>
        <v>409397.39999999997</v>
      </c>
      <c r="AJ34" s="5">
        <f>+(K34*10+L34*20)*12*30</f>
        <v>14449320</v>
      </c>
      <c r="AL34" s="37">
        <f t="shared" si="10"/>
        <v>0</v>
      </c>
      <c r="AM34" s="62"/>
      <c r="AN34" s="62">
        <v>4716823.2</v>
      </c>
      <c r="AO34" s="62"/>
      <c r="AP34" s="62">
        <v>0</v>
      </c>
      <c r="AQ34" s="62">
        <v>0</v>
      </c>
      <c r="AR34" s="62"/>
      <c r="AS34" s="62"/>
      <c r="AT34" s="62">
        <v>0</v>
      </c>
      <c r="AU34" s="62">
        <v>5310079.2</v>
      </c>
      <c r="AV34" s="62">
        <v>0</v>
      </c>
      <c r="AW34" s="62">
        <v>0</v>
      </c>
      <c r="AX34" s="62">
        <v>0</v>
      </c>
      <c r="AY34" s="62"/>
      <c r="AZ34" s="30"/>
      <c r="BA34" s="109">
        <f>29302.97+64426.21</f>
        <v>93729.18</v>
      </c>
      <c r="BB34" s="5">
        <f t="shared" si="13"/>
        <v>10120631.58</v>
      </c>
    </row>
    <row r="35" spans="1:54" hidden="1">
      <c r="A35" s="104">
        <f t="shared" si="11"/>
        <v>18</v>
      </c>
      <c r="B35" s="101">
        <f t="shared" si="12"/>
        <v>18</v>
      </c>
      <c r="C35" s="101" t="s">
        <v>114</v>
      </c>
      <c r="D35" s="101" t="s">
        <v>134</v>
      </c>
      <c r="E35" s="102">
        <v>1990</v>
      </c>
      <c r="F35" s="102">
        <v>2017</v>
      </c>
      <c r="G35" s="102" t="s">
        <v>3</v>
      </c>
      <c r="H35" s="102">
        <v>10</v>
      </c>
      <c r="I35" s="102">
        <v>3</v>
      </c>
      <c r="J35" s="62">
        <v>9593.2999999999993</v>
      </c>
      <c r="K35" s="62">
        <v>8146.5</v>
      </c>
      <c r="L35" s="62">
        <v>251.7</v>
      </c>
      <c r="M35" s="103">
        <v>290</v>
      </c>
      <c r="N35" s="28">
        <f t="shared" si="7"/>
        <v>11326258.890000004</v>
      </c>
      <c r="O35" s="62"/>
      <c r="P35" s="30">
        <v>4826750.29</v>
      </c>
      <c r="Q35" s="31"/>
      <c r="R35" s="31"/>
      <c r="S35" s="30"/>
      <c r="T35" s="31"/>
      <c r="U35" s="31"/>
      <c r="V35" s="30">
        <v>554751.74243921496</v>
      </c>
      <c r="W35" s="31"/>
      <c r="X35" s="31"/>
      <c r="Y35" s="30">
        <v>5944756.8575607901</v>
      </c>
      <c r="Z35" s="31"/>
      <c r="AA35" s="31"/>
      <c r="AB35" s="62">
        <v>0</v>
      </c>
      <c r="AC35" s="106"/>
      <c r="AD35" s="106"/>
      <c r="AE35" s="30">
        <v>1414.7091796384</v>
      </c>
      <c r="AF35" s="30">
        <v>1414.7091796384</v>
      </c>
      <c r="AG35" s="33">
        <v>2022</v>
      </c>
      <c r="AH35" s="1">
        <v>5009993.34</v>
      </c>
      <c r="AI35" s="5">
        <f t="shared" ref="AI35:AI41" si="14">+(K35*13.29+L35*22.52)*12*0.85</f>
        <v>1162139.7437999998</v>
      </c>
      <c r="AJ35" s="5">
        <f t="shared" ref="AJ35:AJ40" si="15">+(K35*13.29+L35*22.52)*12*30</f>
        <v>41016696.839999996</v>
      </c>
      <c r="AL35" s="37">
        <f t="shared" si="10"/>
        <v>0</v>
      </c>
      <c r="AM35" s="62"/>
      <c r="AN35" s="62">
        <v>4815586.08</v>
      </c>
      <c r="AO35" s="62"/>
      <c r="AP35" s="62">
        <v>2345570.7400000002</v>
      </c>
      <c r="AQ35" s="62">
        <v>0</v>
      </c>
      <c r="AR35" s="62"/>
      <c r="AS35" s="62"/>
      <c r="AT35" s="62">
        <v>0</v>
      </c>
      <c r="AU35" s="62">
        <v>0</v>
      </c>
      <c r="AV35" s="62">
        <v>4165102.07</v>
      </c>
      <c r="AW35" s="62">
        <v>0</v>
      </c>
      <c r="AX35" s="62">
        <v>0</v>
      </c>
      <c r="AY35" s="62"/>
      <c r="AZ35" s="30"/>
      <c r="BA35" s="40"/>
      <c r="BB35" s="5">
        <f t="shared" si="13"/>
        <v>11326258.890000004</v>
      </c>
    </row>
    <row r="36" spans="1:54" hidden="1">
      <c r="A36" s="104">
        <f t="shared" si="11"/>
        <v>19</v>
      </c>
      <c r="B36" s="101">
        <f t="shared" si="12"/>
        <v>19</v>
      </c>
      <c r="C36" s="101" t="s">
        <v>114</v>
      </c>
      <c r="D36" s="101" t="s">
        <v>137</v>
      </c>
      <c r="E36" s="102">
        <v>1990</v>
      </c>
      <c r="F36" s="102">
        <v>2017</v>
      </c>
      <c r="G36" s="102" t="s">
        <v>3</v>
      </c>
      <c r="H36" s="102">
        <v>9</v>
      </c>
      <c r="I36" s="102">
        <v>2</v>
      </c>
      <c r="J36" s="62">
        <v>9044.7000000000007</v>
      </c>
      <c r="K36" s="62">
        <v>7731.7</v>
      </c>
      <c r="L36" s="62">
        <v>0</v>
      </c>
      <c r="M36" s="103">
        <v>294</v>
      </c>
      <c r="N36" s="28">
        <f t="shared" si="7"/>
        <v>12466406.289999999</v>
      </c>
      <c r="O36" s="62"/>
      <c r="P36" s="30">
        <v>0</v>
      </c>
      <c r="Q36" s="31"/>
      <c r="R36" s="31"/>
      <c r="S36" s="30"/>
      <c r="T36" s="31"/>
      <c r="U36" s="31"/>
      <c r="V36" s="30">
        <v>9626752.0343421996</v>
      </c>
      <c r="W36" s="31"/>
      <c r="X36" s="31"/>
      <c r="Y36" s="30">
        <v>2839654.2556578</v>
      </c>
      <c r="Z36" s="31"/>
      <c r="AA36" s="31"/>
      <c r="AB36" s="62">
        <v>0</v>
      </c>
      <c r="AC36" s="106"/>
      <c r="AD36" s="106"/>
      <c r="AE36" s="30">
        <v>1717.03968782314</v>
      </c>
      <c r="AF36" s="30">
        <v>1717.03968782314</v>
      </c>
      <c r="AG36" s="33">
        <v>2022</v>
      </c>
      <c r="AH36" s="1">
        <v>4614966.51</v>
      </c>
      <c r="AI36" s="5">
        <f t="shared" si="14"/>
        <v>1048093.7885999999</v>
      </c>
      <c r="AJ36" s="5">
        <f t="shared" si="15"/>
        <v>36991545.479999997</v>
      </c>
      <c r="AL36" s="37">
        <f t="shared" si="10"/>
        <v>0</v>
      </c>
      <c r="AM36" s="62">
        <v>5601164.7400000002</v>
      </c>
      <c r="AN36" s="62">
        <v>4132221.15</v>
      </c>
      <c r="AO36" s="62"/>
      <c r="AP36" s="62">
        <v>2594387.63</v>
      </c>
      <c r="AQ36" s="62">
        <v>0</v>
      </c>
      <c r="AR36" s="62"/>
      <c r="AS36" s="62"/>
      <c r="AT36" s="62">
        <v>0</v>
      </c>
      <c r="AU36" s="62">
        <v>0</v>
      </c>
      <c r="AV36" s="62"/>
      <c r="AW36" s="62">
        <v>0</v>
      </c>
      <c r="AX36" s="62">
        <v>0</v>
      </c>
      <c r="AY36" s="62"/>
      <c r="AZ36" s="30"/>
      <c r="BA36" s="109">
        <f>138632.77</f>
        <v>138632.76999999999</v>
      </c>
      <c r="BB36" s="5">
        <f t="shared" si="13"/>
        <v>12466406.289999999</v>
      </c>
    </row>
    <row r="37" spans="1:54" hidden="1">
      <c r="A37" s="104">
        <f t="shared" si="11"/>
        <v>20</v>
      </c>
      <c r="B37" s="101">
        <f t="shared" si="12"/>
        <v>20</v>
      </c>
      <c r="C37" s="101" t="s">
        <v>114</v>
      </c>
      <c r="D37" s="101" t="s">
        <v>139</v>
      </c>
      <c r="E37" s="102">
        <v>1990</v>
      </c>
      <c r="F37" s="102">
        <v>2017</v>
      </c>
      <c r="G37" s="102" t="s">
        <v>3</v>
      </c>
      <c r="H37" s="102">
        <v>9</v>
      </c>
      <c r="I37" s="102">
        <v>1</v>
      </c>
      <c r="J37" s="62">
        <v>4527.8</v>
      </c>
      <c r="K37" s="62">
        <v>3876.4</v>
      </c>
      <c r="L37" s="62">
        <v>0</v>
      </c>
      <c r="M37" s="103">
        <v>153</v>
      </c>
      <c r="N37" s="28">
        <f t="shared" si="7"/>
        <v>4707613.74</v>
      </c>
      <c r="O37" s="62"/>
      <c r="P37" s="30">
        <v>54608.39</v>
      </c>
      <c r="Q37" s="31"/>
      <c r="R37" s="31"/>
      <c r="S37" s="30"/>
      <c r="T37" s="31"/>
      <c r="U37" s="31"/>
      <c r="V37" s="30">
        <v>1459981.2542184601</v>
      </c>
      <c r="W37" s="31"/>
      <c r="X37" s="31"/>
      <c r="Y37" s="30">
        <v>3193024.09578154</v>
      </c>
      <c r="Z37" s="31"/>
      <c r="AA37" s="31"/>
      <c r="AB37" s="62">
        <v>0</v>
      </c>
      <c r="AC37" s="106"/>
      <c r="AD37" s="106"/>
      <c r="AE37" s="30">
        <v>1351.9760149154999</v>
      </c>
      <c r="AF37" s="30">
        <v>1351.9760149154999</v>
      </c>
      <c r="AG37" s="33">
        <v>2022</v>
      </c>
      <c r="AH37" s="1">
        <v>2413836.61</v>
      </c>
      <c r="AI37" s="5">
        <f t="shared" si="14"/>
        <v>525477.03119999997</v>
      </c>
      <c r="AJ37" s="5">
        <f t="shared" si="15"/>
        <v>18546248.16</v>
      </c>
      <c r="AL37" s="37">
        <f t="shared" si="10"/>
        <v>0</v>
      </c>
      <c r="AM37" s="62"/>
      <c r="AN37" s="62">
        <v>1792691.85</v>
      </c>
      <c r="AO37" s="62"/>
      <c r="AP37" s="62">
        <v>1124322.94</v>
      </c>
      <c r="AQ37" s="62">
        <v>0</v>
      </c>
      <c r="AR37" s="62"/>
      <c r="AS37" s="62"/>
      <c r="AT37" s="62">
        <v>0</v>
      </c>
      <c r="AU37" s="62">
        <v>0</v>
      </c>
      <c r="AV37" s="62">
        <v>1790598.95</v>
      </c>
      <c r="AW37" s="62">
        <v>0</v>
      </c>
      <c r="AX37" s="62">
        <v>0</v>
      </c>
      <c r="AY37" s="62"/>
      <c r="AZ37" s="30"/>
      <c r="BA37" s="40"/>
      <c r="BB37" s="5">
        <f t="shared" si="13"/>
        <v>4707613.74</v>
      </c>
    </row>
    <row r="38" spans="1:54" hidden="1">
      <c r="A38" s="104">
        <f t="shared" si="11"/>
        <v>21</v>
      </c>
      <c r="B38" s="101">
        <f t="shared" si="12"/>
        <v>21</v>
      </c>
      <c r="C38" s="101" t="s">
        <v>114</v>
      </c>
      <c r="D38" s="101" t="s">
        <v>143</v>
      </c>
      <c r="E38" s="102">
        <v>1990</v>
      </c>
      <c r="F38" s="102">
        <v>2017</v>
      </c>
      <c r="G38" s="102" t="s">
        <v>3</v>
      </c>
      <c r="H38" s="102">
        <v>10</v>
      </c>
      <c r="I38" s="102">
        <v>1</v>
      </c>
      <c r="J38" s="62">
        <v>3578</v>
      </c>
      <c r="K38" s="62">
        <v>3065.8</v>
      </c>
      <c r="L38" s="62">
        <v>0</v>
      </c>
      <c r="M38" s="103">
        <v>111</v>
      </c>
      <c r="N38" s="28">
        <f t="shared" si="7"/>
        <v>1520132.82</v>
      </c>
      <c r="O38" s="62"/>
      <c r="P38" s="30"/>
      <c r="Q38" s="31"/>
      <c r="R38" s="31"/>
      <c r="S38" s="30"/>
      <c r="T38" s="31"/>
      <c r="U38" s="31"/>
      <c r="V38" s="30">
        <v>73156.360000000102</v>
      </c>
      <c r="W38" s="31"/>
      <c r="X38" s="31"/>
      <c r="Y38" s="30">
        <v>1446976.46</v>
      </c>
      <c r="Z38" s="31"/>
      <c r="AA38" s="31"/>
      <c r="AB38" s="62">
        <v>0</v>
      </c>
      <c r="AC38" s="106"/>
      <c r="AD38" s="106"/>
      <c r="AE38" s="30">
        <v>514.863086307</v>
      </c>
      <c r="AF38" s="30">
        <v>514.863086307</v>
      </c>
      <c r="AG38" s="33">
        <v>2022</v>
      </c>
      <c r="AH38" s="1">
        <v>2001885.98</v>
      </c>
      <c r="AI38" s="5">
        <f t="shared" si="14"/>
        <v>415593.71639999998</v>
      </c>
      <c r="AJ38" s="5">
        <f t="shared" si="15"/>
        <v>14668013.52</v>
      </c>
      <c r="AL38" s="37">
        <f t="shared" si="10"/>
        <v>0</v>
      </c>
      <c r="AM38" s="62"/>
      <c r="AN38" s="62">
        <v>991956.22</v>
      </c>
      <c r="AO38" s="62"/>
      <c r="AP38" s="62">
        <v>513354.67</v>
      </c>
      <c r="AQ38" s="62">
        <v>0</v>
      </c>
      <c r="AR38" s="62"/>
      <c r="AS38" s="62"/>
      <c r="AT38" s="62">
        <v>0</v>
      </c>
      <c r="AU38" s="62">
        <v>0</v>
      </c>
      <c r="AV38" s="62">
        <v>0</v>
      </c>
      <c r="AW38" s="62">
        <v>0</v>
      </c>
      <c r="AX38" s="62">
        <v>0</v>
      </c>
      <c r="AY38" s="62"/>
      <c r="AZ38" s="30"/>
      <c r="BA38" s="109">
        <f>14821.93</f>
        <v>14821.93</v>
      </c>
      <c r="BB38" s="5">
        <f t="shared" si="13"/>
        <v>1520132.82</v>
      </c>
    </row>
    <row r="39" spans="1:54" hidden="1">
      <c r="A39" s="104">
        <f t="shared" si="11"/>
        <v>22</v>
      </c>
      <c r="B39" s="101">
        <f t="shared" si="12"/>
        <v>22</v>
      </c>
      <c r="C39" s="101" t="s">
        <v>114</v>
      </c>
      <c r="D39" s="101" t="s">
        <v>145</v>
      </c>
      <c r="E39" s="102">
        <v>1990</v>
      </c>
      <c r="F39" s="102">
        <v>2017</v>
      </c>
      <c r="G39" s="102" t="s">
        <v>3</v>
      </c>
      <c r="H39" s="102">
        <v>10</v>
      </c>
      <c r="I39" s="102">
        <v>1</v>
      </c>
      <c r="J39" s="62">
        <v>3562.9</v>
      </c>
      <c r="K39" s="62">
        <v>3045.6</v>
      </c>
      <c r="L39" s="62">
        <v>0</v>
      </c>
      <c r="M39" s="103">
        <v>121</v>
      </c>
      <c r="N39" s="28">
        <f t="shared" si="7"/>
        <v>6194141.0499999998</v>
      </c>
      <c r="O39" s="62"/>
      <c r="P39" s="30"/>
      <c r="Q39" s="31"/>
      <c r="R39" s="31"/>
      <c r="S39" s="30"/>
      <c r="T39" s="31"/>
      <c r="U39" s="31"/>
      <c r="V39" s="30">
        <v>2146649.1226293999</v>
      </c>
      <c r="W39" s="31"/>
      <c r="X39" s="31"/>
      <c r="Y39" s="30">
        <v>4047491.9273705999</v>
      </c>
      <c r="Z39" s="31"/>
      <c r="AA39" s="31"/>
      <c r="AB39" s="62">
        <v>0</v>
      </c>
      <c r="AC39" s="106"/>
      <c r="AD39" s="106"/>
      <c r="AE39" s="30">
        <v>2155.86296054288</v>
      </c>
      <c r="AF39" s="30">
        <v>2155.86296054288</v>
      </c>
      <c r="AG39" s="33">
        <v>2022</v>
      </c>
      <c r="AH39" s="1">
        <v>1845490.3</v>
      </c>
      <c r="AI39" s="5">
        <f t="shared" si="14"/>
        <v>412855.44479999994</v>
      </c>
      <c r="AJ39" s="5">
        <f t="shared" si="15"/>
        <v>14571368.639999999</v>
      </c>
      <c r="AL39" s="37">
        <f t="shared" si="10"/>
        <v>0</v>
      </c>
      <c r="AM39" s="62">
        <v>2562057.4900000002</v>
      </c>
      <c r="AN39" s="62">
        <v>1395411.2</v>
      </c>
      <c r="AO39" s="62"/>
      <c r="AP39" s="62">
        <v>767119.01</v>
      </c>
      <c r="AQ39" s="62">
        <v>0</v>
      </c>
      <c r="AR39" s="62"/>
      <c r="AS39" s="62"/>
      <c r="AT39" s="62">
        <v>0</v>
      </c>
      <c r="AU39" s="62">
        <v>0</v>
      </c>
      <c r="AV39" s="62">
        <v>1469553.35</v>
      </c>
      <c r="AW39" s="62">
        <v>0</v>
      </c>
      <c r="AX39" s="62">
        <v>0</v>
      </c>
      <c r="AY39" s="62"/>
      <c r="AZ39" s="30"/>
      <c r="BA39" s="40"/>
      <c r="BB39" s="5">
        <f t="shared" si="13"/>
        <v>6194141.0499999998</v>
      </c>
    </row>
    <row r="40" spans="1:54" hidden="1">
      <c r="A40" s="104">
        <f t="shared" si="11"/>
        <v>23</v>
      </c>
      <c r="B40" s="101">
        <f t="shared" si="12"/>
        <v>23</v>
      </c>
      <c r="C40" s="101" t="s">
        <v>114</v>
      </c>
      <c r="D40" s="101" t="s">
        <v>147</v>
      </c>
      <c r="E40" s="102">
        <v>1990</v>
      </c>
      <c r="F40" s="102">
        <v>2017</v>
      </c>
      <c r="G40" s="102" t="s">
        <v>3</v>
      </c>
      <c r="H40" s="102">
        <v>9</v>
      </c>
      <c r="I40" s="102">
        <v>1</v>
      </c>
      <c r="J40" s="62">
        <v>3197.5</v>
      </c>
      <c r="K40" s="62">
        <v>2621.1</v>
      </c>
      <c r="L40" s="62">
        <v>132.4</v>
      </c>
      <c r="M40" s="103">
        <v>94</v>
      </c>
      <c r="N40" s="28">
        <f t="shared" si="7"/>
        <v>2223790.75</v>
      </c>
      <c r="O40" s="62"/>
      <c r="P40" s="30"/>
      <c r="Q40" s="31"/>
      <c r="R40" s="31"/>
      <c r="S40" s="30"/>
      <c r="T40" s="31"/>
      <c r="U40" s="31"/>
      <c r="V40" s="30">
        <v>1017398.54</v>
      </c>
      <c r="W40" s="31"/>
      <c r="X40" s="31"/>
      <c r="Y40" s="30">
        <v>1206392.21</v>
      </c>
      <c r="Z40" s="31"/>
      <c r="AA40" s="31"/>
      <c r="AB40" s="62">
        <v>0</v>
      </c>
      <c r="AC40" s="106"/>
      <c r="AD40" s="106"/>
      <c r="AE40" s="30">
        <v>898.29910944221797</v>
      </c>
      <c r="AF40" s="30">
        <v>898.29910944221797</v>
      </c>
      <c r="AG40" s="33">
        <v>2022</v>
      </c>
      <c r="AH40" s="1">
        <v>1678059.52</v>
      </c>
      <c r="AI40" s="5">
        <f t="shared" si="14"/>
        <v>385723.88339999993</v>
      </c>
      <c r="AJ40" s="5">
        <f t="shared" si="15"/>
        <v>13613784.119999999</v>
      </c>
      <c r="AL40" s="37">
        <f t="shared" si="10"/>
        <v>0</v>
      </c>
      <c r="AM40" s="62">
        <v>2223790.75</v>
      </c>
      <c r="AN40" s="62"/>
      <c r="AO40" s="62"/>
      <c r="AP40" s="62"/>
      <c r="AQ40" s="62">
        <v>0</v>
      </c>
      <c r="AR40" s="62"/>
      <c r="AS40" s="62"/>
      <c r="AT40" s="62">
        <v>0</v>
      </c>
      <c r="AU40" s="62">
        <v>0</v>
      </c>
      <c r="AV40" s="62"/>
      <c r="AW40" s="62">
        <v>0</v>
      </c>
      <c r="AX40" s="62">
        <v>0</v>
      </c>
      <c r="AY40" s="62"/>
      <c r="AZ40" s="30"/>
      <c r="BA40" s="40"/>
      <c r="BB40" s="5">
        <f t="shared" si="13"/>
        <v>2223790.75</v>
      </c>
    </row>
    <row r="41" spans="1:54" hidden="1">
      <c r="A41" s="104">
        <f t="shared" si="11"/>
        <v>24</v>
      </c>
      <c r="B41" s="101">
        <f t="shared" si="12"/>
        <v>24</v>
      </c>
      <c r="C41" s="101" t="s">
        <v>120</v>
      </c>
      <c r="D41" s="101" t="s">
        <v>149</v>
      </c>
      <c r="E41" s="102">
        <v>1994</v>
      </c>
      <c r="F41" s="102">
        <v>2017</v>
      </c>
      <c r="G41" s="102" t="s">
        <v>3</v>
      </c>
      <c r="H41" s="102">
        <v>10</v>
      </c>
      <c r="I41" s="102">
        <v>1</v>
      </c>
      <c r="J41" s="62">
        <v>3224</v>
      </c>
      <c r="K41" s="62">
        <v>2850</v>
      </c>
      <c r="L41" s="62">
        <v>0</v>
      </c>
      <c r="M41" s="103">
        <v>96</v>
      </c>
      <c r="N41" s="28">
        <f t="shared" si="7"/>
        <v>3218799.54</v>
      </c>
      <c r="O41" s="62"/>
      <c r="P41" s="116">
        <v>2383274.1340000001</v>
      </c>
      <c r="Q41" s="117"/>
      <c r="R41" s="117"/>
      <c r="S41" s="116"/>
      <c r="T41" s="117"/>
      <c r="U41" s="117"/>
      <c r="V41" s="116">
        <v>835525.40599999996</v>
      </c>
      <c r="W41" s="117"/>
      <c r="X41" s="117"/>
      <c r="Y41" s="30"/>
      <c r="Z41" s="31"/>
      <c r="AA41" s="31"/>
      <c r="AB41" s="62"/>
      <c r="AC41" s="106"/>
      <c r="AD41" s="106"/>
      <c r="AE41" s="30">
        <v>1943.39953893812</v>
      </c>
      <c r="AF41" s="30">
        <v>1943.39953893812</v>
      </c>
      <c r="AG41" s="33">
        <v>2022</v>
      </c>
      <c r="AI41" s="5">
        <f t="shared" si="14"/>
        <v>386340.3</v>
      </c>
      <c r="AL41" s="37">
        <f t="shared" si="10"/>
        <v>0</v>
      </c>
      <c r="AM41" s="62">
        <v>0</v>
      </c>
      <c r="AN41" s="62">
        <v>0</v>
      </c>
      <c r="AO41" s="62">
        <v>0</v>
      </c>
      <c r="AP41" s="62">
        <v>0</v>
      </c>
      <c r="AQ41" s="62">
        <v>0</v>
      </c>
      <c r="AR41" s="62"/>
      <c r="AS41" s="62"/>
      <c r="AT41" s="62">
        <v>0</v>
      </c>
      <c r="AU41" s="118">
        <v>2913300.81</v>
      </c>
      <c r="AV41" s="118">
        <v>0</v>
      </c>
      <c r="AW41" s="118">
        <v>0</v>
      </c>
      <c r="AX41" s="118">
        <v>0</v>
      </c>
      <c r="AY41" s="118">
        <v>297498.73</v>
      </c>
      <c r="AZ41" s="116">
        <v>8000</v>
      </c>
      <c r="BA41" s="119"/>
      <c r="BB41" s="5">
        <f t="shared" si="13"/>
        <v>3218799.54</v>
      </c>
    </row>
    <row r="42" spans="1:54" hidden="1">
      <c r="A42" s="104">
        <f t="shared" si="11"/>
        <v>25</v>
      </c>
      <c r="B42" s="101">
        <f t="shared" si="12"/>
        <v>25</v>
      </c>
      <c r="C42" s="101" t="s">
        <v>114</v>
      </c>
      <c r="D42" s="101" t="s">
        <v>151</v>
      </c>
      <c r="E42" s="102">
        <v>1991</v>
      </c>
      <c r="F42" s="102">
        <v>1991</v>
      </c>
      <c r="G42" s="102" t="s">
        <v>3</v>
      </c>
      <c r="H42" s="102">
        <v>5</v>
      </c>
      <c r="I42" s="102">
        <v>8</v>
      </c>
      <c r="J42" s="62">
        <v>7532.7</v>
      </c>
      <c r="K42" s="62">
        <v>6513.5</v>
      </c>
      <c r="L42" s="62">
        <v>98.2</v>
      </c>
      <c r="M42" s="103">
        <v>288</v>
      </c>
      <c r="N42" s="28">
        <f t="shared" si="7"/>
        <v>2578445.0699999998</v>
      </c>
      <c r="O42" s="105"/>
      <c r="P42" s="30">
        <v>0</v>
      </c>
      <c r="Q42" s="31"/>
      <c r="R42" s="31"/>
      <c r="S42" s="30"/>
      <c r="T42" s="31"/>
      <c r="U42" s="31"/>
      <c r="V42" s="30">
        <v>809686.14</v>
      </c>
      <c r="W42" s="31"/>
      <c r="X42" s="31"/>
      <c r="Y42" s="30">
        <v>1768758.93</v>
      </c>
      <c r="Z42" s="31"/>
      <c r="AA42" s="31"/>
      <c r="AB42" s="62">
        <v>0</v>
      </c>
      <c r="AC42" s="106"/>
      <c r="AD42" s="106"/>
      <c r="AE42" s="30">
        <v>465.57112073063399</v>
      </c>
      <c r="AF42" s="30">
        <v>465.57112073063399</v>
      </c>
      <c r="AG42" s="33">
        <v>2022</v>
      </c>
      <c r="AH42" s="1">
        <f>3159895.02-'[2]Приложение №1'!$R$23-542094.29</f>
        <v>2617800.73</v>
      </c>
      <c r="AI42" s="5">
        <f>+(K42*10+L42*20)*12*0.85</f>
        <v>684409.79999999993</v>
      </c>
      <c r="AJ42" s="5">
        <f>+(K42*10+L42*20)*12*30-'[2]Приложение №1'!$S$23-4668048.56</f>
        <v>19487591.440000001</v>
      </c>
      <c r="AL42" s="37">
        <f t="shared" si="10"/>
        <v>0</v>
      </c>
      <c r="AM42" s="62"/>
      <c r="AN42" s="62">
        <v>2540840.59</v>
      </c>
      <c r="AO42" s="62">
        <v>0</v>
      </c>
      <c r="AQ42" s="62">
        <v>0</v>
      </c>
      <c r="AR42" s="62"/>
      <c r="AS42" s="62"/>
      <c r="AT42" s="62">
        <v>0</v>
      </c>
      <c r="AU42" s="62">
        <v>0</v>
      </c>
      <c r="AV42" s="62">
        <v>0</v>
      </c>
      <c r="AW42" s="62">
        <v>0</v>
      </c>
      <c r="AX42" s="62">
        <v>0</v>
      </c>
      <c r="AY42" s="62"/>
      <c r="AZ42" s="30"/>
      <c r="BA42" s="109">
        <f>37604.48</f>
        <v>37604.480000000003</v>
      </c>
      <c r="BB42" s="5">
        <f t="shared" si="13"/>
        <v>2578445.0699999998</v>
      </c>
    </row>
    <row r="43" spans="1:54" hidden="1">
      <c r="A43" s="104">
        <f t="shared" si="11"/>
        <v>26</v>
      </c>
      <c r="B43" s="101">
        <f t="shared" si="12"/>
        <v>26</v>
      </c>
      <c r="C43" s="101" t="s">
        <v>120</v>
      </c>
      <c r="D43" s="101" t="s">
        <v>153</v>
      </c>
      <c r="E43" s="102">
        <v>1993</v>
      </c>
      <c r="F43" s="102">
        <v>1993</v>
      </c>
      <c r="G43" s="102" t="s">
        <v>3</v>
      </c>
      <c r="H43" s="102">
        <v>9</v>
      </c>
      <c r="I43" s="102">
        <v>1</v>
      </c>
      <c r="J43" s="62">
        <v>2888.5</v>
      </c>
      <c r="K43" s="62">
        <v>2497</v>
      </c>
      <c r="L43" s="62">
        <v>0</v>
      </c>
      <c r="M43" s="103">
        <v>69</v>
      </c>
      <c r="N43" s="28">
        <f t="shared" si="7"/>
        <v>3557949.73</v>
      </c>
      <c r="O43" s="62"/>
      <c r="P43" s="116">
        <v>2911514.27</v>
      </c>
      <c r="Q43" s="117"/>
      <c r="R43" s="117"/>
      <c r="S43" s="116"/>
      <c r="T43" s="117"/>
      <c r="U43" s="117"/>
      <c r="V43" s="116">
        <v>646435.46</v>
      </c>
      <c r="W43" s="117"/>
      <c r="X43" s="117"/>
      <c r="Y43" s="30"/>
      <c r="Z43" s="31"/>
      <c r="AA43" s="31"/>
      <c r="AB43" s="62">
        <v>0</v>
      </c>
      <c r="AC43" s="106"/>
      <c r="AD43" s="106"/>
      <c r="AE43" s="30">
        <v>1476.0945334401299</v>
      </c>
      <c r="AF43" s="30">
        <v>1476.0945334401299</v>
      </c>
      <c r="AG43" s="33">
        <v>2022</v>
      </c>
      <c r="AI43" s="5">
        <f>+(K43*13.29+L43*22.52)*12*0.85</f>
        <v>338488.32599999994</v>
      </c>
      <c r="AL43" s="37">
        <f t="shared" si="10"/>
        <v>0</v>
      </c>
      <c r="AM43" s="118">
        <v>2951330.4</v>
      </c>
      <c r="AN43" s="118">
        <v>0</v>
      </c>
      <c r="AO43" s="118">
        <v>0</v>
      </c>
      <c r="AP43" s="118">
        <v>0</v>
      </c>
      <c r="AQ43" s="118">
        <v>0</v>
      </c>
      <c r="AR43" s="118"/>
      <c r="AS43" s="118"/>
      <c r="AT43" s="118">
        <v>0</v>
      </c>
      <c r="AU43" s="118">
        <v>0</v>
      </c>
      <c r="AV43" s="118"/>
      <c r="AW43" s="118">
        <v>0</v>
      </c>
      <c r="AX43" s="118">
        <v>0</v>
      </c>
      <c r="AY43" s="118">
        <v>582619.32999999996</v>
      </c>
      <c r="AZ43" s="116">
        <v>24000</v>
      </c>
      <c r="BA43" s="119"/>
      <c r="BB43" s="5">
        <f t="shared" si="13"/>
        <v>3557949.73</v>
      </c>
    </row>
    <row r="44" spans="1:54" hidden="1">
      <c r="A44" s="104">
        <f t="shared" si="11"/>
        <v>27</v>
      </c>
      <c r="B44" s="101">
        <f t="shared" si="12"/>
        <v>27</v>
      </c>
      <c r="C44" s="101" t="s">
        <v>114</v>
      </c>
      <c r="D44" s="101" t="s">
        <v>156</v>
      </c>
      <c r="E44" s="102">
        <v>1990</v>
      </c>
      <c r="F44" s="102">
        <v>1990</v>
      </c>
      <c r="G44" s="102" t="s">
        <v>3</v>
      </c>
      <c r="H44" s="102">
        <v>5</v>
      </c>
      <c r="I44" s="102">
        <v>8</v>
      </c>
      <c r="J44" s="62">
        <v>7467.3</v>
      </c>
      <c r="K44" s="62">
        <v>6603.4</v>
      </c>
      <c r="L44" s="62">
        <v>0</v>
      </c>
      <c r="M44" s="103">
        <v>290</v>
      </c>
      <c r="N44" s="28">
        <f t="shared" si="7"/>
        <v>8504765.0199999996</v>
      </c>
      <c r="O44" s="105"/>
      <c r="P44" s="30"/>
      <c r="Q44" s="31"/>
      <c r="R44" s="31"/>
      <c r="S44" s="30"/>
      <c r="T44" s="31"/>
      <c r="U44" s="31"/>
      <c r="V44" s="30">
        <v>3767863.03</v>
      </c>
      <c r="W44" s="31"/>
      <c r="X44" s="31"/>
      <c r="Y44" s="30">
        <v>4736901.99</v>
      </c>
      <c r="Z44" s="31"/>
      <c r="AA44" s="31"/>
      <c r="AB44" s="62">
        <v>0</v>
      </c>
      <c r="AC44" s="106"/>
      <c r="AD44" s="106"/>
      <c r="AE44" s="30">
        <v>1369.2225439992501</v>
      </c>
      <c r="AF44" s="30">
        <v>1369.2225439992501</v>
      </c>
      <c r="AG44" s="33">
        <v>2022</v>
      </c>
      <c r="AH44" s="1">
        <v>3256134.06</v>
      </c>
      <c r="AI44" s="5">
        <f t="shared" ref="AI44:AI51" si="16">+(K44*10+L44*20)*12*0.85</f>
        <v>673546.79999999993</v>
      </c>
      <c r="AJ44" s="5">
        <f t="shared" ref="AJ44:AJ51" si="17">+(K44*10+L44*20)*12*30</f>
        <v>23772240</v>
      </c>
      <c r="AL44" s="37">
        <f t="shared" si="10"/>
        <v>0</v>
      </c>
      <c r="AM44" s="62">
        <v>3433452.29</v>
      </c>
      <c r="AN44" s="62">
        <v>2760585.92</v>
      </c>
      <c r="AO44" s="62">
        <v>0</v>
      </c>
      <c r="AP44" s="62">
        <v>2310726.81</v>
      </c>
      <c r="AQ44" s="62">
        <v>0</v>
      </c>
      <c r="AR44" s="62"/>
      <c r="AS44" s="62"/>
      <c r="AT44" s="62">
        <v>0</v>
      </c>
      <c r="AU44" s="62">
        <v>0</v>
      </c>
      <c r="AV44" s="62">
        <v>0</v>
      </c>
      <c r="AW44" s="62">
        <v>0</v>
      </c>
      <c r="AX44" s="62">
        <v>0</v>
      </c>
      <c r="AY44" s="62"/>
      <c r="AZ44" s="30"/>
      <c r="BA44" s="109">
        <v>0</v>
      </c>
      <c r="BB44" s="5">
        <f t="shared" si="13"/>
        <v>8504765.0199999996</v>
      </c>
    </row>
    <row r="45" spans="1:54" hidden="1">
      <c r="A45" s="104">
        <f t="shared" si="11"/>
        <v>28</v>
      </c>
      <c r="B45" s="101">
        <f t="shared" si="12"/>
        <v>28</v>
      </c>
      <c r="C45" s="101" t="s">
        <v>114</v>
      </c>
      <c r="D45" s="101" t="s">
        <v>158</v>
      </c>
      <c r="E45" s="102">
        <v>1986</v>
      </c>
      <c r="F45" s="102">
        <v>2013</v>
      </c>
      <c r="G45" s="102" t="s">
        <v>3</v>
      </c>
      <c r="H45" s="102">
        <v>5</v>
      </c>
      <c r="I45" s="102">
        <v>3</v>
      </c>
      <c r="J45" s="62">
        <v>4428.3999999999996</v>
      </c>
      <c r="K45" s="62">
        <v>3725.8</v>
      </c>
      <c r="L45" s="62">
        <v>0</v>
      </c>
      <c r="M45" s="103">
        <v>153</v>
      </c>
      <c r="N45" s="28">
        <f t="shared" si="7"/>
        <v>5115227.17</v>
      </c>
      <c r="O45" s="62"/>
      <c r="P45" s="30"/>
      <c r="Q45" s="31"/>
      <c r="R45" s="31"/>
      <c r="S45" s="30"/>
      <c r="T45" s="31"/>
      <c r="U45" s="31"/>
      <c r="V45" s="30">
        <v>2244260.13</v>
      </c>
      <c r="W45" s="31"/>
      <c r="X45" s="31"/>
      <c r="Y45" s="30">
        <v>2870967.04</v>
      </c>
      <c r="Z45" s="31"/>
      <c r="AA45" s="31"/>
      <c r="AB45" s="62">
        <v>0</v>
      </c>
      <c r="AC45" s="106"/>
      <c r="AD45" s="106"/>
      <c r="AE45" s="30">
        <v>1423.1670061272</v>
      </c>
      <c r="AF45" s="30">
        <v>1423.1670061272</v>
      </c>
      <c r="AG45" s="33">
        <v>2022</v>
      </c>
      <c r="AH45" s="1">
        <v>1864228.53</v>
      </c>
      <c r="AI45" s="5">
        <f t="shared" si="16"/>
        <v>380031.6</v>
      </c>
      <c r="AJ45" s="5">
        <f t="shared" si="17"/>
        <v>13412880</v>
      </c>
      <c r="AL45" s="37">
        <f t="shared" si="10"/>
        <v>0</v>
      </c>
      <c r="AM45" s="62"/>
      <c r="AN45" s="62">
        <v>0</v>
      </c>
      <c r="AO45" s="62">
        <v>0</v>
      </c>
      <c r="AP45" s="62"/>
      <c r="AQ45" s="62">
        <v>0</v>
      </c>
      <c r="AR45" s="62"/>
      <c r="AS45" s="62"/>
      <c r="AT45" s="62">
        <v>0</v>
      </c>
      <c r="AU45" s="62">
        <v>0</v>
      </c>
      <c r="AV45" s="62">
        <v>5115227.17</v>
      </c>
      <c r="AW45" s="62">
        <v>0</v>
      </c>
      <c r="AX45" s="62">
        <v>0</v>
      </c>
      <c r="AY45" s="62"/>
      <c r="AZ45" s="30"/>
      <c r="BA45" s="40"/>
      <c r="BB45" s="5">
        <f t="shared" si="13"/>
        <v>5115227.17</v>
      </c>
    </row>
    <row r="46" spans="1:54" hidden="1">
      <c r="A46" s="104">
        <f t="shared" si="11"/>
        <v>29</v>
      </c>
      <c r="B46" s="101">
        <f t="shared" si="12"/>
        <v>29</v>
      </c>
      <c r="C46" s="101" t="s">
        <v>114</v>
      </c>
      <c r="D46" s="101" t="s">
        <v>161</v>
      </c>
      <c r="E46" s="102">
        <v>1982</v>
      </c>
      <c r="F46" s="102">
        <v>2015</v>
      </c>
      <c r="G46" s="102" t="s">
        <v>3</v>
      </c>
      <c r="H46" s="102">
        <v>5</v>
      </c>
      <c r="I46" s="102">
        <v>2</v>
      </c>
      <c r="J46" s="62">
        <v>4442.3</v>
      </c>
      <c r="K46" s="62">
        <v>3156.5</v>
      </c>
      <c r="L46" s="62">
        <v>550.29999999999995</v>
      </c>
      <c r="M46" s="103">
        <v>201</v>
      </c>
      <c r="N46" s="28">
        <f t="shared" si="7"/>
        <v>4339069.3499999996</v>
      </c>
      <c r="O46" s="62"/>
      <c r="P46" s="30"/>
      <c r="Q46" s="31"/>
      <c r="R46" s="31"/>
      <c r="S46" s="30"/>
      <c r="T46" s="31"/>
      <c r="U46" s="31"/>
      <c r="V46" s="30">
        <v>2476157.23</v>
      </c>
      <c r="W46" s="31"/>
      <c r="X46" s="31"/>
      <c r="Y46" s="30">
        <v>1862912.12</v>
      </c>
      <c r="Z46" s="31"/>
      <c r="AA46" s="31"/>
      <c r="AB46" s="62">
        <v>0</v>
      </c>
      <c r="AC46" s="106"/>
      <c r="AD46" s="106"/>
      <c r="AE46" s="30">
        <v>1207.37401156335</v>
      </c>
      <c r="AF46" s="30">
        <v>1207.37401156335</v>
      </c>
      <c r="AG46" s="33">
        <v>2022</v>
      </c>
      <c r="AH46" s="1">
        <v>2041933.03</v>
      </c>
      <c r="AI46" s="5">
        <f t="shared" si="16"/>
        <v>434224.2</v>
      </c>
      <c r="AJ46" s="5">
        <f t="shared" si="17"/>
        <v>15325560</v>
      </c>
      <c r="AL46" s="37">
        <f t="shared" si="10"/>
        <v>0</v>
      </c>
      <c r="AM46" s="62">
        <v>0</v>
      </c>
      <c r="AN46" s="62">
        <v>0</v>
      </c>
      <c r="AO46" s="62">
        <v>0</v>
      </c>
      <c r="AP46" s="62">
        <v>0</v>
      </c>
      <c r="AQ46" s="62">
        <v>0</v>
      </c>
      <c r="AR46" s="62"/>
      <c r="AS46" s="62"/>
      <c r="AT46" s="62">
        <v>0</v>
      </c>
      <c r="AU46" s="62">
        <v>0</v>
      </c>
      <c r="AV46" s="62">
        <v>4339069.3499999996</v>
      </c>
      <c r="AW46" s="62">
        <v>0</v>
      </c>
      <c r="AX46" s="62">
        <v>0</v>
      </c>
      <c r="AY46" s="62"/>
      <c r="AZ46" s="30"/>
      <c r="BA46" s="40"/>
      <c r="BB46" s="5">
        <f t="shared" si="13"/>
        <v>4339069.3499999996</v>
      </c>
    </row>
    <row r="47" spans="1:54" hidden="1">
      <c r="A47" s="104">
        <f t="shared" si="11"/>
        <v>30</v>
      </c>
      <c r="B47" s="101">
        <f t="shared" si="12"/>
        <v>30</v>
      </c>
      <c r="C47" s="101" t="s">
        <v>114</v>
      </c>
      <c r="D47" s="101" t="s">
        <v>164</v>
      </c>
      <c r="E47" s="102">
        <v>1982</v>
      </c>
      <c r="F47" s="102">
        <v>2015</v>
      </c>
      <c r="G47" s="102" t="s">
        <v>3</v>
      </c>
      <c r="H47" s="102">
        <v>5</v>
      </c>
      <c r="I47" s="102">
        <v>2</v>
      </c>
      <c r="J47" s="62">
        <v>4452.8</v>
      </c>
      <c r="K47" s="62">
        <v>3512.5</v>
      </c>
      <c r="L47" s="62">
        <v>318.8</v>
      </c>
      <c r="M47" s="103">
        <v>217</v>
      </c>
      <c r="N47" s="28">
        <f t="shared" si="7"/>
        <v>3882256.2399999998</v>
      </c>
      <c r="O47" s="62"/>
      <c r="P47" s="30"/>
      <c r="Q47" s="31"/>
      <c r="R47" s="31"/>
      <c r="S47" s="30"/>
      <c r="T47" s="31"/>
      <c r="U47" s="31"/>
      <c r="V47" s="30">
        <v>1643740.64</v>
      </c>
      <c r="W47" s="31"/>
      <c r="X47" s="31"/>
      <c r="Y47" s="30">
        <v>1314001.95</v>
      </c>
      <c r="Z47" s="31"/>
      <c r="AA47" s="31"/>
      <c r="AB47" s="62">
        <v>924513.65</v>
      </c>
      <c r="AC47" s="106"/>
      <c r="AD47" s="106"/>
      <c r="AE47" s="30">
        <v>1048.4265133855299</v>
      </c>
      <c r="AF47" s="30">
        <v>1048.4265133855299</v>
      </c>
      <c r="AG47" s="33">
        <v>2022</v>
      </c>
      <c r="AH47" s="1">
        <v>1702606.52</v>
      </c>
      <c r="AI47" s="5">
        <f t="shared" si="16"/>
        <v>423310.2</v>
      </c>
      <c r="AJ47" s="5">
        <f t="shared" si="17"/>
        <v>14940360</v>
      </c>
      <c r="AL47" s="37">
        <f t="shared" si="10"/>
        <v>0</v>
      </c>
      <c r="AM47" s="62">
        <v>0</v>
      </c>
      <c r="AN47" s="62">
        <v>0</v>
      </c>
      <c r="AO47" s="62">
        <v>0</v>
      </c>
      <c r="AP47" s="62">
        <v>0</v>
      </c>
      <c r="AQ47" s="62">
        <v>0</v>
      </c>
      <c r="AR47" s="62"/>
      <c r="AS47" s="62"/>
      <c r="AT47" s="62">
        <v>0</v>
      </c>
      <c r="AU47" s="62">
        <v>0</v>
      </c>
      <c r="AV47" s="62">
        <v>3882256.24</v>
      </c>
      <c r="AW47" s="62">
        <v>0</v>
      </c>
      <c r="AX47" s="62">
        <v>0</v>
      </c>
      <c r="AY47" s="62"/>
      <c r="AZ47" s="30"/>
      <c r="BA47" s="40"/>
      <c r="BB47" s="5">
        <f t="shared" si="13"/>
        <v>3882256.2399999998</v>
      </c>
    </row>
    <row r="48" spans="1:54" hidden="1">
      <c r="A48" s="104">
        <f t="shared" si="11"/>
        <v>31</v>
      </c>
      <c r="B48" s="101">
        <f t="shared" si="12"/>
        <v>31</v>
      </c>
      <c r="C48" s="101" t="s">
        <v>114</v>
      </c>
      <c r="D48" s="101" t="s">
        <v>165</v>
      </c>
      <c r="E48" s="102">
        <v>1982</v>
      </c>
      <c r="F48" s="102">
        <v>2015</v>
      </c>
      <c r="G48" s="102" t="s">
        <v>3</v>
      </c>
      <c r="H48" s="102">
        <v>5</v>
      </c>
      <c r="I48" s="102">
        <v>2</v>
      </c>
      <c r="J48" s="62">
        <v>4432.8999999999996</v>
      </c>
      <c r="K48" s="62">
        <v>3547.5</v>
      </c>
      <c r="L48" s="62">
        <v>134.80000000000001</v>
      </c>
      <c r="M48" s="103">
        <v>210</v>
      </c>
      <c r="N48" s="28">
        <f t="shared" si="7"/>
        <v>3994725.91</v>
      </c>
      <c r="O48" s="62"/>
      <c r="P48" s="30"/>
      <c r="Q48" s="31"/>
      <c r="R48" s="31"/>
      <c r="S48" s="30"/>
      <c r="T48" s="31"/>
      <c r="U48" s="31"/>
      <c r="V48" s="30">
        <v>1735919.07</v>
      </c>
      <c r="W48" s="31"/>
      <c r="X48" s="31"/>
      <c r="Y48" s="30">
        <v>1334293.18</v>
      </c>
      <c r="Z48" s="31"/>
      <c r="AA48" s="31"/>
      <c r="AB48" s="62">
        <v>924513.66</v>
      </c>
      <c r="AC48" s="106"/>
      <c r="AD48" s="106"/>
      <c r="AE48" s="30">
        <v>1121.38817858927</v>
      </c>
      <c r="AF48" s="30">
        <v>1121.38817858927</v>
      </c>
      <c r="AG48" s="33">
        <v>2022</v>
      </c>
      <c r="AH48" s="1">
        <v>1792243.71</v>
      </c>
      <c r="AI48" s="5">
        <f t="shared" si="16"/>
        <v>389344.2</v>
      </c>
      <c r="AJ48" s="5">
        <f t="shared" si="17"/>
        <v>13741560</v>
      </c>
      <c r="AL48" s="37">
        <f t="shared" si="10"/>
        <v>0</v>
      </c>
      <c r="AM48" s="62">
        <v>0</v>
      </c>
      <c r="AN48" s="62">
        <v>0</v>
      </c>
      <c r="AO48" s="62">
        <v>0</v>
      </c>
      <c r="AP48" s="62">
        <v>0</v>
      </c>
      <c r="AQ48" s="62">
        <v>0</v>
      </c>
      <c r="AR48" s="62"/>
      <c r="AS48" s="62"/>
      <c r="AT48" s="62">
        <v>0</v>
      </c>
      <c r="AU48" s="62">
        <v>0</v>
      </c>
      <c r="AV48" s="62">
        <v>3994725.91</v>
      </c>
      <c r="AW48" s="62">
        <v>0</v>
      </c>
      <c r="AX48" s="62">
        <v>0</v>
      </c>
      <c r="AY48" s="62"/>
      <c r="AZ48" s="30"/>
      <c r="BA48" s="40"/>
      <c r="BB48" s="5">
        <f t="shared" si="13"/>
        <v>3994725.91</v>
      </c>
    </row>
    <row r="49" spans="1:54" hidden="1">
      <c r="A49" s="104">
        <f t="shared" si="11"/>
        <v>32</v>
      </c>
      <c r="B49" s="101">
        <f t="shared" si="12"/>
        <v>32</v>
      </c>
      <c r="C49" s="101" t="s">
        <v>114</v>
      </c>
      <c r="D49" s="101" t="s">
        <v>167</v>
      </c>
      <c r="E49" s="102" t="s">
        <v>168</v>
      </c>
      <c r="F49" s="102"/>
      <c r="G49" s="102" t="s">
        <v>3</v>
      </c>
      <c r="H49" s="102" t="s">
        <v>169</v>
      </c>
      <c r="I49" s="102" t="s">
        <v>27</v>
      </c>
      <c r="J49" s="62">
        <v>4415.8999999999996</v>
      </c>
      <c r="K49" s="62">
        <v>2900.4</v>
      </c>
      <c r="L49" s="62">
        <v>868.6</v>
      </c>
      <c r="M49" s="103">
        <v>169</v>
      </c>
      <c r="N49" s="28">
        <f t="shared" si="7"/>
        <v>3410025.96</v>
      </c>
      <c r="O49" s="105">
        <v>0</v>
      </c>
      <c r="P49" s="30">
        <v>0</v>
      </c>
      <c r="Q49" s="31"/>
      <c r="R49" s="31"/>
      <c r="S49" s="30">
        <v>0</v>
      </c>
      <c r="T49" s="31"/>
      <c r="U49" s="31"/>
      <c r="V49" s="30">
        <v>3410025.96</v>
      </c>
      <c r="W49" s="31"/>
      <c r="X49" s="31"/>
      <c r="Y49" s="30"/>
      <c r="Z49" s="31"/>
      <c r="AA49" s="31"/>
      <c r="AB49" s="30">
        <v>0</v>
      </c>
      <c r="AC49" s="32"/>
      <c r="AD49" s="32"/>
      <c r="AE49" s="62">
        <v>941.86959132811899</v>
      </c>
      <c r="AF49" s="62">
        <v>941.86959132811899</v>
      </c>
      <c r="AG49" s="33">
        <v>2022</v>
      </c>
      <c r="AH49" s="1">
        <v>3734892.48</v>
      </c>
      <c r="AI49" s="5">
        <f t="shared" si="16"/>
        <v>473035.2</v>
      </c>
      <c r="AJ49" s="5">
        <f t="shared" si="17"/>
        <v>16695360</v>
      </c>
      <c r="AL49" s="37">
        <f t="shared" si="10"/>
        <v>0</v>
      </c>
      <c r="AM49" s="62">
        <v>0</v>
      </c>
      <c r="AN49" s="62">
        <v>0</v>
      </c>
      <c r="AO49" s="62">
        <v>0</v>
      </c>
      <c r="AP49" s="62">
        <v>0</v>
      </c>
      <c r="AQ49" s="62">
        <v>0</v>
      </c>
      <c r="AR49" s="62"/>
      <c r="AS49" s="62"/>
      <c r="AT49" s="62">
        <v>0</v>
      </c>
      <c r="AU49" s="62">
        <v>0</v>
      </c>
      <c r="AV49" s="62">
        <v>3410025.96</v>
      </c>
      <c r="AW49" s="62">
        <v>0</v>
      </c>
      <c r="AX49" s="62">
        <v>0</v>
      </c>
      <c r="AY49" s="62"/>
      <c r="AZ49" s="30"/>
      <c r="BA49" s="40"/>
      <c r="BB49" s="5">
        <f t="shared" si="13"/>
        <v>3410025.96</v>
      </c>
    </row>
    <row r="50" spans="1:54" hidden="1">
      <c r="A50" s="104">
        <f t="shared" si="11"/>
        <v>33</v>
      </c>
      <c r="B50" s="101">
        <f t="shared" si="12"/>
        <v>33</v>
      </c>
      <c r="C50" s="101" t="s">
        <v>114</v>
      </c>
      <c r="D50" s="101" t="s">
        <v>170</v>
      </c>
      <c r="E50" s="102">
        <v>1983</v>
      </c>
      <c r="F50" s="102">
        <v>2008</v>
      </c>
      <c r="G50" s="102" t="s">
        <v>3</v>
      </c>
      <c r="H50" s="102">
        <v>5</v>
      </c>
      <c r="I50" s="102">
        <v>3</v>
      </c>
      <c r="J50" s="62">
        <v>5132.1000000000004</v>
      </c>
      <c r="K50" s="62">
        <v>4364.6000000000004</v>
      </c>
      <c r="L50" s="62">
        <v>0</v>
      </c>
      <c r="M50" s="103">
        <v>197</v>
      </c>
      <c r="N50" s="28">
        <f t="shared" si="7"/>
        <v>11789941.390000001</v>
      </c>
      <c r="O50" s="62"/>
      <c r="P50" s="30">
        <v>1178824.69</v>
      </c>
      <c r="Q50" s="31"/>
      <c r="R50" s="31"/>
      <c r="S50" s="30"/>
      <c r="T50" s="31"/>
      <c r="U50" s="31"/>
      <c r="V50" s="30">
        <v>2481839.0699999998</v>
      </c>
      <c r="W50" s="31"/>
      <c r="X50" s="31"/>
      <c r="Y50" s="30">
        <v>8129277.6299999999</v>
      </c>
      <c r="Z50" s="31"/>
      <c r="AA50" s="31"/>
      <c r="AB50" s="62">
        <v>0</v>
      </c>
      <c r="AC50" s="106"/>
      <c r="AD50" s="106"/>
      <c r="AE50" s="30">
        <v>2823.48332764835</v>
      </c>
      <c r="AF50" s="30">
        <v>2823.48332764835</v>
      </c>
      <c r="AG50" s="33">
        <v>2022</v>
      </c>
      <c r="AH50" s="1">
        <v>2036649.87</v>
      </c>
      <c r="AI50" s="5">
        <f t="shared" si="16"/>
        <v>445189.2</v>
      </c>
      <c r="AJ50" s="5">
        <f t="shared" si="17"/>
        <v>15712560</v>
      </c>
      <c r="AL50" s="37">
        <f t="shared" ref="AL50:AL81" si="18">SUBTOTAL(9, AM50:BA50)</f>
        <v>0</v>
      </c>
      <c r="AM50" s="62">
        <v>5460916.2000000002</v>
      </c>
      <c r="AN50" s="62"/>
      <c r="AO50" s="62"/>
      <c r="AP50" s="62">
        <v>2605145.33</v>
      </c>
      <c r="AQ50" s="62">
        <v>0</v>
      </c>
      <c r="AR50" s="62"/>
      <c r="AS50" s="62"/>
      <c r="AT50" s="62">
        <v>0</v>
      </c>
      <c r="AU50" s="62">
        <v>3676226.7</v>
      </c>
      <c r="AV50" s="62">
        <v>0</v>
      </c>
      <c r="AW50" s="62">
        <v>0</v>
      </c>
      <c r="AX50" s="62">
        <v>0</v>
      </c>
      <c r="AY50" s="62"/>
      <c r="AZ50" s="30"/>
      <c r="BA50" s="109">
        <f>47653.16</f>
        <v>47653.16</v>
      </c>
      <c r="BB50" s="5">
        <f t="shared" si="13"/>
        <v>11789941.390000001</v>
      </c>
    </row>
    <row r="51" spans="1:54" hidden="1">
      <c r="A51" s="104">
        <f t="shared" ref="A51:A82" si="19">+A50+1</f>
        <v>34</v>
      </c>
      <c r="B51" s="101">
        <f t="shared" ref="B51:B82" si="20">+B50+1</f>
        <v>34</v>
      </c>
      <c r="C51" s="101" t="s">
        <v>114</v>
      </c>
      <c r="D51" s="101" t="s">
        <v>176</v>
      </c>
      <c r="E51" s="102">
        <v>1992</v>
      </c>
      <c r="F51" s="102">
        <v>2001</v>
      </c>
      <c r="G51" s="102" t="s">
        <v>3</v>
      </c>
      <c r="H51" s="102">
        <v>3</v>
      </c>
      <c r="I51" s="102">
        <v>5</v>
      </c>
      <c r="J51" s="62">
        <v>2965.1</v>
      </c>
      <c r="K51" s="62">
        <v>2484</v>
      </c>
      <c r="L51" s="62">
        <v>87.5</v>
      </c>
      <c r="M51" s="103">
        <v>91</v>
      </c>
      <c r="N51" s="28">
        <f t="shared" si="7"/>
        <v>24993173.34</v>
      </c>
      <c r="O51" s="62"/>
      <c r="P51" s="30">
        <v>17333675.789999999</v>
      </c>
      <c r="Q51" s="31"/>
      <c r="R51" s="31"/>
      <c r="S51" s="30"/>
      <c r="T51" s="31"/>
      <c r="U51" s="31"/>
      <c r="V51" s="30">
        <v>1187004.6393740801</v>
      </c>
      <c r="W51" s="31"/>
      <c r="X51" s="31"/>
      <c r="Y51" s="30">
        <v>6472492.9106259197</v>
      </c>
      <c r="Z51" s="31"/>
      <c r="AA51" s="31"/>
      <c r="AB51" s="62">
        <v>0</v>
      </c>
      <c r="AC51" s="106"/>
      <c r="AD51" s="106"/>
      <c r="AE51" s="30">
        <v>10133.0502000288</v>
      </c>
      <c r="AF51" s="30">
        <v>10133.0502000288</v>
      </c>
      <c r="AG51" s="33">
        <v>2022</v>
      </c>
      <c r="AH51" s="1">
        <v>1173019.05</v>
      </c>
      <c r="AI51" s="5">
        <f t="shared" si="16"/>
        <v>271218</v>
      </c>
      <c r="AJ51" s="5">
        <f t="shared" si="17"/>
        <v>9572400</v>
      </c>
      <c r="AL51" s="37">
        <f t="shared" si="18"/>
        <v>0</v>
      </c>
      <c r="AM51" s="62">
        <v>0</v>
      </c>
      <c r="AN51" s="62">
        <v>0</v>
      </c>
      <c r="AO51" s="62">
        <v>0</v>
      </c>
      <c r="AP51" s="62">
        <v>0</v>
      </c>
      <c r="AQ51" s="62">
        <v>0</v>
      </c>
      <c r="AR51" s="62"/>
      <c r="AS51" s="62"/>
      <c r="AT51" s="62">
        <v>0</v>
      </c>
      <c r="AU51" s="62"/>
      <c r="AV51" s="62">
        <v>0</v>
      </c>
      <c r="AW51" s="62">
        <v>24993173.34</v>
      </c>
      <c r="AX51" s="62">
        <v>0</v>
      </c>
      <c r="AY51" s="62"/>
      <c r="AZ51" s="30"/>
      <c r="BA51" s="40"/>
      <c r="BB51" s="5">
        <f t="shared" si="13"/>
        <v>24993173.34</v>
      </c>
    </row>
    <row r="52" spans="1:54" hidden="1">
      <c r="A52" s="104">
        <f t="shared" si="19"/>
        <v>35</v>
      </c>
      <c r="B52" s="101">
        <f t="shared" si="20"/>
        <v>35</v>
      </c>
      <c r="C52" s="101" t="s">
        <v>114</v>
      </c>
      <c r="D52" s="101" t="s">
        <v>178</v>
      </c>
      <c r="E52" s="102">
        <v>1987</v>
      </c>
      <c r="F52" s="102">
        <v>2017</v>
      </c>
      <c r="G52" s="102" t="s">
        <v>3</v>
      </c>
      <c r="H52" s="102">
        <v>9</v>
      </c>
      <c r="I52" s="102">
        <v>1</v>
      </c>
      <c r="J52" s="62">
        <v>2767.8</v>
      </c>
      <c r="K52" s="62">
        <v>2150.8000000000002</v>
      </c>
      <c r="L52" s="62">
        <v>66.8</v>
      </c>
      <c r="M52" s="103">
        <v>94</v>
      </c>
      <c r="N52" s="28">
        <f t="shared" si="7"/>
        <v>2149155.58</v>
      </c>
      <c r="O52" s="62"/>
      <c r="P52" s="30"/>
      <c r="Q52" s="31"/>
      <c r="R52" s="31"/>
      <c r="S52" s="30"/>
      <c r="T52" s="31"/>
      <c r="U52" s="31"/>
      <c r="V52" s="30">
        <v>472007.06</v>
      </c>
      <c r="W52" s="31"/>
      <c r="X52" s="31"/>
      <c r="Y52" s="30">
        <v>1677148.52</v>
      </c>
      <c r="Z52" s="31"/>
      <c r="AA52" s="31"/>
      <c r="AB52" s="30"/>
      <c r="AC52" s="32"/>
      <c r="AD52" s="32"/>
      <c r="AE52" s="62">
        <v>1050.86405986723</v>
      </c>
      <c r="AF52" s="62">
        <v>1050.86405986723</v>
      </c>
      <c r="AG52" s="33">
        <v>2022</v>
      </c>
      <c r="AH52" s="1">
        <v>1394329.46</v>
      </c>
      <c r="AI52" s="5">
        <f>+(K52*13.29+L52*22.52)*12*0.85</f>
        <v>306902.37360000005</v>
      </c>
      <c r="AJ52" s="5">
        <f>+(K52*13.29+L52*22.52)*12*30</f>
        <v>10831848.48</v>
      </c>
      <c r="AL52" s="37">
        <f t="shared" si="18"/>
        <v>0</v>
      </c>
      <c r="AM52" s="62"/>
      <c r="AN52" s="62">
        <v>2149155.58</v>
      </c>
      <c r="AO52" s="62">
        <v>0</v>
      </c>
      <c r="AP52" s="62">
        <v>0</v>
      </c>
      <c r="AQ52" s="62">
        <v>0</v>
      </c>
      <c r="AR52" s="62"/>
      <c r="AS52" s="62"/>
      <c r="AT52" s="62"/>
      <c r="AU52" s="62"/>
      <c r="AV52" s="62"/>
      <c r="AW52" s="62"/>
      <c r="AX52" s="62">
        <v>0</v>
      </c>
      <c r="AY52" s="62"/>
      <c r="AZ52" s="30"/>
      <c r="BA52" s="40"/>
      <c r="BB52" s="5">
        <f t="shared" si="13"/>
        <v>2149155.58</v>
      </c>
    </row>
    <row r="53" spans="1:54" hidden="1">
      <c r="A53" s="104">
        <f t="shared" si="19"/>
        <v>36</v>
      </c>
      <c r="B53" s="101">
        <f t="shared" si="20"/>
        <v>36</v>
      </c>
      <c r="C53" s="101" t="s">
        <v>114</v>
      </c>
      <c r="D53" s="101" t="s">
        <v>180</v>
      </c>
      <c r="E53" s="102">
        <v>1992</v>
      </c>
      <c r="F53" s="102">
        <v>2009</v>
      </c>
      <c r="G53" s="102" t="s">
        <v>3</v>
      </c>
      <c r="H53" s="102">
        <v>9</v>
      </c>
      <c r="I53" s="102">
        <v>1</v>
      </c>
      <c r="J53" s="62">
        <v>3320.9</v>
      </c>
      <c r="K53" s="62">
        <v>2870.8</v>
      </c>
      <c r="L53" s="62">
        <v>0</v>
      </c>
      <c r="M53" s="103">
        <v>115</v>
      </c>
      <c r="N53" s="28">
        <f t="shared" si="7"/>
        <v>1847088.8</v>
      </c>
      <c r="O53" s="62"/>
      <c r="P53" s="30"/>
      <c r="Q53" s="31"/>
      <c r="R53" s="31"/>
      <c r="S53" s="30"/>
      <c r="T53" s="31"/>
      <c r="U53" s="31"/>
      <c r="V53" s="30">
        <v>1847088.8</v>
      </c>
      <c r="W53" s="31"/>
      <c r="X53" s="31"/>
      <c r="Y53" s="30"/>
      <c r="Z53" s="31"/>
      <c r="AA53" s="31"/>
      <c r="AB53" s="62">
        <v>0</v>
      </c>
      <c r="AC53" s="106"/>
      <c r="AD53" s="106"/>
      <c r="AE53" s="30">
        <v>657.72106300005805</v>
      </c>
      <c r="AF53" s="30">
        <v>657.72106300005805</v>
      </c>
      <c r="AG53" s="33">
        <v>2022</v>
      </c>
      <c r="AH53" s="1">
        <v>1773302.69</v>
      </c>
      <c r="AI53" s="5">
        <f>+(K53*13.29+L53*22.52)*12*0.85</f>
        <v>389159.90639999998</v>
      </c>
      <c r="AJ53" s="5">
        <f>+(K53*13.29+L53*22.52)*12*30</f>
        <v>13735055.52</v>
      </c>
      <c r="AL53" s="37">
        <f t="shared" si="18"/>
        <v>0</v>
      </c>
      <c r="AM53" s="62">
        <v>0</v>
      </c>
      <c r="AN53" s="62">
        <v>0</v>
      </c>
      <c r="AO53" s="62">
        <v>0</v>
      </c>
      <c r="AP53" s="62">
        <v>0</v>
      </c>
      <c r="AQ53" s="62">
        <v>0</v>
      </c>
      <c r="AR53" s="62"/>
      <c r="AS53" s="62"/>
      <c r="AT53" s="62">
        <v>0</v>
      </c>
      <c r="AU53" s="62">
        <v>1822287.29</v>
      </c>
      <c r="AV53" s="62">
        <v>0</v>
      </c>
      <c r="AW53" s="62">
        <v>0</v>
      </c>
      <c r="AX53" s="62">
        <v>0</v>
      </c>
      <c r="AY53" s="62"/>
      <c r="AZ53" s="30"/>
      <c r="BA53" s="109">
        <f>24801.51</f>
        <v>24801.51</v>
      </c>
      <c r="BB53" s="5">
        <f t="shared" si="13"/>
        <v>1847088.8</v>
      </c>
    </row>
    <row r="54" spans="1:54" hidden="1">
      <c r="A54" s="104">
        <f t="shared" si="19"/>
        <v>37</v>
      </c>
      <c r="B54" s="101">
        <f t="shared" si="20"/>
        <v>37</v>
      </c>
      <c r="C54" s="101" t="s">
        <v>120</v>
      </c>
      <c r="D54" s="101" t="s">
        <v>184</v>
      </c>
      <c r="E54" s="102">
        <v>1995</v>
      </c>
      <c r="F54" s="102">
        <v>2007</v>
      </c>
      <c r="G54" s="102" t="s">
        <v>3</v>
      </c>
      <c r="H54" s="102">
        <v>9</v>
      </c>
      <c r="I54" s="102">
        <v>3</v>
      </c>
      <c r="J54" s="62">
        <v>8715.5</v>
      </c>
      <c r="K54" s="62">
        <v>7251.1</v>
      </c>
      <c r="L54" s="62">
        <v>660.9</v>
      </c>
      <c r="M54" s="103">
        <v>283</v>
      </c>
      <c r="N54" s="28">
        <f t="shared" si="7"/>
        <v>21685771.739999998</v>
      </c>
      <c r="O54" s="62"/>
      <c r="P54" s="30">
        <v>20694835.300000001</v>
      </c>
      <c r="Q54" s="31"/>
      <c r="R54" s="31"/>
      <c r="S54" s="116"/>
      <c r="T54" s="117"/>
      <c r="U54" s="117"/>
      <c r="V54" s="116">
        <v>990936.43999999703</v>
      </c>
      <c r="W54" s="117"/>
      <c r="X54" s="117"/>
      <c r="Y54" s="30"/>
      <c r="Z54" s="31"/>
      <c r="AA54" s="31"/>
      <c r="AB54" s="62"/>
      <c r="AC54" s="106"/>
      <c r="AD54" s="106"/>
      <c r="AE54" s="30">
        <v>2790.00168983822</v>
      </c>
      <c r="AF54" s="30">
        <v>2790.00168983822</v>
      </c>
      <c r="AG54" s="33">
        <v>2022</v>
      </c>
      <c r="AI54" s="5">
        <f>+(K54*13.29+L54*22.52)*12*0.85</f>
        <v>1134755.9873999998</v>
      </c>
      <c r="AL54" s="37">
        <f t="shared" si="18"/>
        <v>0</v>
      </c>
      <c r="AM54" s="62"/>
      <c r="AN54" s="118">
        <v>6965734.7999999998</v>
      </c>
      <c r="AO54" s="118">
        <v>2892341.42</v>
      </c>
      <c r="AP54" s="118">
        <v>3341459.79</v>
      </c>
      <c r="AQ54" s="118">
        <v>0</v>
      </c>
      <c r="AR54" s="118"/>
      <c r="AS54" s="118"/>
      <c r="AT54" s="118">
        <v>0</v>
      </c>
      <c r="AU54" s="118">
        <v>7743707.0499999998</v>
      </c>
      <c r="AV54" s="118">
        <v>0</v>
      </c>
      <c r="AW54" s="118">
        <v>0</v>
      </c>
      <c r="AX54" s="118">
        <v>0</v>
      </c>
      <c r="AY54" s="118">
        <v>732528.68</v>
      </c>
      <c r="AZ54" s="116">
        <v>10000</v>
      </c>
      <c r="BA54" s="119"/>
      <c r="BB54" s="5">
        <f t="shared" si="13"/>
        <v>21685771.739999998</v>
      </c>
    </row>
    <row r="55" spans="1:54" hidden="1">
      <c r="A55" s="104">
        <f t="shared" si="19"/>
        <v>38</v>
      </c>
      <c r="B55" s="101">
        <f t="shared" si="20"/>
        <v>38</v>
      </c>
      <c r="C55" s="101" t="s">
        <v>185</v>
      </c>
      <c r="D55" s="101" t="s">
        <v>186</v>
      </c>
      <c r="E55" s="102">
        <v>1995</v>
      </c>
      <c r="F55" s="102">
        <v>1995</v>
      </c>
      <c r="G55" s="102" t="s">
        <v>3</v>
      </c>
      <c r="H55" s="102">
        <v>2</v>
      </c>
      <c r="I55" s="102">
        <v>2</v>
      </c>
      <c r="J55" s="62">
        <v>1067.3</v>
      </c>
      <c r="K55" s="62">
        <v>984.4</v>
      </c>
      <c r="L55" s="62">
        <v>0</v>
      </c>
      <c r="M55" s="103">
        <v>43</v>
      </c>
      <c r="N55" s="28">
        <f t="shared" si="7"/>
        <v>12553815.559</v>
      </c>
      <c r="O55" s="62"/>
      <c r="P55" s="30">
        <v>0</v>
      </c>
      <c r="Q55" s="31"/>
      <c r="R55" s="31"/>
      <c r="S55" s="30"/>
      <c r="T55" s="31"/>
      <c r="U55" s="31"/>
      <c r="V55" s="30">
        <v>543386.6</v>
      </c>
      <c r="W55" s="31"/>
      <c r="X55" s="31"/>
      <c r="Y55" s="30">
        <v>3543840</v>
      </c>
      <c r="Z55" s="31"/>
      <c r="AA55" s="31"/>
      <c r="AB55" s="62">
        <v>8466588.9590000007</v>
      </c>
      <c r="AC55" s="106"/>
      <c r="AD55" s="106"/>
      <c r="AE55" s="30">
        <v>12940.094981685699</v>
      </c>
      <c r="AF55" s="30">
        <v>12940.094981685699</v>
      </c>
      <c r="AG55" s="33">
        <v>2022</v>
      </c>
      <c r="AH55" s="1">
        <v>442977.8</v>
      </c>
      <c r="AI55" s="5">
        <f t="shared" ref="AI55:AI66" si="21">+(K55*10+L55*20)*12*0.85</f>
        <v>100408.8</v>
      </c>
      <c r="AJ55" s="5">
        <f t="shared" ref="AJ55:AJ62" si="22">+(K55*10+L55*20)*12*30</f>
        <v>3543840</v>
      </c>
      <c r="AL55" s="37">
        <f t="shared" si="18"/>
        <v>0</v>
      </c>
      <c r="AM55" s="62">
        <v>1983392.29</v>
      </c>
      <c r="AN55" s="62">
        <v>0</v>
      </c>
      <c r="AO55" s="62">
        <v>764851.03</v>
      </c>
      <c r="AP55" s="62">
        <v>859745.54</v>
      </c>
      <c r="AQ55" s="62">
        <v>0</v>
      </c>
      <c r="AR55" s="62"/>
      <c r="AS55" s="62"/>
      <c r="AT55" s="62">
        <v>0</v>
      </c>
      <c r="AU55" s="62">
        <v>4729777.2699999996</v>
      </c>
      <c r="AV55" s="62">
        <v>0</v>
      </c>
      <c r="AW55" s="62">
        <v>3962700.17</v>
      </c>
      <c r="AX55" s="62"/>
      <c r="AY55" s="62">
        <v>118987.5845</v>
      </c>
      <c r="AZ55" s="30">
        <v>24854.014500000001</v>
      </c>
      <c r="BA55" s="109">
        <f>20818.12+6585.02+11518.46+32453.28+38132.78</f>
        <v>109507.66</v>
      </c>
      <c r="BB55" s="5">
        <f t="shared" si="13"/>
        <v>12553815.559</v>
      </c>
    </row>
    <row r="56" spans="1:54" hidden="1">
      <c r="A56" s="104">
        <f t="shared" si="19"/>
        <v>39</v>
      </c>
      <c r="B56" s="101">
        <f t="shared" si="20"/>
        <v>39</v>
      </c>
      <c r="C56" s="101" t="s">
        <v>185</v>
      </c>
      <c r="D56" s="101" t="s">
        <v>189</v>
      </c>
      <c r="E56" s="102">
        <v>1999</v>
      </c>
      <c r="F56" s="102">
        <v>2011</v>
      </c>
      <c r="G56" s="102" t="s">
        <v>3</v>
      </c>
      <c r="H56" s="102">
        <v>4</v>
      </c>
      <c r="I56" s="102">
        <v>3</v>
      </c>
      <c r="J56" s="62">
        <v>1789.4</v>
      </c>
      <c r="K56" s="62">
        <v>1789.4</v>
      </c>
      <c r="L56" s="62">
        <v>0</v>
      </c>
      <c r="M56" s="103">
        <v>56</v>
      </c>
      <c r="N56" s="28">
        <f t="shared" si="7"/>
        <v>9735761.0799999982</v>
      </c>
      <c r="O56" s="62"/>
      <c r="P56" s="30">
        <v>1115147.8799999999</v>
      </c>
      <c r="Q56" s="31"/>
      <c r="R56" s="31"/>
      <c r="S56" s="30"/>
      <c r="T56" s="31"/>
      <c r="U56" s="31"/>
      <c r="V56" s="30">
        <v>889415</v>
      </c>
      <c r="W56" s="31"/>
      <c r="X56" s="31"/>
      <c r="Y56" s="30">
        <v>6441840</v>
      </c>
      <c r="Z56" s="31"/>
      <c r="AA56" s="31"/>
      <c r="AB56" s="62">
        <v>1289358.2</v>
      </c>
      <c r="AC56" s="106"/>
      <c r="AD56" s="106"/>
      <c r="AE56" s="30">
        <v>5606.1717702201804</v>
      </c>
      <c r="AF56" s="30">
        <v>5606.1717702201804</v>
      </c>
      <c r="AG56" s="33">
        <v>2022</v>
      </c>
      <c r="AH56" s="1">
        <v>725047.53</v>
      </c>
      <c r="AI56" s="5">
        <f t="shared" si="21"/>
        <v>182518.8</v>
      </c>
      <c r="AJ56" s="5">
        <f t="shared" si="22"/>
        <v>6441840</v>
      </c>
      <c r="AL56" s="37">
        <f t="shared" si="18"/>
        <v>0</v>
      </c>
      <c r="AM56" s="62">
        <v>3525522.9</v>
      </c>
      <c r="AN56" s="62">
        <v>0</v>
      </c>
      <c r="AO56" s="62">
        <v>1377151.25</v>
      </c>
      <c r="AP56" s="62"/>
      <c r="AQ56" s="62">
        <v>0</v>
      </c>
      <c r="AR56" s="62"/>
      <c r="AS56" s="62"/>
      <c r="AT56" s="62">
        <v>0</v>
      </c>
      <c r="AU56" s="62">
        <v>4462778.8899999997</v>
      </c>
      <c r="AV56" s="62">
        <v>0</v>
      </c>
      <c r="AW56" s="62">
        <v>0</v>
      </c>
      <c r="AX56" s="62">
        <v>0</v>
      </c>
      <c r="AY56" s="62">
        <v>322308.03999999998</v>
      </c>
      <c r="AZ56" s="30">
        <v>48000</v>
      </c>
      <c r="BA56" s="40"/>
      <c r="BB56" s="5">
        <f t="shared" si="13"/>
        <v>9735761.0799999982</v>
      </c>
    </row>
    <row r="57" spans="1:54" hidden="1">
      <c r="A57" s="104">
        <f t="shared" si="19"/>
        <v>40</v>
      </c>
      <c r="B57" s="101">
        <f t="shared" si="20"/>
        <v>40</v>
      </c>
      <c r="C57" s="101" t="s">
        <v>185</v>
      </c>
      <c r="D57" s="101" t="s">
        <v>192</v>
      </c>
      <c r="E57" s="102">
        <v>1995</v>
      </c>
      <c r="F57" s="102">
        <v>2013</v>
      </c>
      <c r="G57" s="102" t="s">
        <v>3</v>
      </c>
      <c r="H57" s="102">
        <v>5</v>
      </c>
      <c r="I57" s="102">
        <v>4</v>
      </c>
      <c r="J57" s="62">
        <v>4929.5</v>
      </c>
      <c r="K57" s="62">
        <v>4328.8999999999996</v>
      </c>
      <c r="L57" s="62">
        <v>0</v>
      </c>
      <c r="M57" s="103">
        <v>159</v>
      </c>
      <c r="N57" s="28">
        <f t="shared" si="7"/>
        <v>7455631.8200000003</v>
      </c>
      <c r="O57" s="62"/>
      <c r="P57" s="30"/>
      <c r="Q57" s="31"/>
      <c r="R57" s="31"/>
      <c r="S57" s="30"/>
      <c r="T57" s="31"/>
      <c r="U57" s="31"/>
      <c r="V57" s="30">
        <v>902303.69</v>
      </c>
      <c r="W57" s="31"/>
      <c r="X57" s="31"/>
      <c r="Y57" s="30">
        <v>6553328.1299999999</v>
      </c>
      <c r="Z57" s="31"/>
      <c r="AA57" s="31"/>
      <c r="AB57" s="62">
        <v>0</v>
      </c>
      <c r="AC57" s="106"/>
      <c r="AD57" s="106"/>
      <c r="AE57" s="30">
        <v>1821.3138306411799</v>
      </c>
      <c r="AF57" s="30">
        <v>1821.3138306411799</v>
      </c>
      <c r="AG57" s="33">
        <v>2022</v>
      </c>
      <c r="AH57" s="1">
        <v>1948762.98</v>
      </c>
      <c r="AI57" s="5">
        <f t="shared" si="21"/>
        <v>441547.8</v>
      </c>
      <c r="AJ57" s="5">
        <f t="shared" si="22"/>
        <v>15584040</v>
      </c>
      <c r="AL57" s="37">
        <f t="shared" si="18"/>
        <v>0</v>
      </c>
      <c r="AM57" s="62">
        <v>5966685.6799999997</v>
      </c>
      <c r="AN57" s="62">
        <v>1488946.14</v>
      </c>
      <c r="AO57" s="62"/>
      <c r="AP57" s="62"/>
      <c r="AQ57" s="62">
        <v>0</v>
      </c>
      <c r="AR57" s="62"/>
      <c r="AS57" s="62"/>
      <c r="AT57" s="62">
        <v>0</v>
      </c>
      <c r="AU57" s="62"/>
      <c r="AV57" s="62">
        <v>0</v>
      </c>
      <c r="AW57" s="62"/>
      <c r="AX57" s="62"/>
      <c r="AY57" s="62"/>
      <c r="AZ57" s="30"/>
      <c r="BA57" s="40"/>
      <c r="BB57" s="5">
        <f t="shared" si="13"/>
        <v>7455631.8200000003</v>
      </c>
    </row>
    <row r="58" spans="1:54" hidden="1">
      <c r="A58" s="104">
        <f t="shared" si="19"/>
        <v>41</v>
      </c>
      <c r="B58" s="101">
        <f t="shared" si="20"/>
        <v>41</v>
      </c>
      <c r="C58" s="101" t="s">
        <v>185</v>
      </c>
      <c r="D58" s="101" t="s">
        <v>194</v>
      </c>
      <c r="E58" s="102">
        <v>1983</v>
      </c>
      <c r="F58" s="102">
        <v>1983</v>
      </c>
      <c r="G58" s="102" t="s">
        <v>3</v>
      </c>
      <c r="H58" s="102">
        <v>2</v>
      </c>
      <c r="I58" s="102">
        <v>2</v>
      </c>
      <c r="J58" s="62">
        <v>712.2</v>
      </c>
      <c r="K58" s="62">
        <v>635.1</v>
      </c>
      <c r="L58" s="62">
        <v>0</v>
      </c>
      <c r="M58" s="103">
        <v>33</v>
      </c>
      <c r="N58" s="28">
        <f t="shared" si="7"/>
        <v>12314688.842366001</v>
      </c>
      <c r="O58" s="62"/>
      <c r="P58" s="30">
        <v>2482138.81</v>
      </c>
      <c r="Q58" s="31"/>
      <c r="R58" s="31"/>
      <c r="S58" s="30"/>
      <c r="T58" s="31"/>
      <c r="U58" s="31"/>
      <c r="V58" s="30">
        <v>366253.68</v>
      </c>
      <c r="W58" s="31"/>
      <c r="X58" s="31"/>
      <c r="Y58" s="30">
        <v>2286360</v>
      </c>
      <c r="Z58" s="31"/>
      <c r="AA58" s="31"/>
      <c r="AB58" s="62">
        <v>7179936.3523660004</v>
      </c>
      <c r="AC58" s="106"/>
      <c r="AD58" s="106"/>
      <c r="AE58" s="30">
        <v>20046.8608365992</v>
      </c>
      <c r="AF58" s="30">
        <v>20046.8608365992</v>
      </c>
      <c r="AG58" s="33">
        <v>2022</v>
      </c>
      <c r="AH58" s="1">
        <v>301473.48</v>
      </c>
      <c r="AI58" s="5">
        <f t="shared" si="21"/>
        <v>64780.2</v>
      </c>
      <c r="AJ58" s="5">
        <f t="shared" si="22"/>
        <v>2286360</v>
      </c>
      <c r="AL58" s="37">
        <f t="shared" si="18"/>
        <v>0</v>
      </c>
      <c r="AM58" s="62">
        <v>1765727.93</v>
      </c>
      <c r="AN58" s="62">
        <v>0</v>
      </c>
      <c r="AO58" s="62">
        <v>609050.4</v>
      </c>
      <c r="AP58" s="62"/>
      <c r="AQ58" s="62">
        <v>0</v>
      </c>
      <c r="AR58" s="62"/>
      <c r="AS58" s="62"/>
      <c r="AT58" s="62">
        <v>0</v>
      </c>
      <c r="AU58" s="62">
        <v>6221591.2110660002</v>
      </c>
      <c r="AV58" s="62"/>
      <c r="AW58" s="62"/>
      <c r="AX58" s="62">
        <v>2928661.91</v>
      </c>
      <c r="AY58" s="62">
        <v>699135.1274</v>
      </c>
      <c r="AZ58" s="30">
        <v>90522.263900000005</v>
      </c>
      <c r="BA58" s="40"/>
      <c r="BB58" s="5">
        <f t="shared" ref="BB58:BB89" si="23">N58-AL58</f>
        <v>12314688.842366001</v>
      </c>
    </row>
    <row r="59" spans="1:54" hidden="1">
      <c r="A59" s="104">
        <f t="shared" si="19"/>
        <v>42</v>
      </c>
      <c r="B59" s="101">
        <f t="shared" si="20"/>
        <v>42</v>
      </c>
      <c r="C59" s="101" t="s">
        <v>185</v>
      </c>
      <c r="D59" s="101" t="s">
        <v>196</v>
      </c>
      <c r="E59" s="102">
        <v>1979</v>
      </c>
      <c r="F59" s="102">
        <v>1979</v>
      </c>
      <c r="G59" s="102" t="s">
        <v>3</v>
      </c>
      <c r="H59" s="102">
        <v>4</v>
      </c>
      <c r="I59" s="102">
        <v>4</v>
      </c>
      <c r="J59" s="62">
        <v>4000.3</v>
      </c>
      <c r="K59" s="62">
        <v>3434.6</v>
      </c>
      <c r="L59" s="62">
        <v>0</v>
      </c>
      <c r="M59" s="103">
        <v>77</v>
      </c>
      <c r="N59" s="28">
        <f t="shared" si="7"/>
        <v>7111904.5899999999</v>
      </c>
      <c r="O59" s="62"/>
      <c r="P59" s="30"/>
      <c r="Q59" s="31"/>
      <c r="R59" s="31"/>
      <c r="S59" s="30"/>
      <c r="T59" s="31"/>
      <c r="U59" s="31"/>
      <c r="V59" s="30">
        <v>1019742.18</v>
      </c>
      <c r="W59" s="31"/>
      <c r="X59" s="31"/>
      <c r="Y59" s="30">
        <v>6092162.4100000001</v>
      </c>
      <c r="Z59" s="31"/>
      <c r="AA59" s="31"/>
      <c r="AB59" s="62">
        <v>0</v>
      </c>
      <c r="AC59" s="106"/>
      <c r="AD59" s="106"/>
      <c r="AE59" s="30">
        <v>2124.4096864517001</v>
      </c>
      <c r="AF59" s="30">
        <v>2124.4096864517001</v>
      </c>
      <c r="AG59" s="33">
        <v>2022</v>
      </c>
      <c r="AH59" s="1">
        <v>1726106.62</v>
      </c>
      <c r="AI59" s="5">
        <f t="shared" si="21"/>
        <v>350329.2</v>
      </c>
      <c r="AJ59" s="5">
        <f t="shared" si="22"/>
        <v>12364560</v>
      </c>
      <c r="AL59" s="37">
        <f t="shared" si="18"/>
        <v>0</v>
      </c>
      <c r="AM59" s="62">
        <v>3493966.86</v>
      </c>
      <c r="AN59" s="62">
        <v>2141042.75</v>
      </c>
      <c r="AO59" s="62"/>
      <c r="AP59" s="62">
        <v>1393455.49</v>
      </c>
      <c r="AQ59" s="62"/>
      <c r="AR59" s="62"/>
      <c r="AS59" s="62"/>
      <c r="AT59" s="62">
        <v>0</v>
      </c>
      <c r="AU59" s="62">
        <v>0</v>
      </c>
      <c r="AV59" s="62">
        <v>0</v>
      </c>
      <c r="AW59" s="62">
        <v>0</v>
      </c>
      <c r="AX59" s="62">
        <v>0</v>
      </c>
      <c r="AY59" s="62"/>
      <c r="AZ59" s="30"/>
      <c r="BA59" s="109">
        <f>47895.04+22398.98+13145.47</f>
        <v>83439.490000000005</v>
      </c>
      <c r="BB59" s="5">
        <f t="shared" si="23"/>
        <v>7111904.5899999999</v>
      </c>
    </row>
    <row r="60" spans="1:54" hidden="1">
      <c r="A60" s="104">
        <f t="shared" si="19"/>
        <v>43</v>
      </c>
      <c r="B60" s="101">
        <f t="shared" si="20"/>
        <v>43</v>
      </c>
      <c r="C60" s="101" t="s">
        <v>185</v>
      </c>
      <c r="D60" s="101" t="s">
        <v>197</v>
      </c>
      <c r="E60" s="102">
        <v>1986</v>
      </c>
      <c r="F60" s="102">
        <v>2013</v>
      </c>
      <c r="G60" s="102" t="s">
        <v>3</v>
      </c>
      <c r="H60" s="102">
        <v>4</v>
      </c>
      <c r="I60" s="102">
        <v>2</v>
      </c>
      <c r="J60" s="62">
        <v>3830.7</v>
      </c>
      <c r="K60" s="62">
        <v>3476.2</v>
      </c>
      <c r="L60" s="62">
        <v>0</v>
      </c>
      <c r="M60" s="103">
        <v>146</v>
      </c>
      <c r="N60" s="28">
        <f t="shared" si="7"/>
        <v>45108809.805</v>
      </c>
      <c r="O60" s="62"/>
      <c r="P60" s="30">
        <v>2555439.3199999998</v>
      </c>
      <c r="Q60" s="31"/>
      <c r="R60" s="31"/>
      <c r="S60" s="30"/>
      <c r="T60" s="31"/>
      <c r="U60" s="31"/>
      <c r="V60" s="30">
        <v>1738606.72</v>
      </c>
      <c r="W60" s="31"/>
      <c r="X60" s="31"/>
      <c r="Y60" s="30">
        <v>13373245.48</v>
      </c>
      <c r="Z60" s="31"/>
      <c r="AA60" s="31"/>
      <c r="AB60" s="62">
        <v>27441518.285</v>
      </c>
      <c r="AC60" s="106"/>
      <c r="AD60" s="106"/>
      <c r="AE60" s="30">
        <v>13204.1034744632</v>
      </c>
      <c r="AF60" s="30">
        <v>13204.1034744632</v>
      </c>
      <c r="AG60" s="33">
        <v>2022</v>
      </c>
      <c r="AH60" s="1">
        <f>1393126.98-102965.87</f>
        <v>1290161.1099999999</v>
      </c>
      <c r="AI60" s="5">
        <f t="shared" si="21"/>
        <v>354572.39999999997</v>
      </c>
      <c r="AJ60" s="5">
        <f t="shared" si="22"/>
        <v>12514320</v>
      </c>
      <c r="AL60" s="37">
        <f t="shared" si="18"/>
        <v>0</v>
      </c>
      <c r="AM60" s="62">
        <v>5399356.9199999999</v>
      </c>
      <c r="AN60" s="62"/>
      <c r="AO60" s="62">
        <v>2387945.1800000002</v>
      </c>
      <c r="AP60" s="62">
        <v>2433472.6800000002</v>
      </c>
      <c r="AQ60" s="62"/>
      <c r="AR60" s="62"/>
      <c r="AS60" s="62"/>
      <c r="AT60" s="62">
        <v>0</v>
      </c>
      <c r="AU60" s="62">
        <v>11379650.75</v>
      </c>
      <c r="AV60" s="62">
        <v>0</v>
      </c>
      <c r="AW60" s="62">
        <v>18883188.84</v>
      </c>
      <c r="AX60" s="62">
        <v>3776525.81</v>
      </c>
      <c r="AY60" s="62">
        <v>276792.45750000002</v>
      </c>
      <c r="AZ60" s="30">
        <v>44508.167500000003</v>
      </c>
      <c r="BA60" s="109">
        <f>64915.61+30822.62+23778.33+89763.23+262834.11+55255.1</f>
        <v>527369</v>
      </c>
      <c r="BB60" s="5">
        <f t="shared" si="23"/>
        <v>45108809.805</v>
      </c>
    </row>
    <row r="61" spans="1:54" hidden="1">
      <c r="A61" s="104">
        <f t="shared" si="19"/>
        <v>44</v>
      </c>
      <c r="B61" s="101">
        <f t="shared" si="20"/>
        <v>44</v>
      </c>
      <c r="C61" s="101" t="s">
        <v>185</v>
      </c>
      <c r="D61" s="101" t="s">
        <v>199</v>
      </c>
      <c r="E61" s="102">
        <v>1991</v>
      </c>
      <c r="F61" s="102">
        <v>1991</v>
      </c>
      <c r="G61" s="102" t="s">
        <v>3</v>
      </c>
      <c r="H61" s="102">
        <v>2</v>
      </c>
      <c r="I61" s="102">
        <v>2</v>
      </c>
      <c r="J61" s="62">
        <v>704.8</v>
      </c>
      <c r="K61" s="62">
        <v>502.8</v>
      </c>
      <c r="L61" s="62">
        <v>0</v>
      </c>
      <c r="M61" s="103">
        <v>51</v>
      </c>
      <c r="N61" s="28">
        <f t="shared" si="7"/>
        <v>9226907.76405821</v>
      </c>
      <c r="O61" s="62"/>
      <c r="P61" s="30">
        <v>6547481.0700000003</v>
      </c>
      <c r="Q61" s="31"/>
      <c r="R61" s="31"/>
      <c r="S61" s="30"/>
      <c r="T61" s="31"/>
      <c r="U61" s="31"/>
      <c r="V61" s="30">
        <v>231480.48</v>
      </c>
      <c r="W61" s="31"/>
      <c r="X61" s="31"/>
      <c r="Y61" s="30">
        <v>2447946.2140582101</v>
      </c>
      <c r="Z61" s="31"/>
      <c r="AA61" s="31"/>
      <c r="AB61" s="62">
        <v>0</v>
      </c>
      <c r="AC61" s="106"/>
      <c r="AD61" s="106"/>
      <c r="AE61" s="30">
        <v>18613.330278556499</v>
      </c>
      <c r="AF61" s="30">
        <v>18613.330278556499</v>
      </c>
      <c r="AG61" s="33">
        <v>2022</v>
      </c>
      <c r="AH61" s="1">
        <v>180194.88</v>
      </c>
      <c r="AI61" s="5">
        <f t="shared" si="21"/>
        <v>51285.599999999999</v>
      </c>
      <c r="AJ61" s="5">
        <f t="shared" si="22"/>
        <v>1810080</v>
      </c>
      <c r="AL61" s="37">
        <f t="shared" si="18"/>
        <v>0</v>
      </c>
      <c r="AM61" s="62">
        <v>1114194.82</v>
      </c>
      <c r="AN61" s="62">
        <v>0</v>
      </c>
      <c r="AO61" s="62">
        <v>325054.98</v>
      </c>
      <c r="AP61" s="62">
        <v>0</v>
      </c>
      <c r="AQ61" s="62">
        <v>0</v>
      </c>
      <c r="AR61" s="62"/>
      <c r="AS61" s="62"/>
      <c r="AT61" s="62">
        <v>0</v>
      </c>
      <c r="AU61" s="62">
        <v>2410884.9500000002</v>
      </c>
      <c r="AV61" s="62">
        <v>0</v>
      </c>
      <c r="AW61" s="62">
        <v>2965969.93</v>
      </c>
      <c r="AX61" s="62">
        <v>2124525.0299999998</v>
      </c>
      <c r="AY61" s="62">
        <v>222088.61</v>
      </c>
      <c r="AZ61" s="62">
        <f>64189.4440582085</f>
        <v>64189.444058208501</v>
      </c>
      <c r="BA61" s="40"/>
      <c r="BB61" s="5">
        <f t="shared" si="23"/>
        <v>9226907.76405821</v>
      </c>
    </row>
    <row r="62" spans="1:54" hidden="1">
      <c r="A62" s="104">
        <f t="shared" si="19"/>
        <v>45</v>
      </c>
      <c r="B62" s="101">
        <f t="shared" si="20"/>
        <v>45</v>
      </c>
      <c r="C62" s="101" t="s">
        <v>185</v>
      </c>
      <c r="D62" s="101" t="s">
        <v>201</v>
      </c>
      <c r="E62" s="102">
        <v>1985</v>
      </c>
      <c r="F62" s="102">
        <v>1985</v>
      </c>
      <c r="G62" s="102" t="s">
        <v>3</v>
      </c>
      <c r="H62" s="102">
        <v>2</v>
      </c>
      <c r="I62" s="102">
        <v>2</v>
      </c>
      <c r="J62" s="62">
        <v>687.7</v>
      </c>
      <c r="K62" s="62">
        <v>539.6</v>
      </c>
      <c r="L62" s="62">
        <v>0</v>
      </c>
      <c r="M62" s="103">
        <v>34</v>
      </c>
      <c r="N62" s="28">
        <f t="shared" si="7"/>
        <v>295096.46000000002</v>
      </c>
      <c r="O62" s="105"/>
      <c r="P62" s="30"/>
      <c r="Q62" s="31"/>
      <c r="R62" s="31"/>
      <c r="S62" s="30"/>
      <c r="T62" s="31"/>
      <c r="U62" s="31"/>
      <c r="V62" s="30">
        <v>238828.54</v>
      </c>
      <c r="W62" s="31"/>
      <c r="X62" s="31"/>
      <c r="Y62" s="30">
        <v>56267.92</v>
      </c>
      <c r="Z62" s="31"/>
      <c r="AA62" s="31"/>
      <c r="AB62" s="62">
        <v>0</v>
      </c>
      <c r="AC62" s="106"/>
      <c r="AD62" s="106"/>
      <c r="AE62" s="30">
        <v>918.65402044280904</v>
      </c>
      <c r="AF62" s="30">
        <v>918.65402044280904</v>
      </c>
      <c r="AG62" s="33">
        <v>2022</v>
      </c>
      <c r="AH62" s="1">
        <v>183789.34</v>
      </c>
      <c r="AI62" s="5">
        <f t="shared" si="21"/>
        <v>55039.199999999997</v>
      </c>
      <c r="AJ62" s="5">
        <f t="shared" si="22"/>
        <v>1942560</v>
      </c>
      <c r="AL62" s="37">
        <f t="shared" si="18"/>
        <v>0</v>
      </c>
      <c r="AM62" s="62">
        <v>0</v>
      </c>
      <c r="AN62" s="62">
        <v>0</v>
      </c>
      <c r="AO62" s="62">
        <v>295096.46000000002</v>
      </c>
      <c r="AP62" s="62">
        <v>0</v>
      </c>
      <c r="AQ62" s="62">
        <v>0</v>
      </c>
      <c r="AR62" s="62"/>
      <c r="AS62" s="62"/>
      <c r="AT62" s="62">
        <v>0</v>
      </c>
      <c r="AU62" s="62">
        <v>0</v>
      </c>
      <c r="AV62" s="62">
        <v>0</v>
      </c>
      <c r="AW62" s="62"/>
      <c r="AX62" s="62"/>
      <c r="AY62" s="62"/>
      <c r="AZ62" s="30"/>
      <c r="BA62" s="40"/>
      <c r="BB62" s="5">
        <f t="shared" si="23"/>
        <v>295096.46000000002</v>
      </c>
    </row>
    <row r="63" spans="1:54" hidden="1">
      <c r="A63" s="104">
        <f t="shared" si="19"/>
        <v>46</v>
      </c>
      <c r="B63" s="101">
        <f t="shared" si="20"/>
        <v>46</v>
      </c>
      <c r="C63" s="101" t="s">
        <v>185</v>
      </c>
      <c r="D63" s="101" t="s">
        <v>205</v>
      </c>
      <c r="E63" s="102">
        <v>1986</v>
      </c>
      <c r="F63" s="102">
        <v>1986</v>
      </c>
      <c r="G63" s="102" t="s">
        <v>3</v>
      </c>
      <c r="H63" s="102">
        <v>2</v>
      </c>
      <c r="I63" s="102">
        <v>2</v>
      </c>
      <c r="J63" s="62">
        <v>683.3</v>
      </c>
      <c r="K63" s="62">
        <v>610.4</v>
      </c>
      <c r="L63" s="62">
        <v>0</v>
      </c>
      <c r="M63" s="103">
        <v>44</v>
      </c>
      <c r="N63" s="28">
        <f t="shared" si="7"/>
        <v>295096.45999999996</v>
      </c>
      <c r="O63" s="105"/>
      <c r="P63" s="30"/>
      <c r="Q63" s="31"/>
      <c r="R63" s="31"/>
      <c r="S63" s="30"/>
      <c r="T63" s="31"/>
      <c r="U63" s="31"/>
      <c r="V63" s="30">
        <v>265705.23</v>
      </c>
      <c r="W63" s="31"/>
      <c r="X63" s="31"/>
      <c r="Y63" s="30">
        <v>29391.23</v>
      </c>
      <c r="Z63" s="31"/>
      <c r="AA63" s="31"/>
      <c r="AB63" s="62">
        <v>0</v>
      </c>
      <c r="AC63" s="106"/>
      <c r="AD63" s="106"/>
      <c r="AE63" s="30">
        <v>483.44767365661897</v>
      </c>
      <c r="AF63" s="30">
        <v>483.44767365661897</v>
      </c>
      <c r="AG63" s="33">
        <v>2022</v>
      </c>
      <c r="AH63" s="1">
        <v>203638.23</v>
      </c>
      <c r="AI63" s="5">
        <f t="shared" si="21"/>
        <v>62260.799999999996</v>
      </c>
      <c r="AJ63" s="5">
        <f>+(K63*10+L63*20)*12*30-656415.36</f>
        <v>1541024.6400000001</v>
      </c>
      <c r="AL63" s="37">
        <f t="shared" si="18"/>
        <v>0</v>
      </c>
      <c r="AM63" s="62">
        <v>0</v>
      </c>
      <c r="AN63" s="62">
        <v>0</v>
      </c>
      <c r="AO63" s="62">
        <v>295096.46000000002</v>
      </c>
      <c r="AP63" s="62">
        <v>0</v>
      </c>
      <c r="AQ63" s="62">
        <v>0</v>
      </c>
      <c r="AR63" s="62"/>
      <c r="AS63" s="62"/>
      <c r="AT63" s="62">
        <v>0</v>
      </c>
      <c r="AU63" s="62">
        <v>0</v>
      </c>
      <c r="AV63" s="62">
        <v>0</v>
      </c>
      <c r="AW63" s="62"/>
      <c r="AX63" s="62"/>
      <c r="AY63" s="62"/>
      <c r="AZ63" s="30"/>
      <c r="BA63" s="156"/>
      <c r="BB63" s="5">
        <f t="shared" si="23"/>
        <v>295096.45999999996</v>
      </c>
    </row>
    <row r="64" spans="1:54" hidden="1">
      <c r="A64" s="104">
        <f t="shared" si="19"/>
        <v>47</v>
      </c>
      <c r="B64" s="101">
        <f t="shared" si="20"/>
        <v>47</v>
      </c>
      <c r="C64" s="101" t="s">
        <v>185</v>
      </c>
      <c r="D64" s="101" t="s">
        <v>208</v>
      </c>
      <c r="E64" s="102">
        <v>1981</v>
      </c>
      <c r="F64" s="102">
        <v>2013</v>
      </c>
      <c r="G64" s="102" t="s">
        <v>3</v>
      </c>
      <c r="H64" s="102">
        <v>5</v>
      </c>
      <c r="I64" s="102">
        <v>4</v>
      </c>
      <c r="J64" s="62">
        <v>4685.6000000000004</v>
      </c>
      <c r="K64" s="62">
        <v>4258.2</v>
      </c>
      <c r="L64" s="62">
        <v>0</v>
      </c>
      <c r="M64" s="103">
        <v>196</v>
      </c>
      <c r="N64" s="28">
        <f t="shared" si="7"/>
        <v>20071938.109999999</v>
      </c>
      <c r="O64" s="62"/>
      <c r="P64" s="30">
        <v>5434056.3399999999</v>
      </c>
      <c r="Q64" s="31"/>
      <c r="R64" s="31"/>
      <c r="S64" s="30"/>
      <c r="T64" s="31"/>
      <c r="U64" s="31"/>
      <c r="V64" s="30">
        <v>1556339.86</v>
      </c>
      <c r="W64" s="31"/>
      <c r="X64" s="31"/>
      <c r="Y64" s="30">
        <v>8960527.3300000001</v>
      </c>
      <c r="Z64" s="31"/>
      <c r="AA64" s="31"/>
      <c r="AB64" s="62">
        <v>4121014.58</v>
      </c>
      <c r="AC64" s="106"/>
      <c r="AD64" s="106"/>
      <c r="AE64" s="30">
        <v>4829.1775643098199</v>
      </c>
      <c r="AF64" s="30">
        <v>4829.1775643098199</v>
      </c>
      <c r="AG64" s="33">
        <v>2022</v>
      </c>
      <c r="AH64" s="1">
        <f>1979236.76-807117.21-50116.09</f>
        <v>1122003.46</v>
      </c>
      <c r="AI64" s="5">
        <f t="shared" si="21"/>
        <v>434336.39999999997</v>
      </c>
      <c r="AJ64" s="5">
        <f>+(K64*10+L64*20)*12*30-6222132.17-133900.5</f>
        <v>8973487.3300000001</v>
      </c>
      <c r="AL64" s="37">
        <f t="shared" si="18"/>
        <v>0</v>
      </c>
      <c r="AM64" s="63"/>
      <c r="AN64" s="62"/>
      <c r="AP64" s="62"/>
      <c r="AQ64" s="62"/>
      <c r="AR64" s="62"/>
      <c r="AS64" s="62"/>
      <c r="AT64" s="62">
        <v>0</v>
      </c>
      <c r="AU64" s="62"/>
      <c r="AV64" s="62">
        <v>0</v>
      </c>
      <c r="AW64" s="62">
        <v>13315014.15</v>
      </c>
      <c r="AX64" s="62">
        <v>6316602.7000000002</v>
      </c>
      <c r="AY64" s="62">
        <v>184016.59</v>
      </c>
      <c r="AZ64" s="30"/>
      <c r="BA64" s="109">
        <f>196715.63+59589.04</f>
        <v>256304.67</v>
      </c>
      <c r="BB64" s="5">
        <f t="shared" si="23"/>
        <v>20071938.109999999</v>
      </c>
    </row>
    <row r="65" spans="1:54" hidden="1">
      <c r="A65" s="104">
        <f t="shared" si="19"/>
        <v>48</v>
      </c>
      <c r="B65" s="101">
        <f t="shared" si="20"/>
        <v>48</v>
      </c>
      <c r="C65" s="101" t="s">
        <v>185</v>
      </c>
      <c r="D65" s="101" t="s">
        <v>211</v>
      </c>
      <c r="E65" s="102">
        <v>1963</v>
      </c>
      <c r="F65" s="102">
        <v>2013</v>
      </c>
      <c r="G65" s="102" t="s">
        <v>3</v>
      </c>
      <c r="H65" s="102">
        <v>4</v>
      </c>
      <c r="I65" s="102">
        <v>4</v>
      </c>
      <c r="J65" s="62">
        <v>5268.75</v>
      </c>
      <c r="K65" s="62">
        <v>3170.15</v>
      </c>
      <c r="L65" s="62">
        <v>2098.6</v>
      </c>
      <c r="M65" s="103">
        <v>92</v>
      </c>
      <c r="N65" s="28">
        <f t="shared" si="7"/>
        <v>25808089.745801982</v>
      </c>
      <c r="O65" s="62"/>
      <c r="P65" s="30">
        <v>1562915.71</v>
      </c>
      <c r="Q65" s="31"/>
      <c r="R65" s="31"/>
      <c r="S65" s="30"/>
      <c r="T65" s="31"/>
      <c r="U65" s="31"/>
      <c r="V65" s="30">
        <v>3803443.11</v>
      </c>
      <c r="W65" s="31"/>
      <c r="X65" s="31"/>
      <c r="Y65" s="30">
        <v>12513319.670307999</v>
      </c>
      <c r="Z65" s="31"/>
      <c r="AA65" s="31"/>
      <c r="AB65" s="62">
        <v>7928411.2554939799</v>
      </c>
      <c r="AC65" s="106"/>
      <c r="AD65" s="106"/>
      <c r="AE65" s="30">
        <v>5076.4287393229897</v>
      </c>
      <c r="AF65" s="30">
        <v>5076.4287393229897</v>
      </c>
      <c r="AG65" s="33">
        <v>2022</v>
      </c>
      <c r="AH65" s="1">
        <v>3051973.41</v>
      </c>
      <c r="AI65" s="5">
        <f t="shared" si="21"/>
        <v>751469.7</v>
      </c>
      <c r="AJ65" s="5">
        <f>+(K65*10+L65*20)*12*30</f>
        <v>26522460</v>
      </c>
      <c r="AL65" s="37">
        <f t="shared" si="18"/>
        <v>0</v>
      </c>
      <c r="AM65" s="62">
        <v>4769407.0999999996</v>
      </c>
      <c r="AN65" s="62"/>
      <c r="AP65" s="62">
        <v>1031316.84</v>
      </c>
      <c r="AQ65" s="62"/>
      <c r="AR65" s="62"/>
      <c r="AS65" s="62"/>
      <c r="AT65" s="62">
        <v>0</v>
      </c>
      <c r="AU65" s="62">
        <v>10189652.140000001</v>
      </c>
      <c r="AV65" s="62">
        <v>0</v>
      </c>
      <c r="AW65" s="62">
        <v>7616799.1900000004</v>
      </c>
      <c r="AX65" s="62">
        <v>787626.31</v>
      </c>
      <c r="AY65" s="62">
        <v>1118801.88790099</v>
      </c>
      <c r="AZ65" s="62">
        <f>64785.607900992</f>
        <v>64785.607900991999</v>
      </c>
      <c r="BA65" s="158">
        <f>58276.61+6630.4+97841.34+57352.04+9600.28</f>
        <v>229700.67</v>
      </c>
      <c r="BB65" s="5">
        <f t="shared" si="23"/>
        <v>25808089.745801982</v>
      </c>
    </row>
    <row r="66" spans="1:54" hidden="1">
      <c r="A66" s="104">
        <f t="shared" si="19"/>
        <v>49</v>
      </c>
      <c r="B66" s="101">
        <f t="shared" si="20"/>
        <v>49</v>
      </c>
      <c r="C66" s="101" t="s">
        <v>185</v>
      </c>
      <c r="D66" s="101" t="s">
        <v>212</v>
      </c>
      <c r="E66" s="102">
        <v>1962</v>
      </c>
      <c r="F66" s="102">
        <v>2013</v>
      </c>
      <c r="G66" s="102" t="s">
        <v>3</v>
      </c>
      <c r="H66" s="102">
        <v>3</v>
      </c>
      <c r="I66" s="102">
        <v>4</v>
      </c>
      <c r="J66" s="62">
        <v>2475.3000000000002</v>
      </c>
      <c r="K66" s="62">
        <v>1760.3</v>
      </c>
      <c r="L66" s="62">
        <v>633.70000000000005</v>
      </c>
      <c r="M66" s="103">
        <v>67</v>
      </c>
      <c r="N66" s="28">
        <f t="shared" si="7"/>
        <v>657551.96</v>
      </c>
      <c r="O66" s="62"/>
      <c r="P66" s="30"/>
      <c r="Q66" s="31"/>
      <c r="R66" s="31"/>
      <c r="S66" s="30"/>
      <c r="T66" s="31"/>
      <c r="U66" s="31"/>
      <c r="V66" s="30">
        <v>657551.96</v>
      </c>
      <c r="W66" s="31"/>
      <c r="X66" s="31"/>
      <c r="Y66" s="30">
        <v>0</v>
      </c>
      <c r="Z66" s="31"/>
      <c r="AA66" s="31"/>
      <c r="AB66" s="30">
        <v>0</v>
      </c>
      <c r="AC66" s="32"/>
      <c r="AD66" s="32"/>
      <c r="AE66" s="62">
        <v>293.17460793660803</v>
      </c>
      <c r="AF66" s="62">
        <v>293.17460793660803</v>
      </c>
      <c r="AG66" s="33">
        <v>2022</v>
      </c>
      <c r="AH66" s="1">
        <v>1210415.78</v>
      </c>
      <c r="AI66" s="5">
        <f t="shared" si="21"/>
        <v>308825.39999999997</v>
      </c>
      <c r="AJ66" s="5">
        <f>+(K66*10+L66*20)*12*30-4713256</f>
        <v>6186464</v>
      </c>
      <c r="AL66" s="37">
        <f t="shared" si="18"/>
        <v>0</v>
      </c>
      <c r="AM66" s="62"/>
      <c r="AN66" s="62"/>
      <c r="AO66" s="62">
        <v>657551.96</v>
      </c>
      <c r="AP66" s="62"/>
      <c r="AQ66" s="62"/>
      <c r="AR66" s="62"/>
      <c r="AS66" s="62"/>
      <c r="AT66" s="62">
        <v>0</v>
      </c>
      <c r="AU66" s="62"/>
      <c r="AV66" s="62">
        <v>0</v>
      </c>
      <c r="AW66" s="62">
        <v>0</v>
      </c>
      <c r="AX66" s="62">
        <v>0</v>
      </c>
      <c r="AY66" s="62"/>
      <c r="AZ66" s="30"/>
      <c r="BA66" s="40"/>
      <c r="BB66" s="5">
        <f t="shared" si="23"/>
        <v>657551.96</v>
      </c>
    </row>
    <row r="67" spans="1:54" s="142" customFormat="1" hidden="1">
      <c r="A67" s="104">
        <f t="shared" si="19"/>
        <v>50</v>
      </c>
      <c r="B67" s="101">
        <f t="shared" si="20"/>
        <v>50</v>
      </c>
      <c r="C67" s="101" t="s">
        <v>185</v>
      </c>
      <c r="D67" s="101" t="s">
        <v>215</v>
      </c>
      <c r="E67" s="102" t="s">
        <v>216</v>
      </c>
      <c r="F67" s="102"/>
      <c r="G67" s="102" t="s">
        <v>3</v>
      </c>
      <c r="H67" s="102" t="s">
        <v>174</v>
      </c>
      <c r="I67" s="102" t="s">
        <v>27</v>
      </c>
      <c r="J67" s="62">
        <v>6441.2</v>
      </c>
      <c r="K67" s="62">
        <v>4463.1000000000004</v>
      </c>
      <c r="L67" s="62">
        <v>1969.2</v>
      </c>
      <c r="M67" s="103">
        <v>152</v>
      </c>
      <c r="N67" s="28">
        <f t="shared" si="7"/>
        <v>5909562.2026752001</v>
      </c>
      <c r="O67" s="62">
        <v>0</v>
      </c>
      <c r="P67" s="30"/>
      <c r="Q67" s="31"/>
      <c r="R67" s="31"/>
      <c r="S67" s="30">
        <v>0</v>
      </c>
      <c r="T67" s="31"/>
      <c r="U67" s="31"/>
      <c r="V67" s="30">
        <v>5329893.6566000003</v>
      </c>
      <c r="W67" s="31"/>
      <c r="X67" s="31"/>
      <c r="Y67" s="30">
        <v>579668.54607519996</v>
      </c>
      <c r="Z67" s="31"/>
      <c r="AA67" s="31"/>
      <c r="AB67" s="62">
        <v>0</v>
      </c>
      <c r="AC67" s="106"/>
      <c r="AD67" s="106"/>
      <c r="AE67" s="30">
        <v>1357.7159901704999</v>
      </c>
      <c r="AF67" s="30">
        <v>1172.2830200640001</v>
      </c>
      <c r="AG67" s="33">
        <v>2022</v>
      </c>
      <c r="AH67" s="142">
        <v>4272551.63</v>
      </c>
      <c r="AI67" s="5">
        <f>+(K67*13.29+L67*22.52)*12*0.85</f>
        <v>1057342.0266</v>
      </c>
      <c r="AJ67" s="5">
        <f>+(K67*13.29+L67*22.52)*12*30</f>
        <v>37317953.880000003</v>
      </c>
      <c r="AK67" s="5"/>
      <c r="AL67" s="37">
        <f t="shared" si="18"/>
        <v>0</v>
      </c>
      <c r="AM67" s="146"/>
      <c r="AN67" s="146"/>
      <c r="AO67" s="146"/>
      <c r="AP67" s="146"/>
      <c r="AQ67" s="146"/>
      <c r="AR67" s="146"/>
      <c r="AS67" s="146"/>
      <c r="AT67" s="146">
        <v>5738993.2800000003</v>
      </c>
      <c r="AU67" s="146"/>
      <c r="AV67" s="146"/>
      <c r="AW67" s="146"/>
      <c r="AX67" s="146"/>
      <c r="AY67" s="146">
        <v>146568.92267520001</v>
      </c>
      <c r="AZ67" s="146">
        <v>24000</v>
      </c>
      <c r="BA67" s="159"/>
      <c r="BB67" s="5">
        <f t="shared" si="23"/>
        <v>5909562.2026752001</v>
      </c>
    </row>
    <row r="68" spans="1:54" s="142" customFormat="1" hidden="1">
      <c r="A68" s="104">
        <f t="shared" si="19"/>
        <v>51</v>
      </c>
      <c r="B68" s="101">
        <f t="shared" si="20"/>
        <v>51</v>
      </c>
      <c r="C68" s="101" t="s">
        <v>185</v>
      </c>
      <c r="D68" s="101" t="s">
        <v>219</v>
      </c>
      <c r="E68" s="102" t="s">
        <v>216</v>
      </c>
      <c r="F68" s="102"/>
      <c r="G68" s="102" t="s">
        <v>3</v>
      </c>
      <c r="H68" s="102" t="s">
        <v>220</v>
      </c>
      <c r="I68" s="102" t="s">
        <v>27</v>
      </c>
      <c r="J68" s="62">
        <v>5186.3599999999997</v>
      </c>
      <c r="K68" s="62">
        <v>4076.7</v>
      </c>
      <c r="L68" s="62">
        <v>540.4</v>
      </c>
      <c r="M68" s="103">
        <v>130</v>
      </c>
      <c r="N68" s="28">
        <f t="shared" si="7"/>
        <v>5898632.361792</v>
      </c>
      <c r="O68" s="62">
        <v>0</v>
      </c>
      <c r="P68" s="30"/>
      <c r="Q68" s="31"/>
      <c r="R68" s="31"/>
      <c r="S68" s="30">
        <v>0</v>
      </c>
      <c r="T68" s="31"/>
      <c r="U68" s="31"/>
      <c r="V68" s="30">
        <v>3933138.0602000002</v>
      </c>
      <c r="W68" s="31"/>
      <c r="X68" s="31"/>
      <c r="Y68" s="30">
        <v>1965494.3015920001</v>
      </c>
      <c r="Z68" s="31"/>
      <c r="AA68" s="31"/>
      <c r="AB68" s="62">
        <v>0</v>
      </c>
      <c r="AC68" s="106"/>
      <c r="AD68" s="106"/>
      <c r="AE68" s="30">
        <v>1483.78009013213</v>
      </c>
      <c r="AF68" s="30">
        <v>1172.2830200640001</v>
      </c>
      <c r="AG68" s="33">
        <v>2022</v>
      </c>
      <c r="AH68" s="142">
        <v>3256376.72</v>
      </c>
      <c r="AI68" s="5">
        <f>+(K68*13.29+L68*22.52)*12*0.85</f>
        <v>676761.34019999986</v>
      </c>
      <c r="AJ68" s="5">
        <f>+(K68*13.29+L68*22.52)*12*30</f>
        <v>23885694.359999999</v>
      </c>
      <c r="AK68" s="5"/>
      <c r="AL68" s="37">
        <f t="shared" si="18"/>
        <v>0</v>
      </c>
      <c r="AM68" s="146"/>
      <c r="AN68" s="146"/>
      <c r="AO68" s="146"/>
      <c r="AP68" s="146"/>
      <c r="AQ68" s="146"/>
      <c r="AR68" s="146"/>
      <c r="AS68" s="146"/>
      <c r="AT68" s="146">
        <v>5738993.2800000003</v>
      </c>
      <c r="AU68" s="146"/>
      <c r="AV68" s="146"/>
      <c r="AW68" s="146"/>
      <c r="AX68" s="146"/>
      <c r="AY68" s="146">
        <v>135639.08179200001</v>
      </c>
      <c r="AZ68" s="146">
        <v>24000</v>
      </c>
      <c r="BA68" s="159"/>
      <c r="BB68" s="5">
        <f t="shared" si="23"/>
        <v>5898632.361792</v>
      </c>
    </row>
    <row r="69" spans="1:54" hidden="1">
      <c r="A69" s="104">
        <f t="shared" si="19"/>
        <v>52</v>
      </c>
      <c r="B69" s="101">
        <f t="shared" si="20"/>
        <v>52</v>
      </c>
      <c r="C69" s="101" t="s">
        <v>185</v>
      </c>
      <c r="D69" s="101" t="s">
        <v>223</v>
      </c>
      <c r="E69" s="102">
        <v>1968</v>
      </c>
      <c r="F69" s="102">
        <v>2013</v>
      </c>
      <c r="G69" s="102" t="s">
        <v>3</v>
      </c>
      <c r="H69" s="102">
        <v>5</v>
      </c>
      <c r="I69" s="102">
        <v>4</v>
      </c>
      <c r="J69" s="62">
        <v>3228.9</v>
      </c>
      <c r="K69" s="62">
        <v>2518.9</v>
      </c>
      <c r="L69" s="62">
        <v>710</v>
      </c>
      <c r="M69" s="103">
        <v>136</v>
      </c>
      <c r="N69" s="28">
        <f t="shared" si="7"/>
        <v>1118404.042262</v>
      </c>
      <c r="O69" s="62"/>
      <c r="P69" s="30"/>
      <c r="Q69" s="31"/>
      <c r="R69" s="31"/>
      <c r="S69" s="30"/>
      <c r="T69" s="31"/>
      <c r="U69" s="31"/>
      <c r="V69" s="30">
        <v>1118404.042262</v>
      </c>
      <c r="W69" s="31"/>
      <c r="X69" s="31"/>
      <c r="Y69" s="30">
        <v>0</v>
      </c>
      <c r="Z69" s="31"/>
      <c r="AA69" s="31"/>
      <c r="AB69" s="30">
        <v>0</v>
      </c>
      <c r="AC69" s="32"/>
      <c r="AD69" s="32"/>
      <c r="AE69" s="62">
        <v>381.40433344544601</v>
      </c>
      <c r="AF69" s="62">
        <v>381.40433344544601</v>
      </c>
      <c r="AG69" s="33">
        <v>2022</v>
      </c>
      <c r="AH69" s="1">
        <v>1993779.07</v>
      </c>
      <c r="AI69" s="5">
        <f>+(K69*10+L69*20)*12*0.85</f>
        <v>401767.8</v>
      </c>
      <c r="AJ69" s="5">
        <f>+(K69*10+L69*20)*12*30</f>
        <v>14180040</v>
      </c>
      <c r="AL69" s="37">
        <f t="shared" si="18"/>
        <v>0</v>
      </c>
      <c r="AM69" s="62"/>
      <c r="AN69" s="62"/>
      <c r="AO69" s="62"/>
      <c r="AP69" s="62"/>
      <c r="AQ69" s="62">
        <f>1117005.032262+1399.01</f>
        <v>1118404.042262</v>
      </c>
      <c r="AR69" s="62"/>
      <c r="AS69" s="62"/>
      <c r="AT69" s="62"/>
      <c r="AU69" s="62"/>
      <c r="AV69" s="62">
        <v>0</v>
      </c>
      <c r="AW69" s="62">
        <v>0</v>
      </c>
      <c r="AX69" s="62">
        <v>0</v>
      </c>
      <c r="AY69" s="62"/>
      <c r="AZ69" s="30"/>
      <c r="BA69" s="40"/>
      <c r="BB69" s="5">
        <f t="shared" si="23"/>
        <v>1118404.042262</v>
      </c>
    </row>
    <row r="70" spans="1:54" hidden="1">
      <c r="A70" s="104">
        <f t="shared" si="19"/>
        <v>53</v>
      </c>
      <c r="B70" s="101">
        <f t="shared" si="20"/>
        <v>53</v>
      </c>
      <c r="C70" s="101" t="s">
        <v>185</v>
      </c>
      <c r="D70" s="101" t="s">
        <v>224</v>
      </c>
      <c r="E70" s="102">
        <v>1965</v>
      </c>
      <c r="F70" s="102">
        <v>2005</v>
      </c>
      <c r="G70" s="102" t="s">
        <v>3</v>
      </c>
      <c r="H70" s="102">
        <v>4</v>
      </c>
      <c r="I70" s="102">
        <v>2</v>
      </c>
      <c r="J70" s="62">
        <v>1948.5</v>
      </c>
      <c r="K70" s="62">
        <v>1410</v>
      </c>
      <c r="L70" s="62">
        <v>537.70000000000005</v>
      </c>
      <c r="M70" s="103">
        <v>38</v>
      </c>
      <c r="N70" s="28">
        <f t="shared" si="7"/>
        <v>735121.99</v>
      </c>
      <c r="O70" s="62"/>
      <c r="P70" s="30"/>
      <c r="Q70" s="31"/>
      <c r="R70" s="31"/>
      <c r="S70" s="30"/>
      <c r="T70" s="31"/>
      <c r="U70" s="31"/>
      <c r="V70" s="30">
        <v>735121.99</v>
      </c>
      <c r="W70" s="31"/>
      <c r="X70" s="31"/>
      <c r="Y70" s="30">
        <v>0</v>
      </c>
      <c r="Z70" s="31"/>
      <c r="AA70" s="31"/>
      <c r="AB70" s="62"/>
      <c r="AC70" s="106"/>
      <c r="AD70" s="106"/>
      <c r="AE70" s="30">
        <v>402.78396269895802</v>
      </c>
      <c r="AF70" s="30">
        <v>402.78396269895802</v>
      </c>
      <c r="AG70" s="33">
        <v>2022</v>
      </c>
      <c r="AH70" s="1">
        <v>945052.78</v>
      </c>
      <c r="AI70" s="5">
        <f>+(K70*10+L70*20)*12*0.85</f>
        <v>253510.8</v>
      </c>
      <c r="AJ70" s="5">
        <f>+(K70*10+L70*20)*12*30</f>
        <v>8947440</v>
      </c>
      <c r="AL70" s="37">
        <f t="shared" si="18"/>
        <v>0</v>
      </c>
      <c r="AM70" s="62"/>
      <c r="AN70" s="62"/>
      <c r="AO70" s="62">
        <v>727596.98</v>
      </c>
      <c r="AP70" s="62"/>
      <c r="AQ70" s="62"/>
      <c r="AR70" s="62"/>
      <c r="AS70" s="62"/>
      <c r="AT70" s="62">
        <v>0</v>
      </c>
      <c r="AU70" s="62">
        <v>0</v>
      </c>
      <c r="AV70" s="62">
        <v>0</v>
      </c>
      <c r="AW70" s="62">
        <v>0</v>
      </c>
      <c r="AX70" s="62">
        <v>0</v>
      </c>
      <c r="AY70" s="62"/>
      <c r="AZ70" s="30"/>
      <c r="BA70" s="109">
        <f>7525.01</f>
        <v>7525.01</v>
      </c>
      <c r="BB70" s="5">
        <f t="shared" si="23"/>
        <v>735121.99</v>
      </c>
    </row>
    <row r="71" spans="1:54" hidden="1">
      <c r="A71" s="104">
        <f t="shared" si="19"/>
        <v>54</v>
      </c>
      <c r="B71" s="101">
        <f t="shared" si="20"/>
        <v>54</v>
      </c>
      <c r="C71" s="101" t="s">
        <v>185</v>
      </c>
      <c r="D71" s="101" t="s">
        <v>226</v>
      </c>
      <c r="E71" s="102">
        <v>1963</v>
      </c>
      <c r="F71" s="102">
        <v>2013</v>
      </c>
      <c r="G71" s="102" t="s">
        <v>3</v>
      </c>
      <c r="H71" s="102">
        <v>4</v>
      </c>
      <c r="I71" s="102">
        <v>3</v>
      </c>
      <c r="J71" s="62">
        <v>2328.4</v>
      </c>
      <c r="K71" s="62">
        <v>1950.9</v>
      </c>
      <c r="L71" s="62">
        <v>377.5</v>
      </c>
      <c r="M71" s="103">
        <v>49</v>
      </c>
      <c r="N71" s="28">
        <f t="shared" si="7"/>
        <v>4389935.6500000004</v>
      </c>
      <c r="O71" s="62"/>
      <c r="P71" s="30"/>
      <c r="Q71" s="31"/>
      <c r="R71" s="31"/>
      <c r="S71" s="30"/>
      <c r="T71" s="31"/>
      <c r="U71" s="31"/>
      <c r="V71" s="30">
        <v>761274.89161744004</v>
      </c>
      <c r="W71" s="31"/>
      <c r="X71" s="31"/>
      <c r="Y71" s="30">
        <v>3628660.7583825602</v>
      </c>
      <c r="Z71" s="31"/>
      <c r="AA71" s="31"/>
      <c r="AB71" s="62">
        <v>0</v>
      </c>
      <c r="AC71" s="106"/>
      <c r="AD71" s="106"/>
      <c r="AE71" s="30">
        <v>1972.3698168774399</v>
      </c>
      <c r="AF71" s="30">
        <v>1972.3698168774399</v>
      </c>
      <c r="AG71" s="33">
        <v>2022</v>
      </c>
      <c r="AH71" s="1">
        <v>1234380.76</v>
      </c>
      <c r="AI71" s="5">
        <f>+(K71*10+L71*20)*12*0.85</f>
        <v>276001.8</v>
      </c>
      <c r="AJ71" s="5">
        <f>+(K71*10+L71*20)*12*30</f>
        <v>9741240</v>
      </c>
      <c r="AL71" s="37">
        <f t="shared" si="18"/>
        <v>0</v>
      </c>
      <c r="AM71" s="62">
        <v>2728315.47</v>
      </c>
      <c r="AN71" s="62">
        <v>1047486.37</v>
      </c>
      <c r="AO71" s="62">
        <v>607322.06000000006</v>
      </c>
      <c r="AP71" s="62"/>
      <c r="AQ71" s="62"/>
      <c r="AR71" s="62"/>
      <c r="AS71" s="62"/>
      <c r="AT71" s="62">
        <v>0</v>
      </c>
      <c r="AU71" s="62">
        <v>0</v>
      </c>
      <c r="AV71" s="62">
        <v>0</v>
      </c>
      <c r="AW71" s="62">
        <v>0</v>
      </c>
      <c r="AX71" s="62">
        <v>0</v>
      </c>
      <c r="AY71" s="62"/>
      <c r="AZ71" s="30"/>
      <c r="BA71" s="109">
        <v>6811.75</v>
      </c>
      <c r="BB71" s="5">
        <f t="shared" si="23"/>
        <v>4389935.6500000004</v>
      </c>
    </row>
    <row r="72" spans="1:54" hidden="1">
      <c r="A72" s="104">
        <f t="shared" si="19"/>
        <v>55</v>
      </c>
      <c r="B72" s="101">
        <f t="shared" si="20"/>
        <v>55</v>
      </c>
      <c r="C72" s="101" t="s">
        <v>185</v>
      </c>
      <c r="D72" s="101" t="s">
        <v>227</v>
      </c>
      <c r="E72" s="102">
        <v>1989</v>
      </c>
      <c r="F72" s="102">
        <v>2017</v>
      </c>
      <c r="G72" s="102" t="s">
        <v>3</v>
      </c>
      <c r="H72" s="102">
        <v>9</v>
      </c>
      <c r="I72" s="102">
        <v>3</v>
      </c>
      <c r="J72" s="62">
        <v>7106.9</v>
      </c>
      <c r="K72" s="62">
        <v>6247.4</v>
      </c>
      <c r="L72" s="62">
        <v>0</v>
      </c>
      <c r="M72" s="103">
        <v>249</v>
      </c>
      <c r="N72" s="28">
        <f t="shared" si="7"/>
        <v>1827661.8</v>
      </c>
      <c r="O72" s="62"/>
      <c r="P72" s="30"/>
      <c r="Q72" s="31"/>
      <c r="R72" s="31"/>
      <c r="S72" s="30"/>
      <c r="T72" s="31"/>
      <c r="U72" s="31"/>
      <c r="V72" s="30">
        <v>1710288.97421662</v>
      </c>
      <c r="W72" s="31"/>
      <c r="X72" s="31"/>
      <c r="Y72" s="30">
        <v>117372.82578338</v>
      </c>
      <c r="Z72" s="31"/>
      <c r="AA72" s="31"/>
      <c r="AB72" s="62">
        <v>0</v>
      </c>
      <c r="AC72" s="106"/>
      <c r="AD72" s="106"/>
      <c r="AE72" s="30">
        <v>435.17833566229501</v>
      </c>
      <c r="AF72" s="30">
        <v>435.17833566229501</v>
      </c>
      <c r="AG72" s="33">
        <v>2022</v>
      </c>
      <c r="AH72" s="1">
        <v>2787898.61</v>
      </c>
      <c r="AI72" s="5">
        <f>+(K72*13.29+L72*22.52)*12*0.85</f>
        <v>846885.04919999989</v>
      </c>
      <c r="AJ72" s="5">
        <f>+(K72*13.29+L72*22.52)*12*30-131853.4</f>
        <v>29758207.16</v>
      </c>
      <c r="AL72" s="37">
        <f t="shared" si="18"/>
        <v>0</v>
      </c>
      <c r="AM72" s="62"/>
      <c r="AN72" s="62">
        <v>0</v>
      </c>
      <c r="AO72" s="62"/>
      <c r="AP72" s="62">
        <v>1827661.8</v>
      </c>
      <c r="AQ72" s="62">
        <v>0</v>
      </c>
      <c r="AR72" s="62"/>
      <c r="AS72" s="62"/>
      <c r="AT72" s="62">
        <v>0</v>
      </c>
      <c r="AU72" s="62"/>
      <c r="AV72" s="62">
        <v>0</v>
      </c>
      <c r="AW72" s="62"/>
      <c r="AX72" s="62">
        <v>0</v>
      </c>
      <c r="AY72" s="62"/>
      <c r="AZ72" s="30"/>
      <c r="BA72" s="40"/>
      <c r="BB72" s="5">
        <f t="shared" si="23"/>
        <v>1827661.8</v>
      </c>
    </row>
    <row r="73" spans="1:54" hidden="1">
      <c r="A73" s="104">
        <f t="shared" si="19"/>
        <v>56</v>
      </c>
      <c r="B73" s="101">
        <f t="shared" si="20"/>
        <v>56</v>
      </c>
      <c r="C73" s="101" t="s">
        <v>185</v>
      </c>
      <c r="D73" s="101" t="s">
        <v>229</v>
      </c>
      <c r="E73" s="102">
        <v>1989</v>
      </c>
      <c r="F73" s="102">
        <v>2017</v>
      </c>
      <c r="G73" s="102" t="s">
        <v>3</v>
      </c>
      <c r="H73" s="102">
        <v>9</v>
      </c>
      <c r="I73" s="102">
        <v>3</v>
      </c>
      <c r="J73" s="62">
        <v>8049.4</v>
      </c>
      <c r="K73" s="62">
        <v>6639.6</v>
      </c>
      <c r="L73" s="62">
        <v>0</v>
      </c>
      <c r="M73" s="103">
        <v>258</v>
      </c>
      <c r="N73" s="28">
        <f t="shared" si="7"/>
        <v>2845906.28</v>
      </c>
      <c r="O73" s="62"/>
      <c r="P73" s="30"/>
      <c r="Q73" s="31"/>
      <c r="R73" s="31"/>
      <c r="S73" s="30"/>
      <c r="T73" s="31"/>
      <c r="U73" s="31"/>
      <c r="V73" s="30"/>
      <c r="W73" s="31"/>
      <c r="X73" s="31"/>
      <c r="Y73" s="30">
        <v>2845906.28</v>
      </c>
      <c r="Z73" s="31"/>
      <c r="AA73" s="31"/>
      <c r="AB73" s="62">
        <v>0</v>
      </c>
      <c r="AC73" s="106"/>
      <c r="AD73" s="106"/>
      <c r="AE73" s="30">
        <v>509.870771958109</v>
      </c>
      <c r="AF73" s="30">
        <v>509.870771958109</v>
      </c>
      <c r="AG73" s="33">
        <v>2022</v>
      </c>
      <c r="AH73" s="1">
        <v>4261157.78</v>
      </c>
      <c r="AI73" s="5">
        <f>+(K73*13.29+L73*22.52)*12*0.85</f>
        <v>900050.89679999999</v>
      </c>
      <c r="AJ73" s="5">
        <f>+(K73*13.29+L73*22.52)*12*30-14694406.85</f>
        <v>17072095.390000001</v>
      </c>
      <c r="AL73" s="37">
        <f t="shared" si="18"/>
        <v>0</v>
      </c>
      <c r="AM73" s="62"/>
      <c r="AN73" s="62">
        <v>0</v>
      </c>
      <c r="AO73" s="62"/>
      <c r="AP73" s="62"/>
      <c r="AQ73" s="62">
        <v>0</v>
      </c>
      <c r="AR73" s="62"/>
      <c r="AS73" s="62"/>
      <c r="AT73" s="62">
        <v>0</v>
      </c>
      <c r="AU73" s="62">
        <v>2845906.28</v>
      </c>
      <c r="AV73" s="62">
        <v>0</v>
      </c>
      <c r="AW73" s="62"/>
      <c r="AX73" s="62">
        <v>0</v>
      </c>
      <c r="AY73" s="62"/>
      <c r="AZ73" s="30"/>
      <c r="BA73" s="40"/>
      <c r="BB73" s="5">
        <f t="shared" si="23"/>
        <v>2845906.28</v>
      </c>
    </row>
    <row r="74" spans="1:54" hidden="1">
      <c r="A74" s="104">
        <f t="shared" si="19"/>
        <v>57</v>
      </c>
      <c r="B74" s="101">
        <f t="shared" si="20"/>
        <v>57</v>
      </c>
      <c r="C74" s="101" t="s">
        <v>185</v>
      </c>
      <c r="D74" s="101" t="s">
        <v>231</v>
      </c>
      <c r="E74" s="102">
        <v>1994</v>
      </c>
      <c r="F74" s="102">
        <v>2013</v>
      </c>
      <c r="G74" s="102" t="s">
        <v>3</v>
      </c>
      <c r="H74" s="102">
        <v>9</v>
      </c>
      <c r="I74" s="102">
        <v>3</v>
      </c>
      <c r="J74" s="62">
        <v>7891.7</v>
      </c>
      <c r="K74" s="62">
        <v>6600.8</v>
      </c>
      <c r="L74" s="62">
        <v>0</v>
      </c>
      <c r="M74" s="103">
        <v>291</v>
      </c>
      <c r="N74" s="28">
        <f t="shared" si="7"/>
        <v>5847141.2763</v>
      </c>
      <c r="O74" s="62"/>
      <c r="P74" s="30"/>
      <c r="Q74" s="31"/>
      <c r="R74" s="31"/>
      <c r="S74" s="30"/>
      <c r="T74" s="31"/>
      <c r="U74" s="31"/>
      <c r="V74" s="30">
        <v>1668103.1163999999</v>
      </c>
      <c r="W74" s="31"/>
      <c r="X74" s="31"/>
      <c r="Y74" s="30">
        <v>4179038.1598999999</v>
      </c>
      <c r="Z74" s="31"/>
      <c r="AA74" s="31"/>
      <c r="AB74" s="62">
        <v>0</v>
      </c>
      <c r="AC74" s="106"/>
      <c r="AD74" s="106"/>
      <c r="AE74" s="30">
        <v>966.91878346248598</v>
      </c>
      <c r="AF74" s="30">
        <v>966.91878346248598</v>
      </c>
      <c r="AG74" s="33">
        <v>2022</v>
      </c>
      <c r="AH74" s="1">
        <f>4161512.94-301266.52-3086934.55</f>
        <v>773311.87000000011</v>
      </c>
      <c r="AI74" s="5">
        <f>+(K74*13.29+L74*22.52)*12*0.85</f>
        <v>894791.24639999995</v>
      </c>
      <c r="AJ74" s="5">
        <f>+(K74*13.29+L74*22.52)*12*30-1198680.53-8354818.57</f>
        <v>22027368.419999998</v>
      </c>
      <c r="AL74" s="37">
        <f t="shared" si="18"/>
        <v>0</v>
      </c>
      <c r="AM74" s="62"/>
      <c r="AN74" s="62">
        <v>0</v>
      </c>
      <c r="AQ74" s="62">
        <v>0</v>
      </c>
      <c r="AR74" s="62"/>
      <c r="AS74" s="62"/>
      <c r="AT74" s="62">
        <v>0</v>
      </c>
      <c r="AU74" s="62">
        <v>3018526.85</v>
      </c>
      <c r="AV74" s="62">
        <v>0</v>
      </c>
      <c r="AW74" s="62"/>
      <c r="AX74" s="62">
        <v>0</v>
      </c>
      <c r="AY74" s="62">
        <v>2550189.8569999998</v>
      </c>
      <c r="AZ74" s="30">
        <f>278424.5693</f>
        <v>278424.56929999997</v>
      </c>
      <c r="BA74" s="40"/>
      <c r="BB74" s="5">
        <f t="shared" si="23"/>
        <v>5847141.2763</v>
      </c>
    </row>
    <row r="75" spans="1:54" hidden="1">
      <c r="A75" s="104">
        <f t="shared" si="19"/>
        <v>58</v>
      </c>
      <c r="B75" s="101">
        <f t="shared" si="20"/>
        <v>58</v>
      </c>
      <c r="C75" s="101" t="s">
        <v>185</v>
      </c>
      <c r="D75" s="101" t="s">
        <v>233</v>
      </c>
      <c r="E75" s="102">
        <v>1987</v>
      </c>
      <c r="F75" s="102">
        <v>2013</v>
      </c>
      <c r="G75" s="102" t="s">
        <v>3</v>
      </c>
      <c r="H75" s="102">
        <v>3</v>
      </c>
      <c r="I75" s="102">
        <v>3</v>
      </c>
      <c r="J75" s="62">
        <v>1395.8</v>
      </c>
      <c r="K75" s="62">
        <v>1268</v>
      </c>
      <c r="L75" s="62">
        <v>0</v>
      </c>
      <c r="M75" s="103">
        <v>63</v>
      </c>
      <c r="N75" s="28">
        <f t="shared" si="7"/>
        <v>9311700.5</v>
      </c>
      <c r="O75" s="62"/>
      <c r="P75" s="63"/>
      <c r="Q75" s="111"/>
      <c r="R75" s="111"/>
      <c r="S75" s="30"/>
      <c r="T75" s="31"/>
      <c r="U75" s="31"/>
      <c r="V75" s="30">
        <v>412386.65</v>
      </c>
      <c r="W75" s="31"/>
      <c r="X75" s="31"/>
      <c r="Y75" s="30">
        <v>5662093.7818827201</v>
      </c>
      <c r="Z75" s="31"/>
      <c r="AA75" s="31"/>
      <c r="AB75" s="62">
        <v>3237220.06811728</v>
      </c>
      <c r="AC75" s="106"/>
      <c r="AD75" s="106"/>
      <c r="AE75" s="62">
        <v>7677.1268705699704</v>
      </c>
      <c r="AF75" s="62">
        <v>7677.1268705699704</v>
      </c>
      <c r="AG75" s="33">
        <v>2022</v>
      </c>
      <c r="AH75" s="1">
        <v>502354.09</v>
      </c>
      <c r="AI75" s="5">
        <f t="shared" ref="AI75:AI86" si="24">+(K75*10+L75*20)*12*0.85</f>
        <v>129336</v>
      </c>
      <c r="AJ75" s="5">
        <f>+(K75*10+L75*20)*12*30</f>
        <v>4564800</v>
      </c>
      <c r="AL75" s="37">
        <f t="shared" si="18"/>
        <v>0</v>
      </c>
      <c r="AM75" s="62"/>
      <c r="AN75" s="62"/>
      <c r="AO75" s="62"/>
      <c r="AP75" s="62"/>
      <c r="AQ75" s="62">
        <v>0</v>
      </c>
      <c r="AR75" s="62"/>
      <c r="AS75" s="62"/>
      <c r="AT75" s="62">
        <v>0</v>
      </c>
      <c r="AU75" s="62">
        <v>0</v>
      </c>
      <c r="AV75" s="62">
        <v>0</v>
      </c>
      <c r="AW75" s="62">
        <v>9311700.5</v>
      </c>
      <c r="AX75" s="62">
        <v>0</v>
      </c>
      <c r="AY75" s="62"/>
      <c r="AZ75" s="30"/>
      <c r="BA75" s="40"/>
      <c r="BB75" s="5">
        <f t="shared" si="23"/>
        <v>9311700.5</v>
      </c>
    </row>
    <row r="76" spans="1:54" hidden="1">
      <c r="A76" s="104">
        <f t="shared" si="19"/>
        <v>59</v>
      </c>
      <c r="B76" s="101">
        <f t="shared" si="20"/>
        <v>59</v>
      </c>
      <c r="C76" s="101" t="s">
        <v>185</v>
      </c>
      <c r="D76" s="101" t="s">
        <v>235</v>
      </c>
      <c r="E76" s="102">
        <v>1982</v>
      </c>
      <c r="F76" s="102">
        <v>2005</v>
      </c>
      <c r="G76" s="102" t="s">
        <v>3</v>
      </c>
      <c r="H76" s="102">
        <v>4</v>
      </c>
      <c r="I76" s="102">
        <v>3</v>
      </c>
      <c r="J76" s="62">
        <v>4260.17</v>
      </c>
      <c r="K76" s="62">
        <v>3632.44</v>
      </c>
      <c r="L76" s="62">
        <v>448.5</v>
      </c>
      <c r="M76" s="103">
        <v>282</v>
      </c>
      <c r="N76" s="28">
        <f t="shared" si="7"/>
        <v>33304826.762599997</v>
      </c>
      <c r="O76" s="62"/>
      <c r="P76" s="30">
        <v>9795460.2799999993</v>
      </c>
      <c r="Q76" s="31"/>
      <c r="R76" s="31"/>
      <c r="S76" s="30"/>
      <c r="T76" s="31"/>
      <c r="U76" s="31"/>
      <c r="V76" s="30">
        <v>2404077.6800000002</v>
      </c>
      <c r="W76" s="31"/>
      <c r="X76" s="31"/>
      <c r="Y76" s="30">
        <v>21105288.8026</v>
      </c>
      <c r="Z76" s="31"/>
      <c r="AA76" s="31"/>
      <c r="AB76" s="62">
        <v>0</v>
      </c>
      <c r="AC76" s="106"/>
      <c r="AD76" s="106"/>
      <c r="AE76" s="30">
        <v>8440.01642904242</v>
      </c>
      <c r="AF76" s="30">
        <v>8440.01642904242</v>
      </c>
      <c r="AG76" s="33">
        <v>2022</v>
      </c>
      <c r="AH76" s="1">
        <v>1942074.8</v>
      </c>
      <c r="AI76" s="5">
        <f t="shared" si="24"/>
        <v>462002.88</v>
      </c>
      <c r="AJ76" s="5">
        <f>+(K76*10+L76*20)*12*30</f>
        <v>16305984.000000002</v>
      </c>
      <c r="AL76" s="37">
        <f t="shared" si="18"/>
        <v>0</v>
      </c>
      <c r="AM76" s="62">
        <v>6954265.3799999999</v>
      </c>
      <c r="AN76" s="62">
        <v>2374323.58</v>
      </c>
      <c r="AO76" s="62">
        <v>3305645.72</v>
      </c>
      <c r="AP76" s="62">
        <v>2650517.1800000002</v>
      </c>
      <c r="AQ76" s="62"/>
      <c r="AR76" s="62"/>
      <c r="AS76" s="62"/>
      <c r="AT76" s="62"/>
      <c r="AU76" s="62">
        <v>7951460.7199999997</v>
      </c>
      <c r="AV76" s="62"/>
      <c r="AW76" s="62"/>
      <c r="AX76" s="62">
        <v>9695977.5800000001</v>
      </c>
      <c r="AY76" s="62">
        <v>328083.39630000002</v>
      </c>
      <c r="AZ76" s="30">
        <v>44553.206299999998</v>
      </c>
      <c r="BA76" s="40"/>
      <c r="BB76" s="5">
        <f t="shared" si="23"/>
        <v>33304826.762599997</v>
      </c>
    </row>
    <row r="77" spans="1:54" hidden="1">
      <c r="A77" s="104">
        <f t="shared" si="19"/>
        <v>60</v>
      </c>
      <c r="B77" s="101">
        <f t="shared" si="20"/>
        <v>60</v>
      </c>
      <c r="C77" s="101" t="s">
        <v>185</v>
      </c>
      <c r="D77" s="101" t="s">
        <v>236</v>
      </c>
      <c r="E77" s="102">
        <v>1976</v>
      </c>
      <c r="F77" s="102">
        <v>2013</v>
      </c>
      <c r="G77" s="102" t="s">
        <v>3</v>
      </c>
      <c r="H77" s="102">
        <v>4</v>
      </c>
      <c r="I77" s="102">
        <v>4</v>
      </c>
      <c r="J77" s="62">
        <v>2991.3</v>
      </c>
      <c r="K77" s="62">
        <v>2484.4</v>
      </c>
      <c r="L77" s="62">
        <v>250.6</v>
      </c>
      <c r="M77" s="103">
        <v>122</v>
      </c>
      <c r="N77" s="28">
        <f t="shared" si="7"/>
        <v>1171020.99</v>
      </c>
      <c r="O77" s="62"/>
      <c r="P77" s="30"/>
      <c r="Q77" s="31"/>
      <c r="R77" s="31"/>
      <c r="S77" s="30"/>
      <c r="T77" s="31"/>
      <c r="U77" s="31"/>
      <c r="V77" s="30">
        <v>230063.63</v>
      </c>
      <c r="W77" s="31"/>
      <c r="X77" s="31"/>
      <c r="Y77" s="30">
        <v>940957.36</v>
      </c>
      <c r="Z77" s="31"/>
      <c r="AA77" s="31"/>
      <c r="AB77" s="62">
        <v>0</v>
      </c>
      <c r="AC77" s="106"/>
      <c r="AD77" s="106"/>
      <c r="AE77" s="30">
        <v>428.16123948811702</v>
      </c>
      <c r="AF77" s="30">
        <v>428.16123948811702</v>
      </c>
      <c r="AG77" s="33">
        <v>2022</v>
      </c>
      <c r="AH77" s="1">
        <v>1388531.28</v>
      </c>
      <c r="AI77" s="5">
        <f t="shared" si="24"/>
        <v>304531.20000000001</v>
      </c>
      <c r="AJ77" s="5">
        <f>+(K77*10+L77*20)*12*30</f>
        <v>10748160</v>
      </c>
      <c r="AL77" s="37">
        <f t="shared" si="18"/>
        <v>0</v>
      </c>
      <c r="AM77" s="62"/>
      <c r="AN77" s="62">
        <v>0</v>
      </c>
      <c r="AO77" s="62">
        <v>0</v>
      </c>
      <c r="AP77" s="62">
        <v>0</v>
      </c>
      <c r="AQ77" s="62">
        <v>1171020.99</v>
      </c>
      <c r="AR77" s="62"/>
      <c r="AS77" s="62"/>
      <c r="AT77" s="62">
        <v>0</v>
      </c>
      <c r="AU77" s="62"/>
      <c r="AV77" s="62">
        <v>0</v>
      </c>
      <c r="AW77" s="62"/>
      <c r="AX77" s="62"/>
      <c r="AY77" s="62"/>
      <c r="AZ77" s="30"/>
      <c r="BA77" s="156"/>
      <c r="BB77" s="5">
        <f t="shared" si="23"/>
        <v>1171020.99</v>
      </c>
    </row>
    <row r="78" spans="1:54" hidden="1">
      <c r="A78" s="104">
        <f t="shared" si="19"/>
        <v>61</v>
      </c>
      <c r="B78" s="101">
        <f t="shared" si="20"/>
        <v>61</v>
      </c>
      <c r="C78" s="101" t="s">
        <v>185</v>
      </c>
      <c r="D78" s="101" t="s">
        <v>238</v>
      </c>
      <c r="E78" s="102">
        <v>1977</v>
      </c>
      <c r="F78" s="102">
        <v>1977</v>
      </c>
      <c r="G78" s="102" t="s">
        <v>3</v>
      </c>
      <c r="H78" s="102">
        <v>4</v>
      </c>
      <c r="I78" s="102">
        <v>6</v>
      </c>
      <c r="J78" s="62">
        <v>5672.9</v>
      </c>
      <c r="K78" s="62">
        <v>4964.7</v>
      </c>
      <c r="L78" s="62">
        <v>0</v>
      </c>
      <c r="M78" s="103">
        <v>207</v>
      </c>
      <c r="N78" s="28">
        <f t="shared" si="7"/>
        <v>19908141.098000001</v>
      </c>
      <c r="O78" s="62"/>
      <c r="P78" s="30">
        <v>3593219.09</v>
      </c>
      <c r="Q78" s="31"/>
      <c r="R78" s="31"/>
      <c r="S78" s="30"/>
      <c r="T78" s="31"/>
      <c r="U78" s="31"/>
      <c r="V78" s="30">
        <v>1638227</v>
      </c>
      <c r="W78" s="31"/>
      <c r="X78" s="31"/>
      <c r="Y78" s="30">
        <v>11618244.7184288</v>
      </c>
      <c r="Z78" s="31"/>
      <c r="AA78" s="31"/>
      <c r="AB78" s="62">
        <v>3058450.2895712</v>
      </c>
      <c r="AC78" s="106"/>
      <c r="AD78" s="106"/>
      <c r="AE78" s="30">
        <v>4173.4271473460203</v>
      </c>
      <c r="AF78" s="30">
        <v>4173.4271473460203</v>
      </c>
      <c r="AG78" s="33">
        <v>2022</v>
      </c>
      <c r="AH78" s="1">
        <f>2390424.58-114155.72</f>
        <v>2276268.86</v>
      </c>
      <c r="AI78" s="5">
        <f t="shared" si="24"/>
        <v>506399.39999999997</v>
      </c>
      <c r="AJ78" s="5">
        <f>+(K78*10+L78*20)*12*30</f>
        <v>17872920</v>
      </c>
      <c r="AL78" s="37">
        <f t="shared" si="18"/>
        <v>0</v>
      </c>
      <c r="AM78" s="62">
        <v>7847760.9900000002</v>
      </c>
      <c r="AN78" s="62"/>
      <c r="AO78" s="62"/>
      <c r="AP78" s="62"/>
      <c r="AQ78" s="62"/>
      <c r="AR78" s="62"/>
      <c r="AS78" s="62"/>
      <c r="AT78" s="62">
        <v>0</v>
      </c>
      <c r="AU78" s="62">
        <v>0</v>
      </c>
      <c r="AV78" s="62">
        <v>0</v>
      </c>
      <c r="AW78" s="62">
        <v>0</v>
      </c>
      <c r="AX78" s="62">
        <f>7597182.26+3870122.95</f>
        <v>11467305.210000001</v>
      </c>
      <c r="AY78" s="62">
        <v>504570.49900000001</v>
      </c>
      <c r="AZ78" s="30">
        <v>88504.399000000005</v>
      </c>
      <c r="BA78" s="40"/>
      <c r="BB78" s="5">
        <f t="shared" si="23"/>
        <v>19908141.098000001</v>
      </c>
    </row>
    <row r="79" spans="1:54" hidden="1">
      <c r="A79" s="104">
        <f t="shared" si="19"/>
        <v>62</v>
      </c>
      <c r="B79" s="101">
        <f t="shared" si="20"/>
        <v>62</v>
      </c>
      <c r="C79" s="101" t="s">
        <v>185</v>
      </c>
      <c r="D79" s="101" t="s">
        <v>240</v>
      </c>
      <c r="E79" s="102">
        <v>1974</v>
      </c>
      <c r="F79" s="102">
        <v>2013</v>
      </c>
      <c r="G79" s="102" t="s">
        <v>3</v>
      </c>
      <c r="H79" s="102">
        <v>4</v>
      </c>
      <c r="I79" s="102">
        <v>4</v>
      </c>
      <c r="J79" s="62">
        <v>3890.5</v>
      </c>
      <c r="K79" s="62">
        <v>3406.6</v>
      </c>
      <c r="L79" s="62">
        <v>0</v>
      </c>
      <c r="M79" s="103">
        <v>175</v>
      </c>
      <c r="N79" s="28">
        <f t="shared" si="7"/>
        <v>15562524.65</v>
      </c>
      <c r="O79" s="62"/>
      <c r="P79" s="30">
        <v>2144774.35</v>
      </c>
      <c r="Q79" s="31"/>
      <c r="R79" s="31"/>
      <c r="S79" s="30"/>
      <c r="T79" s="31"/>
      <c r="U79" s="31"/>
      <c r="V79" s="30">
        <v>1186883.42</v>
      </c>
      <c r="W79" s="31"/>
      <c r="X79" s="31"/>
      <c r="Y79" s="30">
        <v>12230866.880000001</v>
      </c>
      <c r="Z79" s="31"/>
      <c r="AA79" s="31"/>
      <c r="AB79" s="30">
        <v>0</v>
      </c>
      <c r="AC79" s="32"/>
      <c r="AD79" s="32"/>
      <c r="AE79" s="62">
        <v>4570.2265666324201</v>
      </c>
      <c r="AF79" s="62">
        <v>4570.2265666324201</v>
      </c>
      <c r="AG79" s="33">
        <v>2022</v>
      </c>
      <c r="AH79" s="18">
        <f>1535272.52</f>
        <v>1535272.52</v>
      </c>
      <c r="AI79" s="5">
        <f t="shared" si="24"/>
        <v>347473.2</v>
      </c>
      <c r="AJ79" s="5">
        <f>+(K79*10+L79*20)*12*30</f>
        <v>12263760</v>
      </c>
      <c r="AL79" s="37">
        <f t="shared" si="18"/>
        <v>0</v>
      </c>
      <c r="AM79" s="62">
        <v>0</v>
      </c>
      <c r="AN79" s="62">
        <v>0</v>
      </c>
      <c r="AO79" s="62">
        <v>0</v>
      </c>
      <c r="AP79" s="62">
        <v>0</v>
      </c>
      <c r="AQ79" s="62"/>
      <c r="AR79" s="62"/>
      <c r="AS79" s="62"/>
      <c r="AT79" s="62">
        <v>0</v>
      </c>
      <c r="AU79" s="62">
        <v>0</v>
      </c>
      <c r="AV79" s="62">
        <v>0</v>
      </c>
      <c r="AW79" s="62">
        <v>15562524.65</v>
      </c>
      <c r="AX79" s="62">
        <v>0</v>
      </c>
      <c r="AY79" s="62"/>
      <c r="AZ79" s="30"/>
      <c r="BA79" s="40"/>
      <c r="BB79" s="5">
        <f t="shared" si="23"/>
        <v>15562524.65</v>
      </c>
    </row>
    <row r="80" spans="1:54" hidden="1">
      <c r="A80" s="104">
        <f t="shared" si="19"/>
        <v>63</v>
      </c>
      <c r="B80" s="101">
        <f t="shared" si="20"/>
        <v>63</v>
      </c>
      <c r="C80" s="101" t="s">
        <v>185</v>
      </c>
      <c r="D80" s="101" t="s">
        <v>242</v>
      </c>
      <c r="E80" s="102">
        <v>1978</v>
      </c>
      <c r="F80" s="102">
        <v>2008</v>
      </c>
      <c r="G80" s="102" t="s">
        <v>3</v>
      </c>
      <c r="H80" s="102">
        <v>5</v>
      </c>
      <c r="I80" s="102">
        <v>4</v>
      </c>
      <c r="J80" s="62">
        <v>4887.2</v>
      </c>
      <c r="K80" s="62">
        <v>4152.5</v>
      </c>
      <c r="L80" s="62">
        <v>141.4</v>
      </c>
      <c r="M80" s="103">
        <v>187</v>
      </c>
      <c r="N80" s="28">
        <f t="shared" si="7"/>
        <v>14282939.920000002</v>
      </c>
      <c r="O80" s="62"/>
      <c r="P80" s="30"/>
      <c r="Q80" s="31"/>
      <c r="R80" s="31"/>
      <c r="S80" s="30"/>
      <c r="T80" s="31"/>
      <c r="U80" s="31"/>
      <c r="V80" s="30">
        <v>1507307.99</v>
      </c>
      <c r="W80" s="31"/>
      <c r="X80" s="31"/>
      <c r="Y80" s="30">
        <v>8730636.4800000004</v>
      </c>
      <c r="Z80" s="31"/>
      <c r="AA80" s="31"/>
      <c r="AB80" s="62">
        <v>4044995.45</v>
      </c>
      <c r="AC80" s="106"/>
      <c r="AD80" s="106"/>
      <c r="AE80" s="30">
        <v>3436.8920071652401</v>
      </c>
      <c r="AF80" s="30">
        <v>3436.8920071652401</v>
      </c>
      <c r="AG80" s="33">
        <v>2022</v>
      </c>
      <c r="AH80" s="1">
        <v>1938809.74</v>
      </c>
      <c r="AI80" s="5">
        <f t="shared" si="24"/>
        <v>452400.6</v>
      </c>
      <c r="AJ80" s="5">
        <f>+(K80*10+L80*20)*12*30-6800843.52</f>
        <v>9166236.4800000004</v>
      </c>
      <c r="AL80" s="37">
        <f t="shared" si="18"/>
        <v>0</v>
      </c>
      <c r="AM80" s="62"/>
      <c r="AN80" s="62"/>
      <c r="AO80" s="62">
        <v>1212218.3400000001</v>
      </c>
      <c r="AP80" s="62"/>
      <c r="AQ80" s="62"/>
      <c r="AR80" s="62"/>
      <c r="AS80" s="62"/>
      <c r="AT80" s="62">
        <v>0</v>
      </c>
      <c r="AU80" s="62"/>
      <c r="AV80" s="62">
        <v>0</v>
      </c>
      <c r="AW80" s="62">
        <v>12904791.25</v>
      </c>
      <c r="AX80" s="62"/>
      <c r="AY80" s="62"/>
      <c r="AZ80" s="30"/>
      <c r="BA80" s="109">
        <f>14909.16+151021.17</f>
        <v>165930.33000000002</v>
      </c>
      <c r="BB80" s="5">
        <f t="shared" si="23"/>
        <v>14282939.920000002</v>
      </c>
    </row>
    <row r="81" spans="1:54" hidden="1">
      <c r="A81" s="104">
        <f t="shared" si="19"/>
        <v>64</v>
      </c>
      <c r="B81" s="101">
        <f t="shared" si="20"/>
        <v>64</v>
      </c>
      <c r="C81" s="101" t="s">
        <v>185</v>
      </c>
      <c r="D81" s="101" t="s">
        <v>245</v>
      </c>
      <c r="E81" s="102">
        <v>1979</v>
      </c>
      <c r="F81" s="102">
        <v>2008</v>
      </c>
      <c r="G81" s="102" t="s">
        <v>3</v>
      </c>
      <c r="H81" s="102">
        <v>5</v>
      </c>
      <c r="I81" s="102">
        <v>4</v>
      </c>
      <c r="J81" s="62">
        <v>4897.1000000000004</v>
      </c>
      <c r="K81" s="62">
        <v>4311.8999999999996</v>
      </c>
      <c r="L81" s="62">
        <v>0</v>
      </c>
      <c r="M81" s="103">
        <v>199</v>
      </c>
      <c r="N81" s="28">
        <f t="shared" si="7"/>
        <v>14428878.049999999</v>
      </c>
      <c r="O81" s="62"/>
      <c r="P81" s="30"/>
      <c r="Q81" s="31"/>
      <c r="R81" s="31"/>
      <c r="S81" s="30"/>
      <c r="T81" s="31"/>
      <c r="U81" s="31"/>
      <c r="V81" s="30">
        <v>1319980.6299999999</v>
      </c>
      <c r="W81" s="31"/>
      <c r="X81" s="31"/>
      <c r="Y81" s="30">
        <v>7217514.8399999999</v>
      </c>
      <c r="Z81" s="31"/>
      <c r="AA81" s="31"/>
      <c r="AB81" s="62">
        <v>5891382.5800000001</v>
      </c>
      <c r="AC81" s="106"/>
      <c r="AD81" s="106"/>
      <c r="AE81" s="30">
        <v>3456.8884032401502</v>
      </c>
      <c r="AF81" s="30">
        <v>3456.8884032401502</v>
      </c>
      <c r="AG81" s="33">
        <v>2022</v>
      </c>
      <c r="AH81" s="1">
        <v>2090807.65</v>
      </c>
      <c r="AI81" s="5">
        <f t="shared" si="24"/>
        <v>439813.8</v>
      </c>
      <c r="AJ81" s="5">
        <f>+(K81*10+L81*20)*12*30-8305325.16</f>
        <v>7217514.8399999999</v>
      </c>
      <c r="AL81" s="37">
        <f t="shared" si="18"/>
        <v>0</v>
      </c>
      <c r="AM81" s="62"/>
      <c r="AN81" s="62"/>
      <c r="AO81" s="62">
        <v>1218340.6599999999</v>
      </c>
      <c r="AP81" s="62"/>
      <c r="AQ81" s="62"/>
      <c r="AR81" s="62"/>
      <c r="AS81" s="62"/>
      <c r="AT81" s="62">
        <v>0</v>
      </c>
      <c r="AU81" s="62"/>
      <c r="AV81" s="62">
        <v>0</v>
      </c>
      <c r="AW81" s="62">
        <v>13044527.99</v>
      </c>
      <c r="AX81" s="62"/>
      <c r="AY81" s="62"/>
      <c r="AZ81" s="30"/>
      <c r="BA81" s="109">
        <f>151177.15+14832.25</f>
        <v>166009.4</v>
      </c>
      <c r="BB81" s="5">
        <f t="shared" si="23"/>
        <v>14428878.049999999</v>
      </c>
    </row>
    <row r="82" spans="1:54" hidden="1">
      <c r="A82" s="104">
        <f t="shared" si="19"/>
        <v>65</v>
      </c>
      <c r="B82" s="101">
        <f t="shared" si="20"/>
        <v>65</v>
      </c>
      <c r="C82" s="101" t="s">
        <v>185</v>
      </c>
      <c r="D82" s="101" t="s">
        <v>247</v>
      </c>
      <c r="E82" s="102">
        <v>1977</v>
      </c>
      <c r="F82" s="102">
        <v>2008</v>
      </c>
      <c r="G82" s="102" t="s">
        <v>3</v>
      </c>
      <c r="H82" s="102">
        <v>4</v>
      </c>
      <c r="I82" s="102">
        <v>4</v>
      </c>
      <c r="J82" s="62">
        <v>3978.4</v>
      </c>
      <c r="K82" s="62">
        <v>3426.4</v>
      </c>
      <c r="L82" s="62">
        <v>0</v>
      </c>
      <c r="M82" s="103">
        <v>156</v>
      </c>
      <c r="N82" s="28">
        <f t="shared" ref="N82:N145" si="25">SUM(P82:AB82)</f>
        <v>9367953.2884999998</v>
      </c>
      <c r="O82" s="62"/>
      <c r="P82" s="30"/>
      <c r="Q82" s="31"/>
      <c r="R82" s="31"/>
      <c r="S82" s="30"/>
      <c r="T82" s="31"/>
      <c r="U82" s="31"/>
      <c r="V82" s="30">
        <v>1804243.37</v>
      </c>
      <c r="W82" s="31"/>
      <c r="X82" s="31"/>
      <c r="Y82" s="30">
        <v>7563709.9184999997</v>
      </c>
      <c r="Z82" s="31"/>
      <c r="AA82" s="31"/>
      <c r="AB82" s="62"/>
      <c r="AC82" s="106"/>
      <c r="AD82" s="106"/>
      <c r="AE82" s="30">
        <v>2772.4564510256</v>
      </c>
      <c r="AF82" s="30">
        <v>2772.4564510256</v>
      </c>
      <c r="AG82" s="33">
        <v>2022</v>
      </c>
      <c r="AH82" s="1">
        <v>1557234.97</v>
      </c>
      <c r="AI82" s="5">
        <f t="shared" si="24"/>
        <v>349492.8</v>
      </c>
      <c r="AJ82" s="5">
        <f>+(K82*10+L82*20)*12*30</f>
        <v>12335040</v>
      </c>
      <c r="AL82" s="37">
        <f t="shared" ref="AL82:AL113" si="26">SUBTOTAL(9, AM82:BA82)</f>
        <v>0</v>
      </c>
      <c r="AM82" s="62">
        <v>6542286.3200000003</v>
      </c>
      <c r="AN82" s="62">
        <v>0</v>
      </c>
      <c r="AO82" s="62">
        <v>1697416.27</v>
      </c>
      <c r="AP82" s="62">
        <v>0</v>
      </c>
      <c r="AQ82" s="62"/>
      <c r="AR82" s="62"/>
      <c r="AS82" s="62"/>
      <c r="AT82" s="62">
        <v>0</v>
      </c>
      <c r="AU82" s="62">
        <v>0</v>
      </c>
      <c r="AV82" s="62">
        <v>0</v>
      </c>
      <c r="AW82" s="62">
        <v>0</v>
      </c>
      <c r="AX82" s="62">
        <v>0</v>
      </c>
      <c r="AY82" s="62">
        <v>937979.5906</v>
      </c>
      <c r="AZ82" s="30">
        <v>109643.8679</v>
      </c>
      <c r="BA82" s="109">
        <f>61658.99+18968.25</f>
        <v>80627.239999999991</v>
      </c>
      <c r="BB82" s="5">
        <f t="shared" si="23"/>
        <v>9367953.2884999998</v>
      </c>
    </row>
    <row r="83" spans="1:54" hidden="1">
      <c r="A83" s="104">
        <f t="shared" ref="A83:A114" si="27">+A82+1</f>
        <v>66</v>
      </c>
      <c r="B83" s="101">
        <f t="shared" ref="B83:B114" si="28">+B82+1</f>
        <v>66</v>
      </c>
      <c r="C83" s="101" t="s">
        <v>185</v>
      </c>
      <c r="D83" s="101" t="s">
        <v>249</v>
      </c>
      <c r="E83" s="102">
        <v>1977</v>
      </c>
      <c r="F83" s="102">
        <v>2013</v>
      </c>
      <c r="G83" s="102" t="s">
        <v>3</v>
      </c>
      <c r="H83" s="102">
        <v>5</v>
      </c>
      <c r="I83" s="102">
        <v>4</v>
      </c>
      <c r="J83" s="62">
        <v>3776.9</v>
      </c>
      <c r="K83" s="62">
        <v>3428.1</v>
      </c>
      <c r="L83" s="62">
        <v>0</v>
      </c>
      <c r="M83" s="103">
        <v>165</v>
      </c>
      <c r="N83" s="28">
        <f t="shared" si="25"/>
        <v>6007940.0099999998</v>
      </c>
      <c r="O83" s="62"/>
      <c r="P83" s="30">
        <v>1902810.53</v>
      </c>
      <c r="Q83" s="31"/>
      <c r="R83" s="31"/>
      <c r="S83" s="30"/>
      <c r="T83" s="31"/>
      <c r="U83" s="31"/>
      <c r="V83" s="30">
        <v>1319637.71</v>
      </c>
      <c r="W83" s="31"/>
      <c r="X83" s="31"/>
      <c r="Y83" s="30">
        <v>2785491.77</v>
      </c>
      <c r="Z83" s="31"/>
      <c r="AA83" s="31"/>
      <c r="AB83" s="62"/>
      <c r="AC83" s="106"/>
      <c r="AD83" s="106"/>
      <c r="AE83" s="30">
        <v>1785.85611406476</v>
      </c>
      <c r="AF83" s="30">
        <v>1785.85611406476</v>
      </c>
      <c r="AG83" s="33">
        <v>2022</v>
      </c>
      <c r="AH83" s="1">
        <v>1720229.27</v>
      </c>
      <c r="AI83" s="5">
        <f t="shared" si="24"/>
        <v>349666.2</v>
      </c>
      <c r="AJ83" s="5">
        <f>+(K83*10+L83*20)*12*30</f>
        <v>12341160</v>
      </c>
      <c r="AL83" s="37">
        <f t="shared" si="26"/>
        <v>0</v>
      </c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>
        <v>5951792.4900000002</v>
      </c>
      <c r="AY83" s="62"/>
      <c r="AZ83" s="30"/>
      <c r="BA83" s="109">
        <v>56147.519999999997</v>
      </c>
      <c r="BB83" s="5">
        <f t="shared" si="23"/>
        <v>6007940.0099999998</v>
      </c>
    </row>
    <row r="84" spans="1:54" hidden="1">
      <c r="A84" s="104">
        <f t="shared" si="27"/>
        <v>67</v>
      </c>
      <c r="B84" s="101">
        <f t="shared" si="28"/>
        <v>67</v>
      </c>
      <c r="C84" s="101" t="s">
        <v>185</v>
      </c>
      <c r="D84" s="101" t="s">
        <v>251</v>
      </c>
      <c r="E84" s="102">
        <v>1978</v>
      </c>
      <c r="F84" s="102">
        <v>2008</v>
      </c>
      <c r="G84" s="102" t="s">
        <v>3</v>
      </c>
      <c r="H84" s="102">
        <v>5</v>
      </c>
      <c r="I84" s="102">
        <v>4</v>
      </c>
      <c r="J84" s="62">
        <v>3883.8</v>
      </c>
      <c r="K84" s="62">
        <v>3458.3</v>
      </c>
      <c r="L84" s="62">
        <v>0</v>
      </c>
      <c r="M84" s="103">
        <v>222</v>
      </c>
      <c r="N84" s="28">
        <f t="shared" si="25"/>
        <v>13112357.779999999</v>
      </c>
      <c r="O84" s="62"/>
      <c r="P84" s="30">
        <v>3368341.02</v>
      </c>
      <c r="Q84" s="31"/>
      <c r="R84" s="31"/>
      <c r="S84" s="30"/>
      <c r="T84" s="31"/>
      <c r="U84" s="31"/>
      <c r="V84" s="30">
        <v>1029202.73</v>
      </c>
      <c r="W84" s="31"/>
      <c r="X84" s="31"/>
      <c r="Y84" s="30">
        <v>8714814.0299999993</v>
      </c>
      <c r="Z84" s="31"/>
      <c r="AA84" s="31"/>
      <c r="AB84" s="62"/>
      <c r="AC84" s="106"/>
      <c r="AD84" s="106"/>
      <c r="AE84" s="30">
        <v>3811.2589521862801</v>
      </c>
      <c r="AF84" s="30">
        <v>3811.2589521862801</v>
      </c>
      <c r="AG84" s="33">
        <v>2022</v>
      </c>
      <c r="AH84" s="1">
        <v>1653003.71</v>
      </c>
      <c r="AI84" s="5">
        <f t="shared" si="24"/>
        <v>352746.6</v>
      </c>
      <c r="AJ84" s="5">
        <f>+(K84*10+L84*20)*12*30</f>
        <v>12449880</v>
      </c>
      <c r="AL84" s="37">
        <f t="shared" si="26"/>
        <v>0</v>
      </c>
      <c r="AM84" s="62"/>
      <c r="AN84" s="62"/>
      <c r="AO84" s="62"/>
      <c r="AP84" s="62"/>
      <c r="AQ84" s="62"/>
      <c r="AR84" s="62"/>
      <c r="AS84" s="62"/>
      <c r="AT84" s="62"/>
      <c r="AU84" s="62">
        <v>8640336.7400000002</v>
      </c>
      <c r="AV84" s="62"/>
      <c r="AW84" s="62"/>
      <c r="AX84" s="62">
        <v>4367516.82</v>
      </c>
      <c r="AY84" s="62"/>
      <c r="AZ84" s="30"/>
      <c r="BA84" s="109">
        <f>62868.6+41635.62</f>
        <v>104504.22</v>
      </c>
      <c r="BB84" s="5">
        <f t="shared" si="23"/>
        <v>13112357.779999999</v>
      </c>
    </row>
    <row r="85" spans="1:54" hidden="1">
      <c r="A85" s="104">
        <f t="shared" si="27"/>
        <v>68</v>
      </c>
      <c r="B85" s="101">
        <f t="shared" si="28"/>
        <v>68</v>
      </c>
      <c r="C85" s="101" t="s">
        <v>185</v>
      </c>
      <c r="D85" s="101" t="s">
        <v>252</v>
      </c>
      <c r="E85" s="102">
        <v>1978</v>
      </c>
      <c r="F85" s="102">
        <v>2013</v>
      </c>
      <c r="G85" s="102" t="s">
        <v>3</v>
      </c>
      <c r="H85" s="102">
        <v>5</v>
      </c>
      <c r="I85" s="102">
        <v>4</v>
      </c>
      <c r="J85" s="62">
        <v>4866.6000000000004</v>
      </c>
      <c r="K85" s="62">
        <v>4226.8</v>
      </c>
      <c r="L85" s="62">
        <v>67</v>
      </c>
      <c r="M85" s="103">
        <v>317</v>
      </c>
      <c r="N85" s="28">
        <f t="shared" si="25"/>
        <v>6811683.4199999999</v>
      </c>
      <c r="O85" s="62"/>
      <c r="P85" s="30">
        <v>2801964.8706000098</v>
      </c>
      <c r="Q85" s="31"/>
      <c r="R85" s="31"/>
      <c r="S85" s="30"/>
      <c r="T85" s="31"/>
      <c r="U85" s="31"/>
      <c r="V85" s="30">
        <v>360566.95649990003</v>
      </c>
      <c r="W85" s="31"/>
      <c r="X85" s="31"/>
      <c r="Y85" s="30">
        <v>3649151.5929000899</v>
      </c>
      <c r="Z85" s="31"/>
      <c r="AA85" s="31"/>
      <c r="AB85" s="62"/>
      <c r="AC85" s="106"/>
      <c r="AD85" s="106"/>
      <c r="AE85" s="30">
        <v>1621.3238079323401</v>
      </c>
      <c r="AF85" s="30">
        <v>1621.3238079323401</v>
      </c>
      <c r="AG85" s="33">
        <v>2022</v>
      </c>
      <c r="AH85" s="1">
        <f>2064874.72-682951.44</f>
        <v>1381923.28</v>
      </c>
      <c r="AI85" s="5">
        <f t="shared" si="24"/>
        <v>444801.6</v>
      </c>
      <c r="AJ85" s="5">
        <f>+(K85*10+L85*20)*12*30-4953727.17</f>
        <v>10745152.83</v>
      </c>
      <c r="AL85" s="37">
        <f t="shared" si="26"/>
        <v>0</v>
      </c>
      <c r="AM85" s="62"/>
      <c r="AN85" s="62"/>
      <c r="AO85" s="62"/>
      <c r="AP85" s="62"/>
      <c r="AQ85" s="62"/>
      <c r="AR85" s="62"/>
      <c r="AS85" s="62"/>
      <c r="AT85" s="62">
        <v>0</v>
      </c>
      <c r="AU85" s="62"/>
      <c r="AV85" s="62">
        <v>0</v>
      </c>
      <c r="AW85" s="62"/>
      <c r="AX85" s="62">
        <v>6748339.8099999996</v>
      </c>
      <c r="AY85" s="62"/>
      <c r="AZ85" s="30"/>
      <c r="BA85" s="109">
        <v>63343.61</v>
      </c>
      <c r="BB85" s="5">
        <f t="shared" si="23"/>
        <v>6811683.4199999999</v>
      </c>
    </row>
    <row r="86" spans="1:54" hidden="1">
      <c r="A86" s="104">
        <f t="shared" si="27"/>
        <v>69</v>
      </c>
      <c r="B86" s="101">
        <f t="shared" si="28"/>
        <v>69</v>
      </c>
      <c r="C86" s="101" t="s">
        <v>185</v>
      </c>
      <c r="D86" s="101" t="s">
        <v>253</v>
      </c>
      <c r="E86" s="102">
        <v>1981</v>
      </c>
      <c r="F86" s="102">
        <v>2009</v>
      </c>
      <c r="G86" s="102" t="s">
        <v>3</v>
      </c>
      <c r="H86" s="102">
        <v>5</v>
      </c>
      <c r="I86" s="102">
        <v>4</v>
      </c>
      <c r="J86" s="62">
        <v>6938.7</v>
      </c>
      <c r="K86" s="62">
        <v>6182.6</v>
      </c>
      <c r="L86" s="62">
        <v>0</v>
      </c>
      <c r="M86" s="103">
        <v>194</v>
      </c>
      <c r="N86" s="28">
        <f t="shared" si="25"/>
        <v>31028207.489999998</v>
      </c>
      <c r="O86" s="62"/>
      <c r="P86" s="62">
        <v>2786108.66</v>
      </c>
      <c r="Q86" s="29"/>
      <c r="R86" s="29"/>
      <c r="S86" s="30"/>
      <c r="T86" s="31"/>
      <c r="U86" s="31"/>
      <c r="V86" s="30">
        <v>2179383.7799999998</v>
      </c>
      <c r="W86" s="31"/>
      <c r="X86" s="31"/>
      <c r="Y86" s="30">
        <v>16449520.216773801</v>
      </c>
      <c r="Z86" s="31"/>
      <c r="AA86" s="31"/>
      <c r="AB86" s="62">
        <v>9613194.8332262002</v>
      </c>
      <c r="AC86" s="106"/>
      <c r="AD86" s="106"/>
      <c r="AE86" s="30">
        <v>5081.8740783446801</v>
      </c>
      <c r="AF86" s="30">
        <v>5081.8740783446801</v>
      </c>
      <c r="AG86" s="33">
        <v>2022</v>
      </c>
      <c r="AH86" s="1">
        <f>2933225.6-137130.98</f>
        <v>2796094.62</v>
      </c>
      <c r="AI86" s="5">
        <f t="shared" si="24"/>
        <v>630625.19999999995</v>
      </c>
      <c r="AJ86" s="5">
        <f>+(K86*10+L86*20)*12*30</f>
        <v>22257360</v>
      </c>
      <c r="AL86" s="37">
        <f t="shared" si="26"/>
        <v>0</v>
      </c>
      <c r="AM86" s="62">
        <v>9954639.8599999994</v>
      </c>
      <c r="AN86" s="62">
        <v>6212728.6200000001</v>
      </c>
      <c r="AO86" s="62"/>
      <c r="AP86" s="62">
        <v>4876418.04</v>
      </c>
      <c r="AQ86" s="62"/>
      <c r="AR86" s="62"/>
      <c r="AS86" s="62"/>
      <c r="AT86" s="62">
        <v>0</v>
      </c>
      <c r="AU86" s="62">
        <v>9984420.9700000007</v>
      </c>
      <c r="AV86" s="62">
        <v>0</v>
      </c>
      <c r="AW86" s="62"/>
      <c r="AX86" s="62"/>
      <c r="AY86" s="62"/>
      <c r="AZ86" s="30"/>
      <c r="BA86" s="40"/>
      <c r="BB86" s="5">
        <f t="shared" si="23"/>
        <v>31028207.489999998</v>
      </c>
    </row>
    <row r="87" spans="1:54" s="142" customFormat="1" hidden="1">
      <c r="A87" s="104">
        <f t="shared" si="27"/>
        <v>70</v>
      </c>
      <c r="B87" s="101">
        <f t="shared" si="28"/>
        <v>70</v>
      </c>
      <c r="C87" s="101" t="s">
        <v>185</v>
      </c>
      <c r="D87" s="101" t="s">
        <v>255</v>
      </c>
      <c r="E87" s="102" t="s">
        <v>216</v>
      </c>
      <c r="F87" s="102"/>
      <c r="G87" s="102" t="s">
        <v>3</v>
      </c>
      <c r="H87" s="102" t="s">
        <v>174</v>
      </c>
      <c r="I87" s="102" t="s">
        <v>175</v>
      </c>
      <c r="J87" s="62">
        <v>8385.68</v>
      </c>
      <c r="K87" s="62">
        <v>7039.3</v>
      </c>
      <c r="L87" s="62">
        <v>0</v>
      </c>
      <c r="M87" s="103">
        <v>255</v>
      </c>
      <c r="N87" s="28">
        <f t="shared" si="25"/>
        <v>8794774.9253160991</v>
      </c>
      <c r="O87" s="62">
        <v>0</v>
      </c>
      <c r="P87" s="30"/>
      <c r="Q87" s="31"/>
      <c r="R87" s="31"/>
      <c r="S87" s="30">
        <v>0</v>
      </c>
      <c r="T87" s="31"/>
      <c r="U87" s="31"/>
      <c r="V87" s="30">
        <v>5101944.1893999996</v>
      </c>
      <c r="W87" s="31"/>
      <c r="X87" s="31"/>
      <c r="Y87" s="30">
        <v>3692830.7359161</v>
      </c>
      <c r="Z87" s="31"/>
      <c r="AA87" s="31"/>
      <c r="AB87" s="62"/>
      <c r="AC87" s="106"/>
      <c r="AD87" s="106"/>
      <c r="AE87" s="30">
        <v>1281.56972116579</v>
      </c>
      <c r="AF87" s="30">
        <v>1172.2830200640001</v>
      </c>
      <c r="AG87" s="33">
        <v>2022</v>
      </c>
      <c r="AH87" s="142">
        <v>4147710.76</v>
      </c>
      <c r="AI87" s="5">
        <f>+(K87*13.29+L87*22.52)*12*0.85</f>
        <v>954233.42939999979</v>
      </c>
      <c r="AJ87" s="5">
        <f>+(K87*13.29+L87*22.52)*12*30</f>
        <v>33678826.919999994</v>
      </c>
      <c r="AK87" s="5"/>
      <c r="AL87" s="37">
        <f t="shared" si="26"/>
        <v>0</v>
      </c>
      <c r="AM87" s="146"/>
      <c r="AN87" s="146"/>
      <c r="AO87" s="146"/>
      <c r="AP87" s="146"/>
      <c r="AQ87" s="146"/>
      <c r="AR87" s="146"/>
      <c r="AS87" s="146"/>
      <c r="AT87" s="146">
        <v>8608489.9199999999</v>
      </c>
      <c r="AU87" s="146"/>
      <c r="AV87" s="146"/>
      <c r="AW87" s="146"/>
      <c r="AX87" s="146"/>
      <c r="AY87" s="146">
        <v>162285.00531609601</v>
      </c>
      <c r="AZ87" s="146">
        <v>24000</v>
      </c>
      <c r="BA87" s="159"/>
      <c r="BB87" s="5">
        <f t="shared" si="23"/>
        <v>8794774.9253160991</v>
      </c>
    </row>
    <row r="88" spans="1:54" hidden="1">
      <c r="A88" s="104">
        <f t="shared" si="27"/>
        <v>71</v>
      </c>
      <c r="B88" s="101">
        <f t="shared" si="28"/>
        <v>71</v>
      </c>
      <c r="C88" s="101" t="s">
        <v>185</v>
      </c>
      <c r="D88" s="101" t="s">
        <v>257</v>
      </c>
      <c r="E88" s="102">
        <v>1990</v>
      </c>
      <c r="F88" s="102">
        <v>2005</v>
      </c>
      <c r="G88" s="102" t="s">
        <v>3</v>
      </c>
      <c r="H88" s="102">
        <v>5</v>
      </c>
      <c r="I88" s="102">
        <v>4</v>
      </c>
      <c r="J88" s="62">
        <v>4982</v>
      </c>
      <c r="K88" s="62">
        <v>4404.6000000000004</v>
      </c>
      <c r="L88" s="62">
        <v>0</v>
      </c>
      <c r="M88" s="103">
        <v>212</v>
      </c>
      <c r="N88" s="28">
        <f t="shared" si="25"/>
        <v>28792487.709999997</v>
      </c>
      <c r="O88" s="62"/>
      <c r="P88" s="30">
        <v>8060872.4299999997</v>
      </c>
      <c r="Q88" s="31"/>
      <c r="R88" s="31"/>
      <c r="S88" s="30"/>
      <c r="T88" s="31"/>
      <c r="U88" s="31"/>
      <c r="V88" s="30">
        <v>2550477</v>
      </c>
      <c r="W88" s="31"/>
      <c r="X88" s="31"/>
      <c r="Y88" s="30">
        <v>16238030.8016122</v>
      </c>
      <c r="Z88" s="31"/>
      <c r="AA88" s="31"/>
      <c r="AB88" s="62">
        <v>1943107.4783878</v>
      </c>
      <c r="AC88" s="106"/>
      <c r="AD88" s="106"/>
      <c r="AE88" s="30">
        <v>6693.4036942315197</v>
      </c>
      <c r="AF88" s="30">
        <v>6693.4036942315197</v>
      </c>
      <c r="AG88" s="33">
        <v>2022</v>
      </c>
      <c r="AH88" s="1">
        <f>2210839.58-109631.78</f>
        <v>2101207.8000000003</v>
      </c>
      <c r="AI88" s="5">
        <f t="shared" ref="AI88:AI111" si="29">+(K88*10+L88*20)*12*0.85</f>
        <v>449269.2</v>
      </c>
      <c r="AJ88" s="5">
        <f>+(K88*10+L88*20)*12*30-126359.21</f>
        <v>15730200.789999999</v>
      </c>
      <c r="AL88" s="37">
        <f t="shared" si="26"/>
        <v>0</v>
      </c>
      <c r="AM88" s="62">
        <v>0</v>
      </c>
      <c r="AN88" s="62">
        <v>0</v>
      </c>
      <c r="AO88" s="62"/>
      <c r="AP88" s="62">
        <v>0</v>
      </c>
      <c r="AQ88" s="62">
        <v>0</v>
      </c>
      <c r="AR88" s="62"/>
      <c r="AS88" s="62"/>
      <c r="AT88" s="62">
        <v>0</v>
      </c>
      <c r="AU88" s="62">
        <v>12527051.33</v>
      </c>
      <c r="AV88" s="62">
        <v>0</v>
      </c>
      <c r="AW88" s="62">
        <v>16115638.25</v>
      </c>
      <c r="AX88" s="62">
        <v>0</v>
      </c>
      <c r="AY88" s="62"/>
      <c r="AZ88" s="30"/>
      <c r="BA88" s="109">
        <f>149798.13</f>
        <v>149798.13</v>
      </c>
      <c r="BB88" s="5">
        <f t="shared" si="23"/>
        <v>28792487.709999997</v>
      </c>
    </row>
    <row r="89" spans="1:54" hidden="1">
      <c r="A89" s="104">
        <f t="shared" si="27"/>
        <v>72</v>
      </c>
      <c r="B89" s="101">
        <f t="shared" si="28"/>
        <v>72</v>
      </c>
      <c r="C89" s="101" t="s">
        <v>185</v>
      </c>
      <c r="D89" s="101" t="s">
        <v>259</v>
      </c>
      <c r="E89" s="102">
        <v>1970</v>
      </c>
      <c r="F89" s="102">
        <v>2013</v>
      </c>
      <c r="G89" s="102" t="s">
        <v>3</v>
      </c>
      <c r="H89" s="102">
        <v>5</v>
      </c>
      <c r="I89" s="102">
        <v>4</v>
      </c>
      <c r="J89" s="62">
        <v>3068</v>
      </c>
      <c r="K89" s="62">
        <v>2483.8000000000002</v>
      </c>
      <c r="L89" s="62">
        <v>584.20000000000005</v>
      </c>
      <c r="M89" s="103">
        <v>142</v>
      </c>
      <c r="N89" s="28">
        <f t="shared" si="25"/>
        <v>1066659.0699999998</v>
      </c>
      <c r="O89" s="62"/>
      <c r="P89" s="30"/>
      <c r="Q89" s="31"/>
      <c r="R89" s="31"/>
      <c r="S89" s="30"/>
      <c r="T89" s="31"/>
      <c r="U89" s="31"/>
      <c r="V89" s="30">
        <v>138246.74536532001</v>
      </c>
      <c r="W89" s="31"/>
      <c r="X89" s="31"/>
      <c r="Y89" s="62">
        <v>928412.32463467994</v>
      </c>
      <c r="Z89" s="29"/>
      <c r="AA89" s="29"/>
      <c r="AB89" s="62"/>
      <c r="AC89" s="106"/>
      <c r="AD89" s="106"/>
      <c r="AE89" s="30">
        <v>389.5879743694</v>
      </c>
      <c r="AF89" s="30">
        <v>389.5879743694</v>
      </c>
      <c r="AG89" s="33">
        <v>2022</v>
      </c>
      <c r="AH89" s="1">
        <v>504168.77</v>
      </c>
      <c r="AI89" s="5">
        <f t="shared" si="29"/>
        <v>372524.39999999997</v>
      </c>
      <c r="AJ89" s="5">
        <f>+(K89*10+L89*20)*12*30</f>
        <v>13147920</v>
      </c>
      <c r="AL89" s="37">
        <f t="shared" si="26"/>
        <v>0</v>
      </c>
      <c r="AM89" s="62"/>
      <c r="AO89" s="62">
        <v>1057009.1599999999</v>
      </c>
      <c r="AP89" s="62"/>
      <c r="AQ89" s="62">
        <v>0</v>
      </c>
      <c r="AR89" s="62"/>
      <c r="AS89" s="62"/>
      <c r="AT89" s="62">
        <v>0</v>
      </c>
      <c r="AV89" s="62">
        <v>0</v>
      </c>
      <c r="AW89" s="62">
        <v>0</v>
      </c>
      <c r="AX89" s="62">
        <v>0</v>
      </c>
      <c r="AY89" s="62"/>
      <c r="AZ89" s="30"/>
      <c r="BA89" s="109">
        <f>9649.91</f>
        <v>9649.91</v>
      </c>
      <c r="BB89" s="5">
        <f t="shared" si="23"/>
        <v>1066659.0699999998</v>
      </c>
    </row>
    <row r="90" spans="1:54" hidden="1">
      <c r="A90" s="104">
        <f t="shared" si="27"/>
        <v>73</v>
      </c>
      <c r="B90" s="101">
        <f t="shared" si="28"/>
        <v>73</v>
      </c>
      <c r="C90" s="101" t="s">
        <v>185</v>
      </c>
      <c r="D90" s="101" t="s">
        <v>260</v>
      </c>
      <c r="E90" s="102">
        <v>1996</v>
      </c>
      <c r="F90" s="102"/>
      <c r="G90" s="102" t="s">
        <v>3</v>
      </c>
      <c r="H90" s="102">
        <v>5</v>
      </c>
      <c r="I90" s="102">
        <v>2</v>
      </c>
      <c r="J90" s="62">
        <v>3019</v>
      </c>
      <c r="K90" s="62">
        <v>2443.9</v>
      </c>
      <c r="L90" s="62">
        <v>0</v>
      </c>
      <c r="M90" s="103">
        <v>97</v>
      </c>
      <c r="N90" s="28">
        <f t="shared" si="25"/>
        <v>5016954.08</v>
      </c>
      <c r="O90" s="62"/>
      <c r="P90" s="30">
        <v>421112.51</v>
      </c>
      <c r="Q90" s="31"/>
      <c r="R90" s="31"/>
      <c r="S90" s="30"/>
      <c r="T90" s="31"/>
      <c r="U90" s="31"/>
      <c r="V90" s="30">
        <v>1310388.0900000001</v>
      </c>
      <c r="W90" s="31"/>
      <c r="X90" s="31"/>
      <c r="Y90" s="30">
        <v>3285453.48</v>
      </c>
      <c r="Z90" s="31"/>
      <c r="AA90" s="31"/>
      <c r="AB90" s="62"/>
      <c r="AC90" s="106"/>
      <c r="AD90" s="106"/>
      <c r="AE90" s="30">
        <v>2280.8228580893901</v>
      </c>
      <c r="AF90" s="30">
        <v>2280.8228580893901</v>
      </c>
      <c r="AG90" s="33">
        <v>2022</v>
      </c>
      <c r="AH90" s="1">
        <v>1738823.16</v>
      </c>
      <c r="AI90" s="5">
        <f t="shared" si="29"/>
        <v>249277.8</v>
      </c>
      <c r="AJ90" s="5">
        <f>+(K90*10+L90*20)*12*30</f>
        <v>8798040</v>
      </c>
      <c r="AL90" s="37">
        <f t="shared" si="26"/>
        <v>0</v>
      </c>
      <c r="AM90" s="62">
        <v>1651323.46</v>
      </c>
      <c r="AN90" s="62"/>
      <c r="AO90" s="62">
        <v>819773.26</v>
      </c>
      <c r="AP90" s="62">
        <v>732192.34</v>
      </c>
      <c r="AQ90" s="62"/>
      <c r="AR90" s="62"/>
      <c r="AS90" s="62"/>
      <c r="AT90" s="62">
        <v>0</v>
      </c>
      <c r="AU90" s="62"/>
      <c r="AV90" s="62">
        <v>0</v>
      </c>
      <c r="AW90" s="62">
        <v>1813665.02</v>
      </c>
      <c r="AX90" s="62">
        <v>0</v>
      </c>
      <c r="AY90" s="62"/>
      <c r="AZ90" s="30"/>
      <c r="BA90" s="109">
        <v>0</v>
      </c>
      <c r="BB90" s="5">
        <f t="shared" ref="BB90:BB121" si="30">N90-AL90</f>
        <v>5016954.08</v>
      </c>
    </row>
    <row r="91" spans="1:54" hidden="1">
      <c r="A91" s="104">
        <f t="shared" si="27"/>
        <v>74</v>
      </c>
      <c r="B91" s="101">
        <f t="shared" si="28"/>
        <v>74</v>
      </c>
      <c r="C91" s="101" t="s">
        <v>185</v>
      </c>
      <c r="D91" s="101" t="s">
        <v>262</v>
      </c>
      <c r="E91" s="102">
        <v>1982</v>
      </c>
      <c r="F91" s="102">
        <v>2013</v>
      </c>
      <c r="G91" s="102" t="s">
        <v>3</v>
      </c>
      <c r="H91" s="102">
        <v>5</v>
      </c>
      <c r="I91" s="102">
        <v>4</v>
      </c>
      <c r="J91" s="62">
        <v>4923.8999999999996</v>
      </c>
      <c r="K91" s="62">
        <v>4353.2</v>
      </c>
      <c r="L91" s="62">
        <v>0</v>
      </c>
      <c r="M91" s="103">
        <v>184</v>
      </c>
      <c r="N91" s="28">
        <f t="shared" si="25"/>
        <v>1966660.12</v>
      </c>
      <c r="O91" s="62"/>
      <c r="P91" s="30"/>
      <c r="Q91" s="31"/>
      <c r="R91" s="31"/>
      <c r="S91" s="30"/>
      <c r="T91" s="31"/>
      <c r="U91" s="31"/>
      <c r="V91" s="146">
        <v>1966660.12</v>
      </c>
      <c r="W91" s="145"/>
      <c r="X91" s="145"/>
      <c r="Y91" s="30"/>
      <c r="Z91" s="31"/>
      <c r="AA91" s="31"/>
      <c r="AB91" s="62"/>
      <c r="AC91" s="106"/>
      <c r="AD91" s="106"/>
      <c r="AE91" s="30">
        <v>461.01092727694601</v>
      </c>
      <c r="AF91" s="30">
        <v>461.01092727694601</v>
      </c>
      <c r="AG91" s="33">
        <v>2022</v>
      </c>
      <c r="AH91" s="1">
        <v>2027227.26</v>
      </c>
      <c r="AI91" s="5">
        <f t="shared" si="29"/>
        <v>444026.39999999997</v>
      </c>
      <c r="AJ91" s="5">
        <f>+(K91*10+L91*20)*12*30</f>
        <v>15671520</v>
      </c>
      <c r="AL91" s="37">
        <f t="shared" si="26"/>
        <v>0</v>
      </c>
      <c r="AM91" s="62">
        <v>0</v>
      </c>
      <c r="AN91" s="62">
        <v>0</v>
      </c>
      <c r="AO91" s="62">
        <v>0</v>
      </c>
      <c r="AP91" s="62">
        <v>0</v>
      </c>
      <c r="AQ91" s="62">
        <v>1842675.65</v>
      </c>
      <c r="AR91" s="62"/>
      <c r="AS91" s="62"/>
      <c r="AT91" s="62">
        <v>0</v>
      </c>
      <c r="AU91" s="62">
        <v>0</v>
      </c>
      <c r="AV91" s="62">
        <v>0</v>
      </c>
      <c r="AW91" s="62">
        <v>0</v>
      </c>
      <c r="AX91" s="62">
        <v>0</v>
      </c>
      <c r="AY91" s="62">
        <v>123984.47</v>
      </c>
      <c r="AZ91" s="62"/>
      <c r="BA91" s="40"/>
      <c r="BB91" s="5">
        <f t="shared" si="30"/>
        <v>1966660.12</v>
      </c>
    </row>
    <row r="92" spans="1:54" hidden="1">
      <c r="A92" s="104">
        <f t="shared" si="27"/>
        <v>75</v>
      </c>
      <c r="B92" s="101">
        <f t="shared" si="28"/>
        <v>75</v>
      </c>
      <c r="C92" s="101" t="s">
        <v>185</v>
      </c>
      <c r="D92" s="101" t="s">
        <v>264</v>
      </c>
      <c r="E92" s="102">
        <v>1981</v>
      </c>
      <c r="F92" s="102">
        <v>2013</v>
      </c>
      <c r="G92" s="102" t="s">
        <v>3</v>
      </c>
      <c r="H92" s="102">
        <v>5</v>
      </c>
      <c r="I92" s="102">
        <v>4</v>
      </c>
      <c r="J92" s="62">
        <v>4944.1000000000004</v>
      </c>
      <c r="K92" s="62">
        <v>4354.8999999999996</v>
      </c>
      <c r="L92" s="62">
        <v>0</v>
      </c>
      <c r="M92" s="103">
        <v>212</v>
      </c>
      <c r="N92" s="28">
        <f t="shared" si="25"/>
        <v>1967908.07</v>
      </c>
      <c r="O92" s="62"/>
      <c r="P92" s="30"/>
      <c r="Q92" s="31"/>
      <c r="R92" s="31"/>
      <c r="S92" s="30"/>
      <c r="T92" s="31"/>
      <c r="U92" s="31"/>
      <c r="V92" s="146">
        <v>1967908.07</v>
      </c>
      <c r="W92" s="145"/>
      <c r="X92" s="145"/>
      <c r="Y92" s="30"/>
      <c r="Z92" s="31"/>
      <c r="AA92" s="31"/>
      <c r="AB92" s="62"/>
      <c r="AC92" s="106"/>
      <c r="AD92" s="106"/>
      <c r="AE92" s="30">
        <v>461.106314879791</v>
      </c>
      <c r="AF92" s="30">
        <v>461.106314879791</v>
      </c>
      <c r="AG92" s="33">
        <v>2022</v>
      </c>
      <c r="AH92" s="1">
        <v>2139968.2200000002</v>
      </c>
      <c r="AI92" s="5">
        <f t="shared" si="29"/>
        <v>444199.8</v>
      </c>
      <c r="AJ92" s="5">
        <f>+(K92*10+L92*20)*12*30</f>
        <v>15677640</v>
      </c>
      <c r="AL92" s="37">
        <f t="shared" si="26"/>
        <v>0</v>
      </c>
      <c r="AM92" s="62">
        <v>0</v>
      </c>
      <c r="AN92" s="62">
        <v>0</v>
      </c>
      <c r="AO92" s="62">
        <v>0</v>
      </c>
      <c r="AP92" s="62">
        <v>0</v>
      </c>
      <c r="AQ92" s="62">
        <v>1840005.31</v>
      </c>
      <c r="AR92" s="62"/>
      <c r="AS92" s="62"/>
      <c r="AT92" s="62">
        <v>0</v>
      </c>
      <c r="AU92" s="62">
        <v>0</v>
      </c>
      <c r="AV92" s="62">
        <v>0</v>
      </c>
      <c r="AW92" s="62">
        <v>0</v>
      </c>
      <c r="AX92" s="62">
        <v>0</v>
      </c>
      <c r="AY92" s="62">
        <v>127902.76</v>
      </c>
      <c r="AZ92" s="62"/>
      <c r="BA92" s="40"/>
      <c r="BB92" s="5">
        <f t="shared" si="30"/>
        <v>1967908.07</v>
      </c>
    </row>
    <row r="93" spans="1:54" hidden="1">
      <c r="A93" s="104">
        <f t="shared" si="27"/>
        <v>76</v>
      </c>
      <c r="B93" s="101">
        <f t="shared" si="28"/>
        <v>76</v>
      </c>
      <c r="C93" s="101" t="s">
        <v>185</v>
      </c>
      <c r="D93" s="101" t="s">
        <v>266</v>
      </c>
      <c r="E93" s="102">
        <v>1985</v>
      </c>
      <c r="F93" s="102">
        <v>2013</v>
      </c>
      <c r="G93" s="102" t="s">
        <v>3</v>
      </c>
      <c r="H93" s="102">
        <v>5</v>
      </c>
      <c r="I93" s="102">
        <v>4</v>
      </c>
      <c r="J93" s="62">
        <v>4831.5</v>
      </c>
      <c r="K93" s="62">
        <v>4248.8999999999996</v>
      </c>
      <c r="L93" s="62">
        <v>0</v>
      </c>
      <c r="M93" s="103">
        <v>185</v>
      </c>
      <c r="N93" s="28">
        <f t="shared" si="25"/>
        <v>2104373.4299999997</v>
      </c>
      <c r="O93" s="62"/>
      <c r="P93" s="30"/>
      <c r="Q93" s="31"/>
      <c r="R93" s="31"/>
      <c r="S93" s="30"/>
      <c r="T93" s="31"/>
      <c r="U93" s="31"/>
      <c r="V93" s="30">
        <v>1146251.6499999999</v>
      </c>
      <c r="W93" s="31"/>
      <c r="X93" s="31"/>
      <c r="Y93" s="30">
        <v>958121.78</v>
      </c>
      <c r="Z93" s="31"/>
      <c r="AA93" s="31"/>
      <c r="AB93" s="62"/>
      <c r="AC93" s="106"/>
      <c r="AD93" s="106"/>
      <c r="AE93" s="30">
        <v>512.85307255995701</v>
      </c>
      <c r="AF93" s="30">
        <v>512.85307255995701</v>
      </c>
      <c r="AG93" s="33">
        <v>2022</v>
      </c>
      <c r="AH93" s="1">
        <f>2031310.17-1377300.63</f>
        <v>654009.54</v>
      </c>
      <c r="AI93" s="5">
        <f t="shared" si="29"/>
        <v>433387.8</v>
      </c>
      <c r="AJ93" s="5">
        <f>+(K93*10+L93*20)*12*30-4430181.56</f>
        <v>10865858.440000001</v>
      </c>
      <c r="AL93" s="37">
        <f t="shared" si="26"/>
        <v>0</v>
      </c>
      <c r="AM93" s="62">
        <v>0</v>
      </c>
      <c r="AN93" s="62">
        <v>0</v>
      </c>
      <c r="AO93" s="62">
        <v>0</v>
      </c>
      <c r="AP93" s="62">
        <v>0</v>
      </c>
      <c r="AQ93" s="62">
        <v>1980515.44</v>
      </c>
      <c r="AR93" s="62"/>
      <c r="AS93" s="62"/>
      <c r="AT93" s="62">
        <v>0</v>
      </c>
      <c r="AU93" s="62"/>
      <c r="AV93" s="62">
        <v>0</v>
      </c>
      <c r="AW93" s="62">
        <v>0</v>
      </c>
      <c r="AX93" s="62"/>
      <c r="AY93" s="62">
        <v>123857.99</v>
      </c>
      <c r="AZ93" s="30"/>
      <c r="BA93" s="40"/>
      <c r="BB93" s="5">
        <f t="shared" si="30"/>
        <v>2104373.4299999997</v>
      </c>
    </row>
    <row r="94" spans="1:54" hidden="1">
      <c r="A94" s="104">
        <f t="shared" si="27"/>
        <v>77</v>
      </c>
      <c r="B94" s="101">
        <f t="shared" si="28"/>
        <v>77</v>
      </c>
      <c r="C94" s="101" t="s">
        <v>185</v>
      </c>
      <c r="D94" s="101" t="s">
        <v>267</v>
      </c>
      <c r="E94" s="102">
        <v>1973</v>
      </c>
      <c r="F94" s="102">
        <v>2013</v>
      </c>
      <c r="G94" s="102" t="s">
        <v>3</v>
      </c>
      <c r="H94" s="102">
        <v>4</v>
      </c>
      <c r="I94" s="102">
        <v>4</v>
      </c>
      <c r="J94" s="62">
        <v>2799.6</v>
      </c>
      <c r="K94" s="62">
        <v>1950.2</v>
      </c>
      <c r="L94" s="62">
        <v>849.4</v>
      </c>
      <c r="M94" s="103">
        <v>97</v>
      </c>
      <c r="N94" s="28">
        <f t="shared" si="25"/>
        <v>856186.02</v>
      </c>
      <c r="O94" s="62"/>
      <c r="P94" s="30"/>
      <c r="Q94" s="31"/>
      <c r="R94" s="31"/>
      <c r="S94" s="30"/>
      <c r="T94" s="52"/>
      <c r="U94" s="52"/>
      <c r="Y94" s="30">
        <v>856186.02</v>
      </c>
      <c r="Z94" s="31"/>
      <c r="AA94" s="31"/>
      <c r="AB94" s="62"/>
      <c r="AC94" s="106"/>
      <c r="AD94" s="106"/>
      <c r="AE94" s="30">
        <v>305.82441063008997</v>
      </c>
      <c r="AF94" s="30">
        <v>305.82441063008997</v>
      </c>
      <c r="AG94" s="33">
        <v>2022</v>
      </c>
      <c r="AH94" s="1">
        <v>1792695.27</v>
      </c>
      <c r="AI94" s="5">
        <f t="shared" si="29"/>
        <v>372198</v>
      </c>
      <c r="AJ94" s="5">
        <f>+(K94*10+L94*20)*12*30</f>
        <v>13136400</v>
      </c>
      <c r="AL94" s="37">
        <f t="shared" si="26"/>
        <v>0</v>
      </c>
      <c r="AM94" s="62">
        <v>0</v>
      </c>
      <c r="AN94" s="62">
        <v>0</v>
      </c>
      <c r="AO94" s="62">
        <v>0</v>
      </c>
      <c r="AP94" s="62">
        <v>0</v>
      </c>
      <c r="AQ94" s="62">
        <v>856186.02</v>
      </c>
      <c r="AR94" s="62"/>
      <c r="AS94" s="62"/>
      <c r="AT94" s="62">
        <v>0</v>
      </c>
      <c r="AU94" s="62">
        <v>0</v>
      </c>
      <c r="AV94" s="62">
        <v>0</v>
      </c>
      <c r="AW94" s="62"/>
      <c r="AX94" s="62"/>
      <c r="AY94" s="62"/>
      <c r="AZ94" s="30"/>
      <c r="BA94" s="156"/>
      <c r="BB94" s="5">
        <f t="shared" si="30"/>
        <v>856186.02</v>
      </c>
    </row>
    <row r="95" spans="1:54" hidden="1">
      <c r="A95" s="104">
        <f t="shared" si="27"/>
        <v>78</v>
      </c>
      <c r="B95" s="101">
        <f t="shared" si="28"/>
        <v>78</v>
      </c>
      <c r="C95" s="101" t="s">
        <v>185</v>
      </c>
      <c r="D95" s="101" t="s">
        <v>268</v>
      </c>
      <c r="E95" s="102">
        <v>1976</v>
      </c>
      <c r="F95" s="102">
        <v>2013</v>
      </c>
      <c r="G95" s="102" t="s">
        <v>3</v>
      </c>
      <c r="H95" s="102">
        <v>4</v>
      </c>
      <c r="I95" s="102">
        <v>6</v>
      </c>
      <c r="J95" s="62">
        <v>5727.3</v>
      </c>
      <c r="K95" s="62">
        <v>4928.1000000000004</v>
      </c>
      <c r="L95" s="62">
        <v>70.7</v>
      </c>
      <c r="M95" s="103">
        <v>234</v>
      </c>
      <c r="N95" s="28">
        <f t="shared" si="25"/>
        <v>2284407.2000000002</v>
      </c>
      <c r="O95" s="62"/>
      <c r="P95" s="30">
        <v>1556194.47</v>
      </c>
      <c r="Q95" s="31"/>
      <c r="R95" s="31"/>
      <c r="S95" s="30"/>
      <c r="T95" s="31"/>
      <c r="U95" s="31"/>
      <c r="V95" s="30">
        <v>274059.371186</v>
      </c>
      <c r="W95" s="31"/>
      <c r="X95" s="31"/>
      <c r="Y95" s="30">
        <v>454153.35881399998</v>
      </c>
      <c r="Z95" s="31"/>
      <c r="AA95" s="31"/>
      <c r="AB95" s="62"/>
      <c r="AC95" s="106"/>
      <c r="AD95" s="106"/>
      <c r="AE95" s="30">
        <v>459.36173305313298</v>
      </c>
      <c r="AF95" s="30">
        <v>459.36173305313298</v>
      </c>
      <c r="AG95" s="33">
        <v>2022</v>
      </c>
      <c r="AH95" s="1">
        <f>2269068.63-1153662.35-337091.58</f>
        <v>778314.69999999972</v>
      </c>
      <c r="AI95" s="5">
        <f t="shared" si="29"/>
        <v>517089</v>
      </c>
      <c r="AJ95" s="5">
        <f>+(K95*10+L95*20)*12*30-1213002.672-2895880.10928442</f>
        <v>14141317.218715582</v>
      </c>
      <c r="AL95" s="37">
        <f t="shared" si="26"/>
        <v>0</v>
      </c>
      <c r="AM95" s="62">
        <v>0</v>
      </c>
      <c r="AN95" s="62">
        <v>0</v>
      </c>
      <c r="AO95" s="62"/>
      <c r="AP95" s="62">
        <v>0</v>
      </c>
      <c r="AQ95" s="62">
        <v>2082908.19</v>
      </c>
      <c r="AR95" s="62"/>
      <c r="AS95" s="62"/>
      <c r="AT95" s="62">
        <v>0</v>
      </c>
      <c r="AU95" s="62">
        <v>0</v>
      </c>
      <c r="AV95" s="62">
        <v>0</v>
      </c>
      <c r="AW95" s="62">
        <v>0</v>
      </c>
      <c r="AX95" s="62">
        <v>0</v>
      </c>
      <c r="AY95" s="62">
        <v>199499.01</v>
      </c>
      <c r="AZ95" s="30">
        <v>2000</v>
      </c>
      <c r="BA95" s="40"/>
      <c r="BB95" s="5">
        <f t="shared" si="30"/>
        <v>2284407.2000000002</v>
      </c>
    </row>
    <row r="96" spans="1:54" hidden="1">
      <c r="A96" s="104">
        <f t="shared" si="27"/>
        <v>79</v>
      </c>
      <c r="B96" s="101">
        <f t="shared" si="28"/>
        <v>79</v>
      </c>
      <c r="C96" s="101" t="s">
        <v>185</v>
      </c>
      <c r="D96" s="101" t="s">
        <v>270</v>
      </c>
      <c r="E96" s="102">
        <v>1979</v>
      </c>
      <c r="F96" s="102">
        <v>2013</v>
      </c>
      <c r="G96" s="102" t="s">
        <v>3</v>
      </c>
      <c r="H96" s="102">
        <v>4</v>
      </c>
      <c r="I96" s="102">
        <v>6</v>
      </c>
      <c r="J96" s="62">
        <v>5599.1</v>
      </c>
      <c r="K96" s="62">
        <v>5005.8999999999996</v>
      </c>
      <c r="L96" s="62">
        <v>0</v>
      </c>
      <c r="M96" s="103">
        <v>207</v>
      </c>
      <c r="N96" s="28">
        <f t="shared" si="25"/>
        <v>16584444.219599999</v>
      </c>
      <c r="O96" s="62"/>
      <c r="P96" s="30"/>
      <c r="Q96" s="31"/>
      <c r="R96" s="31"/>
      <c r="S96" s="30"/>
      <c r="T96" s="31"/>
      <c r="U96" s="31"/>
      <c r="V96" s="30">
        <v>2768356.94</v>
      </c>
      <c r="W96" s="31"/>
      <c r="X96" s="31"/>
      <c r="Y96" s="30">
        <v>13816087.2796</v>
      </c>
      <c r="Z96" s="31"/>
      <c r="AA96" s="31"/>
      <c r="AB96" s="62"/>
      <c r="AC96" s="106"/>
      <c r="AD96" s="106"/>
      <c r="AE96" s="30">
        <v>3356.4239152289401</v>
      </c>
      <c r="AF96" s="30">
        <v>3356.4239152289401</v>
      </c>
      <c r="AG96" s="33">
        <v>2022</v>
      </c>
      <c r="AH96" s="1">
        <v>2371814.14</v>
      </c>
      <c r="AI96" s="5">
        <f t="shared" si="29"/>
        <v>510601.8</v>
      </c>
      <c r="AJ96" s="5">
        <f>+(K96*10+L96*20)*12*30-3198417.38</f>
        <v>14822822.620000001</v>
      </c>
      <c r="AL96" s="37">
        <f t="shared" si="26"/>
        <v>0</v>
      </c>
      <c r="AM96" s="62">
        <v>8268601.6299999999</v>
      </c>
      <c r="AN96" s="62"/>
      <c r="AO96" s="62">
        <v>3198417.38</v>
      </c>
      <c r="AP96" s="62">
        <v>2797224.34</v>
      </c>
      <c r="AQ96" s="62"/>
      <c r="AR96" s="62"/>
      <c r="AS96" s="62"/>
      <c r="AT96" s="62">
        <v>0</v>
      </c>
      <c r="AU96" s="62">
        <v>0</v>
      </c>
      <c r="AV96" s="62">
        <v>0</v>
      </c>
      <c r="AW96" s="62">
        <v>0</v>
      </c>
      <c r="AX96" s="62">
        <v>0</v>
      </c>
      <c r="AY96" s="62">
        <v>1945255.4768000001</v>
      </c>
      <c r="AZ96" s="30">
        <v>203313.06280000001</v>
      </c>
      <c r="BA96" s="109">
        <f>100443.46+35541.21+35647.66</f>
        <v>171632.33000000002</v>
      </c>
      <c r="BB96" s="5">
        <f t="shared" si="30"/>
        <v>16584444.219599999</v>
      </c>
    </row>
    <row r="97" spans="1:54" hidden="1">
      <c r="A97" s="104">
        <f t="shared" si="27"/>
        <v>80</v>
      </c>
      <c r="B97" s="101">
        <f t="shared" si="28"/>
        <v>80</v>
      </c>
      <c r="C97" s="101" t="s">
        <v>185</v>
      </c>
      <c r="D97" s="101" t="s">
        <v>272</v>
      </c>
      <c r="E97" s="102">
        <v>1976</v>
      </c>
      <c r="F97" s="102">
        <v>2013</v>
      </c>
      <c r="G97" s="102" t="s">
        <v>3</v>
      </c>
      <c r="H97" s="102">
        <v>4</v>
      </c>
      <c r="I97" s="102">
        <v>6</v>
      </c>
      <c r="J97" s="62">
        <v>5761.37</v>
      </c>
      <c r="K97" s="62">
        <v>4953.17</v>
      </c>
      <c r="L97" s="62">
        <v>0</v>
      </c>
      <c r="M97" s="103">
        <v>208</v>
      </c>
      <c r="N97" s="28">
        <f t="shared" si="25"/>
        <v>6345618.8910514396</v>
      </c>
      <c r="O97" s="62"/>
      <c r="P97" s="30"/>
      <c r="Q97" s="31"/>
      <c r="R97" s="31"/>
      <c r="S97" s="30"/>
      <c r="T97" s="31"/>
      <c r="U97" s="31"/>
      <c r="V97" s="30">
        <v>3001913.74</v>
      </c>
      <c r="W97" s="31"/>
      <c r="X97" s="31"/>
      <c r="Y97" s="30">
        <v>3343705.1510514398</v>
      </c>
      <c r="Z97" s="31"/>
      <c r="AA97" s="31"/>
      <c r="AB97" s="30"/>
      <c r="AC97" s="32"/>
      <c r="AD97" s="32"/>
      <c r="AE97" s="62">
        <v>1397.2343773615</v>
      </c>
      <c r="AF97" s="62">
        <v>1397.2343773615</v>
      </c>
      <c r="AG97" s="33">
        <v>2022</v>
      </c>
      <c r="AH97" s="1">
        <f>2496690.4</f>
        <v>2496690.4</v>
      </c>
      <c r="AI97" s="5">
        <f t="shared" si="29"/>
        <v>505223.33999999991</v>
      </c>
      <c r="AJ97" s="5">
        <f>+(K97*10+L97*20)*12*30</f>
        <v>17831411.999999996</v>
      </c>
      <c r="AL97" s="37">
        <f t="shared" si="26"/>
        <v>0</v>
      </c>
      <c r="AM97" s="62">
        <v>0</v>
      </c>
      <c r="AN97" s="62"/>
      <c r="AO97" s="62">
        <v>3491728.21</v>
      </c>
      <c r="AP97" s="62"/>
      <c r="AQ97" s="62"/>
      <c r="AR97" s="62"/>
      <c r="AS97" s="62"/>
      <c r="AT97" s="62">
        <v>0</v>
      </c>
      <c r="AU97" s="62">
        <v>0</v>
      </c>
      <c r="AV97" s="62">
        <v>0</v>
      </c>
      <c r="AW97" s="62">
        <v>0</v>
      </c>
      <c r="AX97" s="62"/>
      <c r="AY97" s="62">
        <v>2595059.9045922202</v>
      </c>
      <c r="AZ97" s="30">
        <v>223901.30645922199</v>
      </c>
      <c r="BA97" s="109">
        <f>34929.47</f>
        <v>34929.47</v>
      </c>
      <c r="BB97" s="5">
        <f t="shared" si="30"/>
        <v>6345618.8910514396</v>
      </c>
    </row>
    <row r="98" spans="1:54" hidden="1">
      <c r="A98" s="104">
        <f t="shared" si="27"/>
        <v>81</v>
      </c>
      <c r="B98" s="101">
        <f t="shared" si="28"/>
        <v>81</v>
      </c>
      <c r="C98" s="101" t="s">
        <v>185</v>
      </c>
      <c r="D98" s="101" t="s">
        <v>274</v>
      </c>
      <c r="E98" s="102">
        <v>1964</v>
      </c>
      <c r="F98" s="102">
        <v>1978</v>
      </c>
      <c r="G98" s="102" t="s">
        <v>3</v>
      </c>
      <c r="H98" s="102">
        <v>4</v>
      </c>
      <c r="I98" s="102">
        <v>4</v>
      </c>
      <c r="J98" s="62">
        <v>2691.4</v>
      </c>
      <c r="K98" s="62">
        <v>2511.6</v>
      </c>
      <c r="L98" s="62">
        <v>55</v>
      </c>
      <c r="M98" s="103">
        <v>136</v>
      </c>
      <c r="N98" s="28">
        <f t="shared" si="25"/>
        <v>9789695.0500000007</v>
      </c>
      <c r="O98" s="62"/>
      <c r="P98" s="30">
        <v>1737458.06</v>
      </c>
      <c r="Q98" s="31"/>
      <c r="R98" s="31"/>
      <c r="S98" s="30"/>
      <c r="T98" s="31"/>
      <c r="U98" s="31"/>
      <c r="V98" s="30">
        <v>1030975.08</v>
      </c>
      <c r="W98" s="31"/>
      <c r="X98" s="31"/>
      <c r="Y98" s="30">
        <v>7021261.9100000001</v>
      </c>
      <c r="Z98" s="31"/>
      <c r="AA98" s="31"/>
      <c r="AB98" s="62"/>
      <c r="AC98" s="106"/>
      <c r="AD98" s="106"/>
      <c r="AE98" s="30">
        <v>3907.5732620233198</v>
      </c>
      <c r="AF98" s="30">
        <v>3907.5732620233198</v>
      </c>
      <c r="AG98" s="33">
        <v>2022</v>
      </c>
      <c r="AH98" s="1">
        <v>1127947.9099999999</v>
      </c>
      <c r="AI98" s="5">
        <f t="shared" si="29"/>
        <v>267403.2</v>
      </c>
      <c r="AJ98" s="5">
        <f>+(K98*10+L98*20)*12*30-1866218.37</f>
        <v>7571541.6299999999</v>
      </c>
      <c r="AL98" s="37">
        <f t="shared" si="26"/>
        <v>0</v>
      </c>
      <c r="AM98" s="62">
        <v>2770302.43</v>
      </c>
      <c r="AN98" s="62"/>
      <c r="AO98" s="162"/>
      <c r="AP98" s="62"/>
      <c r="AQ98" s="62"/>
      <c r="AR98" s="62"/>
      <c r="AS98" s="62"/>
      <c r="AT98" s="62">
        <v>0</v>
      </c>
      <c r="AU98" s="62">
        <v>6779379.8200000003</v>
      </c>
      <c r="AV98" s="62">
        <v>0</v>
      </c>
      <c r="AW98" s="62">
        <v>0</v>
      </c>
      <c r="AX98" s="62">
        <v>0</v>
      </c>
      <c r="AY98" s="62">
        <v>216012.79999999999</v>
      </c>
      <c r="AZ98" s="30">
        <v>24000</v>
      </c>
      <c r="BA98" s="40"/>
      <c r="BB98" s="5">
        <f t="shared" si="30"/>
        <v>9789695.0500000007</v>
      </c>
    </row>
    <row r="99" spans="1:54" hidden="1">
      <c r="A99" s="104">
        <f t="shared" si="27"/>
        <v>82</v>
      </c>
      <c r="B99" s="101">
        <f t="shared" si="28"/>
        <v>82</v>
      </c>
      <c r="C99" s="101" t="s">
        <v>185</v>
      </c>
      <c r="D99" s="101" t="s">
        <v>275</v>
      </c>
      <c r="E99" s="102">
        <v>1964</v>
      </c>
      <c r="F99" s="102">
        <v>2013</v>
      </c>
      <c r="G99" s="102" t="s">
        <v>3</v>
      </c>
      <c r="H99" s="102">
        <v>4</v>
      </c>
      <c r="I99" s="102">
        <v>2</v>
      </c>
      <c r="J99" s="62">
        <v>1305.4000000000001</v>
      </c>
      <c r="K99" s="62">
        <v>1212.2</v>
      </c>
      <c r="L99" s="62">
        <v>0</v>
      </c>
      <c r="M99" s="103">
        <v>58</v>
      </c>
      <c r="N99" s="28">
        <f t="shared" si="25"/>
        <v>5315487.6500000004</v>
      </c>
      <c r="O99" s="62"/>
      <c r="P99" s="30">
        <v>474969.94</v>
      </c>
      <c r="Q99" s="31"/>
      <c r="R99" s="31"/>
      <c r="S99" s="30"/>
      <c r="T99" s="31"/>
      <c r="U99" s="31"/>
      <c r="V99" s="30">
        <v>552763.5</v>
      </c>
      <c r="W99" s="31"/>
      <c r="X99" s="31"/>
      <c r="Y99" s="30">
        <v>4287754.21</v>
      </c>
      <c r="Z99" s="31"/>
      <c r="AA99" s="31"/>
      <c r="AB99" s="62"/>
      <c r="AC99" s="106"/>
      <c r="AD99" s="106"/>
      <c r="AE99" s="30">
        <v>4437.7232202459199</v>
      </c>
      <c r="AF99" s="30">
        <v>4437.7232202459199</v>
      </c>
      <c r="AG99" s="33">
        <v>2022</v>
      </c>
      <c r="AH99" s="1">
        <f>572097.59-28183.24</f>
        <v>543914.35</v>
      </c>
      <c r="AI99" s="5">
        <f t="shared" si="29"/>
        <v>123644.4</v>
      </c>
      <c r="AJ99" s="5">
        <f>+(K99*10+L99*20)*12*30-225791.95</f>
        <v>4138128.05</v>
      </c>
      <c r="AL99" s="37">
        <f t="shared" si="26"/>
        <v>0</v>
      </c>
      <c r="AM99" s="62">
        <v>1643046.08</v>
      </c>
      <c r="AN99" s="62"/>
      <c r="AO99" s="162"/>
      <c r="AP99" s="62"/>
      <c r="AQ99" s="62"/>
      <c r="AR99" s="62"/>
      <c r="AS99" s="62"/>
      <c r="AT99" s="62">
        <v>0</v>
      </c>
      <c r="AU99" s="62">
        <v>3461614.25</v>
      </c>
      <c r="AV99" s="62">
        <v>0</v>
      </c>
      <c r="AW99" s="62">
        <v>0</v>
      </c>
      <c r="AX99" s="62">
        <v>0</v>
      </c>
      <c r="AY99" s="62">
        <v>156962.18</v>
      </c>
      <c r="AZ99" s="30">
        <v>24000</v>
      </c>
      <c r="BA99" s="109">
        <f>29865.14</f>
        <v>29865.14</v>
      </c>
      <c r="BB99" s="5">
        <f t="shared" si="30"/>
        <v>5315487.6500000004</v>
      </c>
    </row>
    <row r="100" spans="1:54" hidden="1">
      <c r="A100" s="104">
        <f t="shared" si="27"/>
        <v>83</v>
      </c>
      <c r="B100" s="101">
        <f t="shared" si="28"/>
        <v>83</v>
      </c>
      <c r="C100" s="101" t="s">
        <v>185</v>
      </c>
      <c r="D100" s="101" t="s">
        <v>276</v>
      </c>
      <c r="E100" s="102">
        <v>1964</v>
      </c>
      <c r="F100" s="102">
        <v>2013</v>
      </c>
      <c r="G100" s="102" t="s">
        <v>3</v>
      </c>
      <c r="H100" s="102">
        <v>4</v>
      </c>
      <c r="I100" s="102">
        <v>2</v>
      </c>
      <c r="J100" s="62">
        <v>1348</v>
      </c>
      <c r="K100" s="62">
        <v>1248.9000000000001</v>
      </c>
      <c r="L100" s="62">
        <v>0</v>
      </c>
      <c r="M100" s="103">
        <v>74</v>
      </c>
      <c r="N100" s="28">
        <f t="shared" si="25"/>
        <v>3123256.04</v>
      </c>
      <c r="O100" s="62"/>
      <c r="P100" s="30"/>
      <c r="Q100" s="31"/>
      <c r="R100" s="31"/>
      <c r="S100" s="30"/>
      <c r="T100" s="31"/>
      <c r="U100" s="31"/>
      <c r="V100" s="30">
        <v>228782.46</v>
      </c>
      <c r="W100" s="31"/>
      <c r="X100" s="31"/>
      <c r="Y100" s="30">
        <v>2894473.58</v>
      </c>
      <c r="Z100" s="31"/>
      <c r="AA100" s="31"/>
      <c r="AB100" s="62"/>
      <c r="AC100" s="106"/>
      <c r="AD100" s="106"/>
      <c r="AE100" s="30">
        <v>2646.4424873643002</v>
      </c>
      <c r="AF100" s="30">
        <v>2646.4424873643002</v>
      </c>
      <c r="AG100" s="33">
        <v>2022</v>
      </c>
      <c r="AH100" s="1">
        <v>546149.31000000006</v>
      </c>
      <c r="AI100" s="5">
        <f t="shared" si="29"/>
        <v>127387.8</v>
      </c>
      <c r="AJ100" s="5">
        <f>+(K100*10+L100*20)*12*30</f>
        <v>4496040</v>
      </c>
      <c r="AL100" s="37">
        <f t="shared" si="26"/>
        <v>0</v>
      </c>
      <c r="AM100" s="62"/>
      <c r="AN100" s="62"/>
      <c r="AO100" s="162">
        <v>417598.24</v>
      </c>
      <c r="AP100" s="62"/>
      <c r="AQ100" s="62"/>
      <c r="AR100" s="62"/>
      <c r="AS100" s="62"/>
      <c r="AT100" s="62">
        <v>0</v>
      </c>
      <c r="AU100" s="62">
        <v>2705657.8</v>
      </c>
      <c r="AV100" s="62">
        <v>0</v>
      </c>
      <c r="AW100" s="62">
        <v>0</v>
      </c>
      <c r="AX100" s="62">
        <v>0</v>
      </c>
      <c r="AY100" s="62"/>
      <c r="AZ100" s="30"/>
      <c r="BA100" s="40"/>
      <c r="BB100" s="5">
        <f t="shared" si="30"/>
        <v>3123256.04</v>
      </c>
    </row>
    <row r="101" spans="1:54" hidden="1">
      <c r="A101" s="104">
        <f t="shared" si="27"/>
        <v>84</v>
      </c>
      <c r="B101" s="101">
        <f t="shared" si="28"/>
        <v>84</v>
      </c>
      <c r="C101" s="101" t="s">
        <v>185</v>
      </c>
      <c r="D101" s="101" t="s">
        <v>277</v>
      </c>
      <c r="E101" s="102">
        <v>1979</v>
      </c>
      <c r="F101" s="102">
        <v>2013</v>
      </c>
      <c r="G101" s="102" t="s">
        <v>3</v>
      </c>
      <c r="H101" s="102">
        <v>4</v>
      </c>
      <c r="I101" s="102">
        <v>4</v>
      </c>
      <c r="J101" s="62">
        <v>3976.8</v>
      </c>
      <c r="K101" s="62">
        <v>3445</v>
      </c>
      <c r="L101" s="62">
        <v>0</v>
      </c>
      <c r="M101" s="103">
        <v>147</v>
      </c>
      <c r="N101" s="28">
        <f t="shared" si="25"/>
        <v>11055411.039999999</v>
      </c>
      <c r="O101" s="62"/>
      <c r="P101" s="30"/>
      <c r="Q101" s="31"/>
      <c r="R101" s="31"/>
      <c r="S101" s="30"/>
      <c r="T101" s="31"/>
      <c r="U101" s="31"/>
      <c r="V101" s="30">
        <v>1880810.18</v>
      </c>
      <c r="W101" s="31"/>
      <c r="X101" s="31"/>
      <c r="Y101" s="30">
        <v>9174600.8599999994</v>
      </c>
      <c r="Z101" s="31"/>
      <c r="AA101" s="31"/>
      <c r="AB101" s="62"/>
      <c r="AC101" s="106"/>
      <c r="AD101" s="106"/>
      <c r="AE101" s="30">
        <v>3261.87863357678</v>
      </c>
      <c r="AF101" s="30">
        <v>3261.87863357678</v>
      </c>
      <c r="AG101" s="33">
        <v>2022</v>
      </c>
      <c r="AH101" s="1">
        <v>1631711.2</v>
      </c>
      <c r="AI101" s="5">
        <f t="shared" si="29"/>
        <v>351390</v>
      </c>
      <c r="AJ101" s="5">
        <f>+(K101*10+L101*20)*12*30</f>
        <v>12402000</v>
      </c>
      <c r="AL101" s="37">
        <f t="shared" si="26"/>
        <v>0</v>
      </c>
      <c r="AM101" s="62">
        <v>6273586.1500000004</v>
      </c>
      <c r="AN101" s="62"/>
      <c r="AO101" s="162">
        <v>1824432.9</v>
      </c>
      <c r="AP101" s="62">
        <v>2750949.97</v>
      </c>
      <c r="AQ101" s="62"/>
      <c r="AR101" s="62"/>
      <c r="AS101" s="62"/>
      <c r="AT101" s="62">
        <v>0</v>
      </c>
      <c r="AU101" s="62">
        <v>0</v>
      </c>
      <c r="AV101" s="62">
        <v>0</v>
      </c>
      <c r="AW101" s="62">
        <v>0</v>
      </c>
      <c r="AX101" s="62">
        <v>0</v>
      </c>
      <c r="AY101" s="62">
        <v>75835.89</v>
      </c>
      <c r="AZ101" s="30">
        <v>18000</v>
      </c>
      <c r="BA101" s="109">
        <f>112606.13</f>
        <v>112606.13</v>
      </c>
      <c r="BB101" s="5">
        <f t="shared" si="30"/>
        <v>11055411.039999999</v>
      </c>
    </row>
    <row r="102" spans="1:54" hidden="1">
      <c r="A102" s="104">
        <f t="shared" si="27"/>
        <v>85</v>
      </c>
      <c r="B102" s="101">
        <f t="shared" si="28"/>
        <v>85</v>
      </c>
      <c r="C102" s="101" t="s">
        <v>185</v>
      </c>
      <c r="D102" s="101" t="s">
        <v>278</v>
      </c>
      <c r="E102" s="102">
        <v>1979</v>
      </c>
      <c r="F102" s="102">
        <v>2013</v>
      </c>
      <c r="G102" s="102" t="s">
        <v>3</v>
      </c>
      <c r="H102" s="102">
        <v>4</v>
      </c>
      <c r="I102" s="102">
        <v>4</v>
      </c>
      <c r="J102" s="62">
        <v>3917.8</v>
      </c>
      <c r="K102" s="62">
        <v>3440.2</v>
      </c>
      <c r="L102" s="62">
        <v>0</v>
      </c>
      <c r="M102" s="103">
        <v>140</v>
      </c>
      <c r="N102" s="28">
        <f t="shared" si="25"/>
        <v>11026170.239999998</v>
      </c>
      <c r="O102" s="62"/>
      <c r="P102" s="30"/>
      <c r="Q102" s="31"/>
      <c r="R102" s="31"/>
      <c r="S102" s="30"/>
      <c r="T102" s="31"/>
      <c r="U102" s="31"/>
      <c r="V102" s="30">
        <v>1936128.04</v>
      </c>
      <c r="W102" s="31"/>
      <c r="X102" s="31"/>
      <c r="Y102" s="30">
        <v>9090042.1999999993</v>
      </c>
      <c r="Z102" s="31"/>
      <c r="AA102" s="31"/>
      <c r="AB102" s="62"/>
      <c r="AC102" s="106"/>
      <c r="AD102" s="106"/>
      <c r="AE102" s="30">
        <v>3254.4171373873601</v>
      </c>
      <c r="AF102" s="30">
        <v>3254.4171373873601</v>
      </c>
      <c r="AG102" s="33">
        <v>2022</v>
      </c>
      <c r="AH102" s="1">
        <v>1687407.14</v>
      </c>
      <c r="AI102" s="5">
        <f t="shared" si="29"/>
        <v>350900.39999999997</v>
      </c>
      <c r="AJ102" s="5">
        <f>+(K102*10+L102*20)*12*30</f>
        <v>12384720</v>
      </c>
      <c r="AL102" s="37">
        <f t="shared" si="26"/>
        <v>0</v>
      </c>
      <c r="AM102" s="62">
        <v>6230360.1900000004</v>
      </c>
      <c r="AN102" s="62"/>
      <c r="AO102" s="162">
        <v>1824432.9</v>
      </c>
      <c r="AP102" s="62">
        <v>2756248.99</v>
      </c>
      <c r="AQ102" s="62"/>
      <c r="AR102" s="62"/>
      <c r="AS102" s="62"/>
      <c r="AT102" s="62">
        <v>0</v>
      </c>
      <c r="AU102" s="62">
        <v>0</v>
      </c>
      <c r="AV102" s="62">
        <v>0</v>
      </c>
      <c r="AW102" s="62">
        <v>0</v>
      </c>
      <c r="AX102" s="62">
        <v>0</v>
      </c>
      <c r="AY102" s="62">
        <v>75653.789999999994</v>
      </c>
      <c r="AZ102" s="30">
        <v>18000</v>
      </c>
      <c r="BA102" s="109">
        <f>121474.37</f>
        <v>121474.37</v>
      </c>
      <c r="BB102" s="5">
        <f t="shared" si="30"/>
        <v>11026170.239999998</v>
      </c>
    </row>
    <row r="103" spans="1:54" hidden="1">
      <c r="A103" s="104">
        <f t="shared" si="27"/>
        <v>86</v>
      </c>
      <c r="B103" s="101">
        <f t="shared" si="28"/>
        <v>86</v>
      </c>
      <c r="C103" s="101" t="s">
        <v>185</v>
      </c>
      <c r="D103" s="101" t="s">
        <v>280</v>
      </c>
      <c r="E103" s="102">
        <v>1979</v>
      </c>
      <c r="F103" s="102">
        <v>2013</v>
      </c>
      <c r="G103" s="102" t="s">
        <v>3</v>
      </c>
      <c r="H103" s="102">
        <v>4</v>
      </c>
      <c r="I103" s="102">
        <v>4</v>
      </c>
      <c r="J103" s="62">
        <v>3969.95</v>
      </c>
      <c r="K103" s="62">
        <v>3453.7</v>
      </c>
      <c r="L103" s="62">
        <v>0</v>
      </c>
      <c r="M103" s="103">
        <v>154</v>
      </c>
      <c r="N103" s="28">
        <f t="shared" si="25"/>
        <v>9221762.1899999995</v>
      </c>
      <c r="O103" s="62"/>
      <c r="P103" s="30"/>
      <c r="Q103" s="31"/>
      <c r="R103" s="31"/>
      <c r="S103" s="30"/>
      <c r="T103" s="31"/>
      <c r="U103" s="31"/>
      <c r="V103" s="30">
        <v>1705810.55</v>
      </c>
      <c r="W103" s="31"/>
      <c r="X103" s="31"/>
      <c r="Y103" s="30">
        <v>7515951.6399999997</v>
      </c>
      <c r="Z103" s="31"/>
      <c r="AA103" s="31"/>
      <c r="AB103" s="62"/>
      <c r="AC103" s="106"/>
      <c r="AD103" s="106"/>
      <c r="AE103" s="30">
        <v>2729.3004447398398</v>
      </c>
      <c r="AF103" s="30">
        <v>2729.3004447398398</v>
      </c>
      <c r="AG103" s="33">
        <v>2022</v>
      </c>
      <c r="AH103" s="1">
        <v>1455712.65</v>
      </c>
      <c r="AI103" s="5">
        <f t="shared" si="29"/>
        <v>352277.39999999997</v>
      </c>
      <c r="AJ103" s="5">
        <f>+(K103*10+L103*20)*12*30</f>
        <v>12433320</v>
      </c>
      <c r="AL103" s="37">
        <f t="shared" si="26"/>
        <v>0</v>
      </c>
      <c r="AM103" s="62">
        <v>6321167.0899999999</v>
      </c>
      <c r="AN103" s="62"/>
      <c r="AO103" s="162"/>
      <c r="AP103" s="62">
        <v>2717347.73</v>
      </c>
      <c r="AQ103" s="62"/>
      <c r="AR103" s="62"/>
      <c r="AS103" s="62"/>
      <c r="AT103" s="62">
        <v>0</v>
      </c>
      <c r="AU103" s="62">
        <v>0</v>
      </c>
      <c r="AV103" s="62">
        <v>0</v>
      </c>
      <c r="AW103" s="62">
        <v>0</v>
      </c>
      <c r="AX103" s="62">
        <v>0</v>
      </c>
      <c r="AY103" s="62">
        <v>75730.05</v>
      </c>
      <c r="AZ103" s="30">
        <v>18000</v>
      </c>
      <c r="BA103" s="109">
        <f>108774.59-19257.27</f>
        <v>89517.319999999992</v>
      </c>
      <c r="BB103" s="5">
        <f t="shared" si="30"/>
        <v>9221762.1899999995</v>
      </c>
    </row>
    <row r="104" spans="1:54" hidden="1">
      <c r="A104" s="104">
        <f t="shared" si="27"/>
        <v>87</v>
      </c>
      <c r="B104" s="101">
        <f t="shared" si="28"/>
        <v>87</v>
      </c>
      <c r="C104" s="101" t="s">
        <v>185</v>
      </c>
      <c r="D104" s="101" t="s">
        <v>281</v>
      </c>
      <c r="E104" s="102">
        <v>1961</v>
      </c>
      <c r="F104" s="102">
        <v>2013</v>
      </c>
      <c r="G104" s="102" t="s">
        <v>3</v>
      </c>
      <c r="H104" s="102">
        <v>4</v>
      </c>
      <c r="I104" s="102">
        <v>3</v>
      </c>
      <c r="J104" s="62">
        <v>3049.5</v>
      </c>
      <c r="K104" s="62">
        <v>2277.6</v>
      </c>
      <c r="L104" s="62">
        <v>771.9</v>
      </c>
      <c r="M104" s="103">
        <v>94</v>
      </c>
      <c r="N104" s="28">
        <f t="shared" si="25"/>
        <v>1026615.76</v>
      </c>
      <c r="O104" s="62"/>
      <c r="P104" s="30"/>
      <c r="Q104" s="31"/>
      <c r="R104" s="31"/>
      <c r="S104" s="30"/>
      <c r="T104" s="31"/>
      <c r="U104" s="31"/>
      <c r="V104" s="30">
        <v>105566.35</v>
      </c>
      <c r="W104" s="31"/>
      <c r="X104" s="31"/>
      <c r="Y104" s="30">
        <v>921049.41</v>
      </c>
      <c r="Z104" s="31"/>
      <c r="AA104" s="31"/>
      <c r="AB104" s="62"/>
      <c r="AC104" s="106"/>
      <c r="AD104" s="106"/>
      <c r="AE104" s="30">
        <v>361.55443363701602</v>
      </c>
      <c r="AF104" s="30">
        <v>361.55443363701602</v>
      </c>
      <c r="AG104" s="33">
        <v>2022</v>
      </c>
      <c r="AH104" s="1">
        <v>1647685.87</v>
      </c>
      <c r="AI104" s="5">
        <f t="shared" si="29"/>
        <v>389782.8</v>
      </c>
      <c r="AJ104" s="5">
        <f>+(K104*10+L104*20)*12*30-1902349.22</f>
        <v>11854690.779999999</v>
      </c>
      <c r="AL104" s="37">
        <f t="shared" si="26"/>
        <v>0</v>
      </c>
      <c r="AM104" s="62"/>
      <c r="AO104" s="162">
        <v>642270.27</v>
      </c>
      <c r="AP104" s="62"/>
      <c r="AQ104" s="62"/>
      <c r="AR104" s="62"/>
      <c r="AS104" s="62"/>
      <c r="AT104" s="62">
        <v>0</v>
      </c>
      <c r="AU104" s="62">
        <v>0</v>
      </c>
      <c r="AV104" s="62">
        <v>0</v>
      </c>
      <c r="AW104" s="62">
        <v>0</v>
      </c>
      <c r="AX104" s="62">
        <v>0</v>
      </c>
      <c r="AY104" s="62">
        <v>352588.91</v>
      </c>
      <c r="AZ104" s="30">
        <v>24000</v>
      </c>
      <c r="BA104" s="109">
        <v>7756.58</v>
      </c>
      <c r="BB104" s="5">
        <f t="shared" si="30"/>
        <v>1026615.76</v>
      </c>
    </row>
    <row r="105" spans="1:54" hidden="1">
      <c r="A105" s="104">
        <f t="shared" si="27"/>
        <v>88</v>
      </c>
      <c r="B105" s="101">
        <f t="shared" si="28"/>
        <v>88</v>
      </c>
      <c r="C105" s="101" t="s">
        <v>185</v>
      </c>
      <c r="D105" s="101" t="s">
        <v>283</v>
      </c>
      <c r="E105" s="102">
        <v>1963</v>
      </c>
      <c r="F105" s="102">
        <v>2005</v>
      </c>
      <c r="G105" s="102" t="s">
        <v>3</v>
      </c>
      <c r="H105" s="102">
        <v>4</v>
      </c>
      <c r="I105" s="102">
        <v>2</v>
      </c>
      <c r="J105" s="62">
        <v>1240.4000000000001</v>
      </c>
      <c r="K105" s="62">
        <v>1075.8</v>
      </c>
      <c r="L105" s="62">
        <v>111.9</v>
      </c>
      <c r="M105" s="103">
        <v>70</v>
      </c>
      <c r="N105" s="28">
        <f t="shared" si="25"/>
        <v>2150653.5872</v>
      </c>
      <c r="O105" s="62"/>
      <c r="P105" s="30"/>
      <c r="Q105" s="31"/>
      <c r="R105" s="31"/>
      <c r="S105" s="30"/>
      <c r="T105" s="31"/>
      <c r="U105" s="31"/>
      <c r="V105" s="30">
        <v>132559.20000000001</v>
      </c>
      <c r="W105" s="31"/>
      <c r="X105" s="31"/>
      <c r="Y105" s="30">
        <v>2018094.3872</v>
      </c>
      <c r="Z105" s="31"/>
      <c r="AA105" s="31"/>
      <c r="AB105" s="62"/>
      <c r="AC105" s="106"/>
      <c r="AD105" s="106"/>
      <c r="AE105" s="30">
        <v>1896.04168679289</v>
      </c>
      <c r="AF105" s="30">
        <v>1896.04168679289</v>
      </c>
      <c r="AG105" s="33">
        <v>2022</v>
      </c>
      <c r="AH105" s="1">
        <v>669629.44999999995</v>
      </c>
      <c r="AI105" s="5">
        <f t="shared" si="29"/>
        <v>132559.19999999998</v>
      </c>
      <c r="AJ105" s="5">
        <f>+(K105*10+L105*20)*12*30-1442997.24</f>
        <v>3235562.76</v>
      </c>
      <c r="AL105" s="37">
        <f t="shared" si="26"/>
        <v>0</v>
      </c>
      <c r="AM105" s="62"/>
      <c r="AN105" s="62">
        <v>588065.09</v>
      </c>
      <c r="AO105" s="162"/>
      <c r="AP105" s="62">
        <v>500447.33</v>
      </c>
      <c r="AQ105" s="62">
        <v>469911.83</v>
      </c>
      <c r="AR105" s="62"/>
      <c r="AS105" s="62"/>
      <c r="AT105" s="62">
        <v>0</v>
      </c>
      <c r="AU105" s="62"/>
      <c r="AV105" s="62">
        <v>0</v>
      </c>
      <c r="AW105" s="62">
        <v>0</v>
      </c>
      <c r="AX105" s="62">
        <v>0</v>
      </c>
      <c r="AY105" s="62">
        <v>513326.799</v>
      </c>
      <c r="AZ105" s="30">
        <v>73858.718200000003</v>
      </c>
      <c r="BA105" s="109">
        <v>5043.82</v>
      </c>
      <c r="BB105" s="5">
        <f t="shared" si="30"/>
        <v>2150653.5872</v>
      </c>
    </row>
    <row r="106" spans="1:54" hidden="1">
      <c r="A106" s="104">
        <f t="shared" si="27"/>
        <v>89</v>
      </c>
      <c r="B106" s="101">
        <f t="shared" si="28"/>
        <v>89</v>
      </c>
      <c r="C106" s="101" t="s">
        <v>185</v>
      </c>
      <c r="D106" s="101" t="s">
        <v>285</v>
      </c>
      <c r="E106" s="102">
        <v>1965</v>
      </c>
      <c r="F106" s="102">
        <v>2005</v>
      </c>
      <c r="G106" s="102" t="s">
        <v>3</v>
      </c>
      <c r="H106" s="102">
        <v>4</v>
      </c>
      <c r="I106" s="102">
        <v>4</v>
      </c>
      <c r="J106" s="62">
        <v>2661.8</v>
      </c>
      <c r="K106" s="62">
        <v>2220.4</v>
      </c>
      <c r="L106" s="62">
        <v>229.71</v>
      </c>
      <c r="M106" s="103">
        <v>111</v>
      </c>
      <c r="N106" s="28">
        <f t="shared" si="25"/>
        <v>1593951.19</v>
      </c>
      <c r="O106" s="62"/>
      <c r="P106" s="30"/>
      <c r="Q106" s="31"/>
      <c r="R106" s="31"/>
      <c r="S106" s="30"/>
      <c r="T106" s="31"/>
      <c r="U106" s="31"/>
      <c r="V106" s="30">
        <v>1593951.19</v>
      </c>
      <c r="W106" s="31"/>
      <c r="X106" s="31"/>
      <c r="Y106" s="30"/>
      <c r="Z106" s="31"/>
      <c r="AA106" s="31"/>
      <c r="AB106" s="30"/>
      <c r="AC106" s="32"/>
      <c r="AD106" s="32"/>
      <c r="AE106" s="62">
        <v>660.42634642526298</v>
      </c>
      <c r="AF106" s="62">
        <v>660.42634642526298</v>
      </c>
      <c r="AG106" s="33">
        <v>2022</v>
      </c>
      <c r="AH106" s="1">
        <f>1243271.94-96320.77</f>
        <v>1146951.17</v>
      </c>
      <c r="AI106" s="5">
        <f t="shared" si="29"/>
        <v>273341.64</v>
      </c>
      <c r="AJ106" s="5">
        <f t="shared" ref="AJ106:AJ111" si="31">+(K106*10+L106*20)*12*30</f>
        <v>9647352</v>
      </c>
      <c r="AL106" s="37">
        <f t="shared" si="26"/>
        <v>0</v>
      </c>
      <c r="AM106" s="62"/>
      <c r="AN106" s="62"/>
      <c r="AO106" s="162"/>
      <c r="AP106" s="62"/>
      <c r="AQ106" s="62">
        <v>1092251.81</v>
      </c>
      <c r="AR106" s="62"/>
      <c r="AS106" s="62"/>
      <c r="AT106" s="62"/>
      <c r="AU106" s="62"/>
      <c r="AV106" s="62">
        <v>0</v>
      </c>
      <c r="AW106" s="62">
        <v>0</v>
      </c>
      <c r="AX106" s="62">
        <v>0</v>
      </c>
      <c r="AY106" s="62">
        <v>501699.38</v>
      </c>
      <c r="AZ106" s="30"/>
      <c r="BA106" s="40"/>
      <c r="BB106" s="5">
        <f t="shared" si="30"/>
        <v>1593951.19</v>
      </c>
    </row>
    <row r="107" spans="1:54" hidden="1">
      <c r="A107" s="104">
        <f t="shared" si="27"/>
        <v>90</v>
      </c>
      <c r="B107" s="101">
        <f t="shared" si="28"/>
        <v>90</v>
      </c>
      <c r="C107" s="101" t="s">
        <v>185</v>
      </c>
      <c r="D107" s="101" t="s">
        <v>287</v>
      </c>
      <c r="E107" s="102">
        <v>1977</v>
      </c>
      <c r="F107" s="102">
        <v>2013</v>
      </c>
      <c r="G107" s="102" t="s">
        <v>3</v>
      </c>
      <c r="H107" s="102">
        <v>4</v>
      </c>
      <c r="I107" s="102">
        <v>4</v>
      </c>
      <c r="J107" s="62">
        <v>3916.4</v>
      </c>
      <c r="K107" s="62">
        <v>3440.3</v>
      </c>
      <c r="L107" s="62">
        <v>0</v>
      </c>
      <c r="M107" s="103">
        <v>163</v>
      </c>
      <c r="N107" s="28">
        <f t="shared" si="25"/>
        <v>20295397.649999999</v>
      </c>
      <c r="O107" s="62"/>
      <c r="P107" s="30"/>
      <c r="Q107" s="31"/>
      <c r="R107" s="31"/>
      <c r="S107" s="30"/>
      <c r="T107" s="31"/>
      <c r="U107" s="31"/>
      <c r="V107" s="30">
        <v>1967138.52</v>
      </c>
      <c r="W107" s="31"/>
      <c r="X107" s="31"/>
      <c r="Y107" s="30">
        <v>12246295.399686599</v>
      </c>
      <c r="Z107" s="31"/>
      <c r="AA107" s="31"/>
      <c r="AB107" s="62">
        <v>6081963.7303133998</v>
      </c>
      <c r="AC107" s="106"/>
      <c r="AD107" s="106"/>
      <c r="AE107" s="30">
        <v>6077.95452422365</v>
      </c>
      <c r="AF107" s="30">
        <v>6077.95452422365</v>
      </c>
      <c r="AG107" s="33">
        <v>2022</v>
      </c>
      <c r="AH107" s="1">
        <v>1681538.39</v>
      </c>
      <c r="AI107" s="5">
        <f t="shared" si="29"/>
        <v>350910.6</v>
      </c>
      <c r="AJ107" s="5">
        <f t="shared" si="31"/>
        <v>12385080</v>
      </c>
      <c r="AL107" s="37">
        <f t="shared" si="26"/>
        <v>0</v>
      </c>
      <c r="AM107" s="62"/>
      <c r="AN107" s="62"/>
      <c r="AO107" s="162"/>
      <c r="AP107" s="62"/>
      <c r="AQ107" s="62"/>
      <c r="AR107" s="62"/>
      <c r="AS107" s="62"/>
      <c r="AT107" s="62"/>
      <c r="AU107" s="62">
        <v>8833594.1600000001</v>
      </c>
      <c r="AV107" s="62">
        <v>0</v>
      </c>
      <c r="AW107" s="62">
        <v>11280169.18</v>
      </c>
      <c r="AY107" s="62">
        <v>157634.31</v>
      </c>
      <c r="AZ107" s="30">
        <v>24000</v>
      </c>
      <c r="BA107" s="40"/>
      <c r="BB107" s="5">
        <f t="shared" si="30"/>
        <v>20295397.649999999</v>
      </c>
    </row>
    <row r="108" spans="1:54" hidden="1">
      <c r="A108" s="104">
        <f t="shared" si="27"/>
        <v>91</v>
      </c>
      <c r="B108" s="101">
        <f t="shared" si="28"/>
        <v>91</v>
      </c>
      <c r="C108" s="101" t="s">
        <v>185</v>
      </c>
      <c r="D108" s="101" t="s">
        <v>289</v>
      </c>
      <c r="E108" s="102">
        <v>1992</v>
      </c>
      <c r="F108" s="102">
        <v>2013</v>
      </c>
      <c r="G108" s="102" t="s">
        <v>3</v>
      </c>
      <c r="H108" s="102">
        <v>5</v>
      </c>
      <c r="I108" s="102">
        <v>4</v>
      </c>
      <c r="J108" s="62">
        <v>5274.7</v>
      </c>
      <c r="K108" s="62">
        <v>4397.95</v>
      </c>
      <c r="L108" s="62">
        <v>82.7</v>
      </c>
      <c r="M108" s="103">
        <v>351</v>
      </c>
      <c r="N108" s="28">
        <f t="shared" si="25"/>
        <v>26145732.75</v>
      </c>
      <c r="O108" s="62"/>
      <c r="P108" s="30">
        <v>2576094.2200000002</v>
      </c>
      <c r="Q108" s="31"/>
      <c r="R108" s="31"/>
      <c r="S108" s="30"/>
      <c r="T108" s="31"/>
      <c r="U108" s="31"/>
      <c r="V108" s="30">
        <v>2358216.9700000002</v>
      </c>
      <c r="W108" s="31"/>
      <c r="X108" s="31"/>
      <c r="Y108" s="30">
        <v>13394024.1628471</v>
      </c>
      <c r="Z108" s="31"/>
      <c r="AA108" s="31"/>
      <c r="AB108" s="62">
        <v>7817397.3971528998</v>
      </c>
      <c r="AC108" s="106"/>
      <c r="AD108" s="106"/>
      <c r="AE108" s="30">
        <v>6185.3107524236602</v>
      </c>
      <c r="AF108" s="30">
        <v>6185.3107524236602</v>
      </c>
      <c r="AG108" s="33">
        <v>2022</v>
      </c>
      <c r="AH108" s="1">
        <v>1987606.27</v>
      </c>
      <c r="AI108" s="5">
        <f t="shared" si="29"/>
        <v>465461.7</v>
      </c>
      <c r="AJ108" s="5">
        <f t="shared" si="31"/>
        <v>16428060</v>
      </c>
      <c r="AL108" s="37">
        <f t="shared" si="26"/>
        <v>0</v>
      </c>
      <c r="AM108" s="62"/>
      <c r="AO108" s="162">
        <v>3146864.52</v>
      </c>
      <c r="AP108" s="62">
        <v>2896787.04</v>
      </c>
      <c r="AQ108" s="62">
        <v>0</v>
      </c>
      <c r="AR108" s="62"/>
      <c r="AS108" s="62"/>
      <c r="AT108" s="62">
        <v>0</v>
      </c>
      <c r="AU108" s="62">
        <v>9859124.0999999996</v>
      </c>
      <c r="AV108" s="62">
        <v>0</v>
      </c>
      <c r="AW108" s="62">
        <v>6508599.5899999999</v>
      </c>
      <c r="AX108" s="62">
        <v>3276300</v>
      </c>
      <c r="AY108" s="62">
        <v>434057.5</v>
      </c>
      <c r="AZ108" s="30">
        <v>24000</v>
      </c>
      <c r="BA108" s="40"/>
      <c r="BB108" s="5">
        <f t="shared" si="30"/>
        <v>26145732.75</v>
      </c>
    </row>
    <row r="109" spans="1:54" hidden="1">
      <c r="A109" s="104">
        <f t="shared" si="27"/>
        <v>92</v>
      </c>
      <c r="B109" s="101">
        <f t="shared" si="28"/>
        <v>92</v>
      </c>
      <c r="C109" s="101" t="s">
        <v>185</v>
      </c>
      <c r="D109" s="101" t="s">
        <v>290</v>
      </c>
      <c r="E109" s="102">
        <v>1987</v>
      </c>
      <c r="F109" s="102">
        <v>1987</v>
      </c>
      <c r="G109" s="102" t="s">
        <v>3</v>
      </c>
      <c r="H109" s="102">
        <v>5</v>
      </c>
      <c r="I109" s="102">
        <v>3</v>
      </c>
      <c r="J109" s="62">
        <v>5170.7</v>
      </c>
      <c r="K109" s="62">
        <v>2871.7</v>
      </c>
      <c r="L109" s="62">
        <v>2299</v>
      </c>
      <c r="M109" s="103">
        <v>334</v>
      </c>
      <c r="N109" s="28">
        <f t="shared" si="25"/>
        <v>13931248.442200001</v>
      </c>
      <c r="O109" s="62"/>
      <c r="P109" s="30">
        <v>3490403.93</v>
      </c>
      <c r="Q109" s="31"/>
      <c r="R109" s="31"/>
      <c r="S109" s="30"/>
      <c r="T109" s="31"/>
      <c r="U109" s="31"/>
      <c r="V109" s="30">
        <v>2203254.02</v>
      </c>
      <c r="W109" s="31"/>
      <c r="X109" s="31"/>
      <c r="Y109" s="30">
        <v>8237590.4922000002</v>
      </c>
      <c r="Z109" s="31"/>
      <c r="AA109" s="31"/>
      <c r="AB109" s="62"/>
      <c r="AC109" s="106"/>
      <c r="AD109" s="106"/>
      <c r="AE109" s="30">
        <v>2825.7678664608102</v>
      </c>
      <c r="AF109" s="30">
        <v>2825.7678664608102</v>
      </c>
      <c r="AG109" s="33">
        <v>2022</v>
      </c>
      <c r="AH109" s="1">
        <v>2578731.31</v>
      </c>
      <c r="AI109" s="5">
        <f t="shared" si="29"/>
        <v>761909.4</v>
      </c>
      <c r="AJ109" s="5">
        <f t="shared" si="31"/>
        <v>26890920</v>
      </c>
      <c r="AL109" s="37">
        <f t="shared" si="26"/>
        <v>0</v>
      </c>
      <c r="AM109" s="62"/>
      <c r="AO109" s="162">
        <v>2731732.82</v>
      </c>
      <c r="AQ109" s="62">
        <v>0</v>
      </c>
      <c r="AR109" s="62"/>
      <c r="AS109" s="62"/>
      <c r="AT109" s="62">
        <v>0</v>
      </c>
      <c r="AU109" s="62">
        <v>9356498.1500000004</v>
      </c>
      <c r="AV109" s="62">
        <v>0</v>
      </c>
      <c r="AW109" s="62"/>
      <c r="AX109" s="62">
        <v>1381241.93</v>
      </c>
      <c r="AY109" s="62">
        <v>311041.28110000002</v>
      </c>
      <c r="AZ109" s="30">
        <v>45051.6011</v>
      </c>
      <c r="BA109" s="109">
        <f>23622.51+70525+11535.15</f>
        <v>105682.65999999999</v>
      </c>
      <c r="BB109" s="5">
        <f t="shared" si="30"/>
        <v>13931248.442200001</v>
      </c>
    </row>
    <row r="110" spans="1:54" hidden="1">
      <c r="A110" s="104">
        <f t="shared" si="27"/>
        <v>93</v>
      </c>
      <c r="B110" s="101">
        <f t="shared" si="28"/>
        <v>93</v>
      </c>
      <c r="C110" s="101" t="s">
        <v>185</v>
      </c>
      <c r="D110" s="101" t="s">
        <v>292</v>
      </c>
      <c r="E110" s="102">
        <v>1970</v>
      </c>
      <c r="F110" s="102">
        <v>2013</v>
      </c>
      <c r="G110" s="102" t="s">
        <v>3</v>
      </c>
      <c r="H110" s="102">
        <v>4</v>
      </c>
      <c r="I110" s="102">
        <v>4</v>
      </c>
      <c r="J110" s="62">
        <v>3209.3</v>
      </c>
      <c r="K110" s="62">
        <v>2718.2</v>
      </c>
      <c r="L110" s="62">
        <v>0</v>
      </c>
      <c r="M110" s="103">
        <v>128</v>
      </c>
      <c r="N110" s="28">
        <f t="shared" si="25"/>
        <v>1092667.3</v>
      </c>
      <c r="O110" s="62"/>
      <c r="P110" s="30">
        <v>923688.17</v>
      </c>
      <c r="Q110" s="31"/>
      <c r="R110" s="31"/>
      <c r="S110" s="30"/>
      <c r="T110" s="31"/>
      <c r="U110" s="31"/>
      <c r="V110" s="30"/>
      <c r="W110" s="31"/>
      <c r="X110" s="31"/>
      <c r="Y110" s="30">
        <v>168979.13</v>
      </c>
      <c r="Z110" s="31"/>
      <c r="AA110" s="31"/>
      <c r="AB110" s="62">
        <v>0</v>
      </c>
      <c r="AC110" s="106"/>
      <c r="AD110" s="106"/>
      <c r="AE110" s="30">
        <v>401.98193657567498</v>
      </c>
      <c r="AF110" s="30">
        <v>401.98193657567498</v>
      </c>
      <c r="AG110" s="33">
        <v>2022</v>
      </c>
      <c r="AH110" s="1">
        <v>1140903.55</v>
      </c>
      <c r="AI110" s="5">
        <f t="shared" si="29"/>
        <v>277256.39999999997</v>
      </c>
      <c r="AJ110" s="5">
        <f t="shared" si="31"/>
        <v>9785520</v>
      </c>
      <c r="AL110" s="37">
        <f t="shared" si="26"/>
        <v>0</v>
      </c>
      <c r="AM110" s="62">
        <v>0</v>
      </c>
      <c r="AN110" s="62">
        <v>0</v>
      </c>
      <c r="AO110" s="162">
        <v>0</v>
      </c>
      <c r="AP110" s="62">
        <v>0</v>
      </c>
      <c r="AQ110" s="62">
        <v>1092667.3</v>
      </c>
      <c r="AR110" s="62"/>
      <c r="AS110" s="62"/>
      <c r="AT110" s="62">
        <v>0</v>
      </c>
      <c r="AU110" s="62">
        <v>0</v>
      </c>
      <c r="AV110" s="62">
        <v>0</v>
      </c>
      <c r="AW110" s="62"/>
      <c r="AX110" s="62">
        <v>0</v>
      </c>
      <c r="AY110" s="62"/>
      <c r="AZ110" s="30"/>
      <c r="BA110" s="156"/>
      <c r="BB110" s="5">
        <f t="shared" si="30"/>
        <v>1092667.3</v>
      </c>
    </row>
    <row r="111" spans="1:54" hidden="1">
      <c r="A111" s="104">
        <f t="shared" si="27"/>
        <v>94</v>
      </c>
      <c r="B111" s="101">
        <f t="shared" si="28"/>
        <v>94</v>
      </c>
      <c r="C111" s="101" t="s">
        <v>185</v>
      </c>
      <c r="D111" s="101" t="s">
        <v>294</v>
      </c>
      <c r="E111" s="102">
        <v>1973</v>
      </c>
      <c r="F111" s="102">
        <v>2013</v>
      </c>
      <c r="G111" s="102" t="s">
        <v>3</v>
      </c>
      <c r="H111" s="102">
        <v>4</v>
      </c>
      <c r="I111" s="102">
        <v>4</v>
      </c>
      <c r="J111" s="62">
        <v>4678.76</v>
      </c>
      <c r="K111" s="62">
        <v>3451.8</v>
      </c>
      <c r="L111" s="62">
        <v>0</v>
      </c>
      <c r="M111" s="103">
        <v>168</v>
      </c>
      <c r="N111" s="28">
        <f t="shared" si="25"/>
        <v>1966896.6600000001</v>
      </c>
      <c r="O111" s="62"/>
      <c r="P111" s="30"/>
      <c r="Q111" s="31"/>
      <c r="R111" s="31"/>
      <c r="S111" s="30"/>
      <c r="T111" s="31"/>
      <c r="U111" s="31"/>
      <c r="V111" s="30">
        <v>1874829.57</v>
      </c>
      <c r="W111" s="31"/>
      <c r="X111" s="31"/>
      <c r="Y111" s="30">
        <v>69906.970000000205</v>
      </c>
      <c r="Z111" s="31"/>
      <c r="AA111" s="31"/>
      <c r="AB111" s="30">
        <v>22160.119999999901</v>
      </c>
      <c r="AC111" s="32"/>
      <c r="AD111" s="32"/>
      <c r="AE111" s="62">
        <v>563.39780404426699</v>
      </c>
      <c r="AF111" s="62">
        <v>563.39780404426699</v>
      </c>
      <c r="AG111" s="33">
        <v>2022</v>
      </c>
      <c r="AH111" s="18">
        <f>1522745.97</f>
        <v>1522745.97</v>
      </c>
      <c r="AI111" s="5">
        <f t="shared" si="29"/>
        <v>352083.6</v>
      </c>
      <c r="AJ111" s="5">
        <f t="shared" si="31"/>
        <v>12426480</v>
      </c>
      <c r="AL111" s="37">
        <f t="shared" si="26"/>
        <v>0</v>
      </c>
      <c r="AM111" s="62">
        <v>0</v>
      </c>
      <c r="AN111" s="62">
        <v>0</v>
      </c>
      <c r="AO111" s="162">
        <v>0</v>
      </c>
      <c r="AP111" s="62">
        <v>0</v>
      </c>
      <c r="AQ111" s="62"/>
      <c r="AR111" s="62"/>
      <c r="AS111" s="62"/>
      <c r="AT111" s="62">
        <v>0</v>
      </c>
      <c r="AU111" s="62">
        <v>0</v>
      </c>
      <c r="AV111" s="62">
        <v>0</v>
      </c>
      <c r="AW111" s="62">
        <v>0</v>
      </c>
      <c r="AX111" s="62">
        <v>1937343.33</v>
      </c>
      <c r="AY111" s="62"/>
      <c r="AZ111" s="30"/>
      <c r="BA111" s="109">
        <f>29553.33</f>
        <v>29553.33</v>
      </c>
      <c r="BB111" s="5">
        <f t="shared" si="30"/>
        <v>1966896.6600000001</v>
      </c>
    </row>
    <row r="112" spans="1:54" hidden="1">
      <c r="A112" s="104">
        <f t="shared" si="27"/>
        <v>95</v>
      </c>
      <c r="B112" s="101">
        <f t="shared" si="28"/>
        <v>95</v>
      </c>
      <c r="C112" s="101" t="s">
        <v>185</v>
      </c>
      <c r="D112" s="101" t="s">
        <v>296</v>
      </c>
      <c r="E112" s="102">
        <v>1989</v>
      </c>
      <c r="F112" s="102">
        <v>2012</v>
      </c>
      <c r="G112" s="102" t="s">
        <v>3</v>
      </c>
      <c r="H112" s="102">
        <v>9</v>
      </c>
      <c r="I112" s="102">
        <v>1</v>
      </c>
      <c r="J112" s="62">
        <v>5704.32</v>
      </c>
      <c r="K112" s="62">
        <v>3900.7</v>
      </c>
      <c r="L112" s="62">
        <v>0</v>
      </c>
      <c r="M112" s="103">
        <v>280</v>
      </c>
      <c r="N112" s="28">
        <f t="shared" si="25"/>
        <v>3410150.6500000004</v>
      </c>
      <c r="O112" s="62"/>
      <c r="P112" s="30"/>
      <c r="Q112" s="31"/>
      <c r="R112" s="31"/>
      <c r="S112" s="30"/>
      <c r="T112" s="31"/>
      <c r="U112" s="31"/>
      <c r="V112" s="30">
        <v>2691688.4906000001</v>
      </c>
      <c r="W112" s="31"/>
      <c r="X112" s="31"/>
      <c r="Y112" s="30">
        <v>718462.1594</v>
      </c>
      <c r="Z112" s="31"/>
      <c r="AA112" s="31"/>
      <c r="AB112" s="30"/>
      <c r="AC112" s="32"/>
      <c r="AD112" s="32"/>
      <c r="AE112" s="62">
        <v>895.48642833491397</v>
      </c>
      <c r="AF112" s="62">
        <v>895.48642833491397</v>
      </c>
      <c r="AG112" s="33">
        <v>2022</v>
      </c>
      <c r="AH112" s="1">
        <v>2162917.4</v>
      </c>
      <c r="AI112" s="5">
        <f>+(K112*13.29+L112*22.52)*12*0.85</f>
        <v>528771.09059999988</v>
      </c>
      <c r="AJ112" s="5">
        <f>+(K112*13.29+L112*22.52)*12*30</f>
        <v>18662509.079999998</v>
      </c>
      <c r="AL112" s="37">
        <f t="shared" si="26"/>
        <v>0</v>
      </c>
      <c r="AM112" s="62">
        <v>0</v>
      </c>
      <c r="AN112" s="62">
        <v>0</v>
      </c>
      <c r="AO112" s="162">
        <v>0</v>
      </c>
      <c r="AP112" s="62">
        <v>0</v>
      </c>
      <c r="AQ112" s="62">
        <v>0</v>
      </c>
      <c r="AR112" s="62"/>
      <c r="AS112" s="62"/>
      <c r="AT112" s="62">
        <v>0</v>
      </c>
      <c r="AU112" s="62">
        <v>3264065.71</v>
      </c>
      <c r="AV112" s="62">
        <v>0</v>
      </c>
      <c r="AW112" s="62">
        <v>0</v>
      </c>
      <c r="AX112" s="62">
        <v>0</v>
      </c>
      <c r="AY112" s="62">
        <v>122084.94</v>
      </c>
      <c r="AZ112" s="62">
        <v>24000</v>
      </c>
      <c r="BA112" s="40"/>
      <c r="BB112" s="5">
        <f t="shared" si="30"/>
        <v>3410150.6500000004</v>
      </c>
    </row>
    <row r="113" spans="1:54" hidden="1">
      <c r="A113" s="104">
        <f t="shared" si="27"/>
        <v>96</v>
      </c>
      <c r="B113" s="101">
        <f t="shared" si="28"/>
        <v>96</v>
      </c>
      <c r="C113" s="101" t="s">
        <v>185</v>
      </c>
      <c r="D113" s="101" t="s">
        <v>297</v>
      </c>
      <c r="E113" s="102">
        <v>1992</v>
      </c>
      <c r="F113" s="102">
        <v>2013</v>
      </c>
      <c r="G113" s="102" t="s">
        <v>3</v>
      </c>
      <c r="H113" s="102">
        <v>10</v>
      </c>
      <c r="I113" s="102">
        <v>4</v>
      </c>
      <c r="J113" s="62">
        <v>12644.49</v>
      </c>
      <c r="K113" s="62">
        <v>10557.43</v>
      </c>
      <c r="L113" s="62">
        <v>90.5</v>
      </c>
      <c r="M113" s="103">
        <v>379</v>
      </c>
      <c r="N113" s="28">
        <f t="shared" si="25"/>
        <v>8427335.0921</v>
      </c>
      <c r="O113" s="62"/>
      <c r="P113" s="30"/>
      <c r="Q113" s="31"/>
      <c r="R113" s="31"/>
      <c r="S113" s="30"/>
      <c r="T113" s="31"/>
      <c r="U113" s="31"/>
      <c r="V113" s="30">
        <v>6910298.2999999998</v>
      </c>
      <c r="W113" s="31"/>
      <c r="X113" s="31"/>
      <c r="Y113" s="30">
        <v>1517036.7921</v>
      </c>
      <c r="Z113" s="31"/>
      <c r="AA113" s="31"/>
      <c r="AB113" s="62"/>
      <c r="AC113" s="106"/>
      <c r="AD113" s="106"/>
      <c r="AE113" s="30">
        <v>808.57889035797598</v>
      </c>
      <c r="AF113" s="30">
        <v>808.57889035797598</v>
      </c>
      <c r="AG113" s="33">
        <v>2022</v>
      </c>
      <c r="AH113" s="1">
        <v>6495346.2400000002</v>
      </c>
      <c r="AI113" s="5">
        <f>+(K113*13.29+L113*22.52)*12*0.85</f>
        <v>1451932.3079399997</v>
      </c>
      <c r="AJ113" s="5">
        <f>+(K113*13.29+L113*22.52)*12*30</f>
        <v>51244669.691999994</v>
      </c>
      <c r="AL113" s="37">
        <f t="shared" si="26"/>
        <v>0</v>
      </c>
      <c r="AM113" s="62">
        <v>0</v>
      </c>
      <c r="AN113" s="62">
        <v>0</v>
      </c>
      <c r="AO113" s="162">
        <v>0</v>
      </c>
      <c r="AP113" s="62">
        <v>0</v>
      </c>
      <c r="AQ113" s="62">
        <v>0</v>
      </c>
      <c r="AR113" s="62"/>
      <c r="AS113" s="62"/>
      <c r="AT113" s="62">
        <v>0</v>
      </c>
      <c r="AU113" s="62">
        <v>7551202.7000000002</v>
      </c>
      <c r="AV113" s="62">
        <v>0</v>
      </c>
      <c r="AW113" s="62">
        <v>0</v>
      </c>
      <c r="AX113" s="62">
        <v>0</v>
      </c>
      <c r="AY113" s="62">
        <v>852132.39210000006</v>
      </c>
      <c r="AZ113" s="30">
        <v>24000</v>
      </c>
      <c r="BA113" s="40"/>
      <c r="BB113" s="5">
        <f t="shared" si="30"/>
        <v>8427335.0921</v>
      </c>
    </row>
    <row r="114" spans="1:54" hidden="1">
      <c r="A114" s="104">
        <f t="shared" si="27"/>
        <v>97</v>
      </c>
      <c r="B114" s="101">
        <f t="shared" si="28"/>
        <v>97</v>
      </c>
      <c r="C114" s="101" t="s">
        <v>185</v>
      </c>
      <c r="D114" s="101" t="s">
        <v>298</v>
      </c>
      <c r="E114" s="102">
        <v>1980</v>
      </c>
      <c r="F114" s="102">
        <v>2008</v>
      </c>
      <c r="G114" s="102" t="s">
        <v>3</v>
      </c>
      <c r="H114" s="102">
        <v>5</v>
      </c>
      <c r="I114" s="102">
        <v>6</v>
      </c>
      <c r="J114" s="62">
        <v>7149.4</v>
      </c>
      <c r="K114" s="62">
        <v>6325.2</v>
      </c>
      <c r="L114" s="62">
        <v>0</v>
      </c>
      <c r="M114" s="103">
        <v>293</v>
      </c>
      <c r="N114" s="28">
        <f t="shared" si="25"/>
        <v>17704648.110599998</v>
      </c>
      <c r="O114" s="62"/>
      <c r="P114" s="30"/>
      <c r="Q114" s="31"/>
      <c r="R114" s="31"/>
      <c r="S114" s="30"/>
      <c r="T114" s="31"/>
      <c r="U114" s="31"/>
      <c r="V114" s="30">
        <v>1661064.07</v>
      </c>
      <c r="W114" s="31"/>
      <c r="X114" s="31"/>
      <c r="Y114" s="30">
        <v>16043584.0406</v>
      </c>
      <c r="Z114" s="31"/>
      <c r="AA114" s="31"/>
      <c r="AB114" s="30"/>
      <c r="AC114" s="32"/>
      <c r="AD114" s="32"/>
      <c r="AE114" s="30">
        <v>2919.9562585776198</v>
      </c>
      <c r="AF114" s="30">
        <v>2919.9562585776198</v>
      </c>
      <c r="AG114" s="33">
        <v>2022</v>
      </c>
      <c r="AH114" s="1">
        <v>3044323.81</v>
      </c>
      <c r="AI114" s="5">
        <f t="shared" ref="AI114:AI122" si="32">+(K114*10+L114*20)*12*0.85</f>
        <v>645170.4</v>
      </c>
      <c r="AJ114" s="5">
        <f t="shared" ref="AJ114:AJ122" si="33">+(K114*10+L114*20)*12*30</f>
        <v>22770720</v>
      </c>
      <c r="AL114" s="37">
        <f t="shared" ref="AL114:AL145" si="34">SUBTOTAL(9, AM114:BA114)</f>
        <v>0</v>
      </c>
      <c r="AN114" s="62"/>
      <c r="AO114" s="165"/>
      <c r="AQ114" s="62"/>
      <c r="AR114" s="62"/>
      <c r="AS114" s="62"/>
      <c r="AT114" s="62">
        <v>0</v>
      </c>
      <c r="AU114" s="62">
        <v>12780973.57</v>
      </c>
      <c r="AV114" s="62">
        <v>0</v>
      </c>
      <c r="AW114" s="62"/>
      <c r="AX114" s="62"/>
      <c r="AY114" s="62">
        <v>4341944.4309</v>
      </c>
      <c r="AZ114" s="30">
        <v>461523.41970000003</v>
      </c>
      <c r="BA114" s="109">
        <v>120206.69</v>
      </c>
      <c r="BB114" s="5">
        <f t="shared" si="30"/>
        <v>17704648.110599998</v>
      </c>
    </row>
    <row r="115" spans="1:54" hidden="1">
      <c r="A115" s="104">
        <f t="shared" ref="A115:A146" si="35">+A114+1</f>
        <v>98</v>
      </c>
      <c r="B115" s="101">
        <f t="shared" ref="B115:B146" si="36">+B114+1</f>
        <v>98</v>
      </c>
      <c r="C115" s="101" t="s">
        <v>185</v>
      </c>
      <c r="D115" s="101" t="s">
        <v>300</v>
      </c>
      <c r="E115" s="102">
        <v>1991</v>
      </c>
      <c r="F115" s="102">
        <v>2013</v>
      </c>
      <c r="G115" s="102" t="s">
        <v>3</v>
      </c>
      <c r="H115" s="102">
        <v>5</v>
      </c>
      <c r="I115" s="102">
        <v>6</v>
      </c>
      <c r="J115" s="62">
        <v>7178.4</v>
      </c>
      <c r="K115" s="62">
        <v>6274.92</v>
      </c>
      <c r="L115" s="62">
        <v>0</v>
      </c>
      <c r="M115" s="103">
        <v>326</v>
      </c>
      <c r="N115" s="28">
        <f t="shared" si="25"/>
        <v>23158024.849999998</v>
      </c>
      <c r="O115" s="62"/>
      <c r="P115" s="30"/>
      <c r="Q115" s="31"/>
      <c r="R115" s="31"/>
      <c r="S115" s="30"/>
      <c r="T115" s="31"/>
      <c r="U115" s="31"/>
      <c r="V115" s="30">
        <v>3540174.47</v>
      </c>
      <c r="W115" s="31"/>
      <c r="X115" s="31"/>
      <c r="Y115" s="30">
        <v>19617850.379999999</v>
      </c>
      <c r="Z115" s="31"/>
      <c r="AA115" s="31"/>
      <c r="AB115" s="62"/>
      <c r="AC115" s="106"/>
      <c r="AD115" s="106"/>
      <c r="AE115" s="30">
        <v>3868.56816843862</v>
      </c>
      <c r="AF115" s="30">
        <v>3868.56816843862</v>
      </c>
      <c r="AG115" s="33">
        <v>2022</v>
      </c>
      <c r="AH115" s="1">
        <v>2900132.63</v>
      </c>
      <c r="AI115" s="5">
        <f t="shared" si="32"/>
        <v>640041.83999999985</v>
      </c>
      <c r="AJ115" s="5">
        <f t="shared" si="33"/>
        <v>22589711.999999996</v>
      </c>
      <c r="AL115" s="37">
        <f t="shared" si="34"/>
        <v>0</v>
      </c>
      <c r="AM115" s="62"/>
      <c r="AN115" s="62"/>
      <c r="AO115" s="162"/>
      <c r="AP115" s="62"/>
      <c r="AQ115" s="62"/>
      <c r="AR115" s="62"/>
      <c r="AS115" s="62"/>
      <c r="AT115" s="62"/>
      <c r="AU115" s="62"/>
      <c r="AV115" s="62">
        <v>0</v>
      </c>
      <c r="AW115" s="62">
        <v>22920438.079999998</v>
      </c>
      <c r="AX115" s="62"/>
      <c r="AY115" s="62">
        <v>237586.77</v>
      </c>
      <c r="AZ115" s="30"/>
      <c r="BA115" s="40"/>
      <c r="BB115" s="5">
        <f t="shared" si="30"/>
        <v>23158024.849999998</v>
      </c>
    </row>
    <row r="116" spans="1:54" hidden="1">
      <c r="A116" s="104">
        <f t="shared" si="35"/>
        <v>99</v>
      </c>
      <c r="B116" s="101">
        <f t="shared" si="36"/>
        <v>99</v>
      </c>
      <c r="C116" s="101" t="s">
        <v>185</v>
      </c>
      <c r="D116" s="101" t="s">
        <v>302</v>
      </c>
      <c r="E116" s="102">
        <v>1988</v>
      </c>
      <c r="F116" s="102">
        <v>2013</v>
      </c>
      <c r="G116" s="102" t="s">
        <v>3</v>
      </c>
      <c r="H116" s="102">
        <v>5</v>
      </c>
      <c r="I116" s="102">
        <v>6</v>
      </c>
      <c r="J116" s="62">
        <v>7060</v>
      </c>
      <c r="K116" s="62">
        <v>6080.7</v>
      </c>
      <c r="L116" s="62">
        <v>143.1</v>
      </c>
      <c r="M116" s="103">
        <v>261</v>
      </c>
      <c r="N116" s="28">
        <f t="shared" si="25"/>
        <v>23277496.140000001</v>
      </c>
      <c r="O116" s="62"/>
      <c r="P116" s="30"/>
      <c r="Q116" s="31"/>
      <c r="R116" s="31"/>
      <c r="S116" s="30"/>
      <c r="T116" s="31"/>
      <c r="U116" s="31"/>
      <c r="V116" s="30">
        <v>3405808.57</v>
      </c>
      <c r="W116" s="31"/>
      <c r="X116" s="31"/>
      <c r="Y116" s="30">
        <v>19871687.57</v>
      </c>
      <c r="Z116" s="31"/>
      <c r="AA116" s="31"/>
      <c r="AB116" s="62"/>
      <c r="AC116" s="106"/>
      <c r="AD116" s="106"/>
      <c r="AE116" s="30">
        <v>3917.95082274471</v>
      </c>
      <c r="AF116" s="30">
        <v>3917.95082274471</v>
      </c>
      <c r="AG116" s="33">
        <v>2022</v>
      </c>
      <c r="AH116" s="1">
        <v>2756384.77</v>
      </c>
      <c r="AI116" s="5">
        <f t="shared" si="32"/>
        <v>649423.79999999993</v>
      </c>
      <c r="AJ116" s="5">
        <f t="shared" si="33"/>
        <v>22920840</v>
      </c>
      <c r="AL116" s="37">
        <f t="shared" si="34"/>
        <v>0</v>
      </c>
      <c r="AM116" s="62"/>
      <c r="AN116" s="62"/>
      <c r="AO116" s="162"/>
      <c r="AP116" s="62"/>
      <c r="AQ116" s="62"/>
      <c r="AR116" s="62"/>
      <c r="AS116" s="62"/>
      <c r="AT116" s="62"/>
      <c r="AU116" s="62"/>
      <c r="AV116" s="62">
        <v>0</v>
      </c>
      <c r="AW116" s="62">
        <v>23040371.91</v>
      </c>
      <c r="AX116" s="62"/>
      <c r="AY116" s="62">
        <v>237124.23</v>
      </c>
      <c r="AZ116" s="30"/>
      <c r="BA116" s="40"/>
      <c r="BB116" s="5">
        <f t="shared" si="30"/>
        <v>23277496.140000001</v>
      </c>
    </row>
    <row r="117" spans="1:54" hidden="1">
      <c r="A117" s="104">
        <f t="shared" si="35"/>
        <v>100</v>
      </c>
      <c r="B117" s="101">
        <f t="shared" si="36"/>
        <v>100</v>
      </c>
      <c r="C117" s="101" t="s">
        <v>185</v>
      </c>
      <c r="D117" s="101" t="s">
        <v>304</v>
      </c>
      <c r="E117" s="102">
        <v>1975</v>
      </c>
      <c r="F117" s="102">
        <v>2013</v>
      </c>
      <c r="G117" s="102" t="s">
        <v>3</v>
      </c>
      <c r="H117" s="102">
        <v>4</v>
      </c>
      <c r="I117" s="102">
        <v>4</v>
      </c>
      <c r="J117" s="62">
        <v>2912.6</v>
      </c>
      <c r="K117" s="62">
        <v>2004.3</v>
      </c>
      <c r="L117" s="62">
        <v>902.2</v>
      </c>
      <c r="M117" s="103">
        <v>104</v>
      </c>
      <c r="N117" s="28">
        <f t="shared" si="25"/>
        <v>671631.14</v>
      </c>
      <c r="O117" s="62"/>
      <c r="P117" s="30"/>
      <c r="Q117" s="31"/>
      <c r="R117" s="31"/>
      <c r="S117" s="30"/>
      <c r="T117" s="31"/>
      <c r="U117" s="31"/>
      <c r="V117" s="30">
        <v>671631.14</v>
      </c>
      <c r="W117" s="31"/>
      <c r="X117" s="31"/>
      <c r="Y117" s="30"/>
      <c r="Z117" s="31"/>
      <c r="AA117" s="31"/>
      <c r="AB117" s="62"/>
      <c r="AC117" s="106"/>
      <c r="AD117" s="106"/>
      <c r="AE117" s="30">
        <v>396.28046400610901</v>
      </c>
      <c r="AF117" s="30">
        <v>396.28046400610901</v>
      </c>
      <c r="AG117" s="33">
        <v>2022</v>
      </c>
      <c r="AH117" s="1">
        <v>1936703.42</v>
      </c>
      <c r="AI117" s="5">
        <f t="shared" si="32"/>
        <v>388487.39999999997</v>
      </c>
      <c r="AJ117" s="5">
        <f t="shared" si="33"/>
        <v>13711320</v>
      </c>
      <c r="AL117" s="37">
        <f t="shared" si="34"/>
        <v>0</v>
      </c>
      <c r="AM117" s="62"/>
      <c r="AN117" s="62"/>
      <c r="AO117" s="162">
        <v>655531.02</v>
      </c>
      <c r="AP117" s="62"/>
      <c r="AQ117" s="62"/>
      <c r="AR117" s="62"/>
      <c r="AS117" s="62"/>
      <c r="AT117" s="62"/>
      <c r="AU117" s="62"/>
      <c r="AV117" s="62"/>
      <c r="AW117" s="62"/>
      <c r="AY117" s="62"/>
      <c r="AZ117" s="30"/>
      <c r="BA117" s="109">
        <v>16100.12</v>
      </c>
      <c r="BB117" s="5">
        <f t="shared" si="30"/>
        <v>671631.14</v>
      </c>
    </row>
    <row r="118" spans="1:54" hidden="1">
      <c r="A118" s="104">
        <f t="shared" si="35"/>
        <v>101</v>
      </c>
      <c r="B118" s="101">
        <f t="shared" si="36"/>
        <v>101</v>
      </c>
      <c r="C118" s="101" t="s">
        <v>185</v>
      </c>
      <c r="D118" s="101" t="s">
        <v>305</v>
      </c>
      <c r="E118" s="102">
        <v>1993</v>
      </c>
      <c r="F118" s="102">
        <v>2013</v>
      </c>
      <c r="G118" s="102" t="s">
        <v>3</v>
      </c>
      <c r="H118" s="102">
        <v>5</v>
      </c>
      <c r="I118" s="102">
        <v>2</v>
      </c>
      <c r="J118" s="62">
        <v>2382.6999999999998</v>
      </c>
      <c r="K118" s="62">
        <v>2177.75</v>
      </c>
      <c r="L118" s="62">
        <v>0</v>
      </c>
      <c r="M118" s="103">
        <v>103</v>
      </c>
      <c r="N118" s="28">
        <f t="shared" si="25"/>
        <v>8384626.2694999995</v>
      </c>
      <c r="O118" s="62"/>
      <c r="P118" s="30">
        <v>376305.81</v>
      </c>
      <c r="Q118" s="31"/>
      <c r="R118" s="31"/>
      <c r="S118" s="30"/>
      <c r="T118" s="31"/>
      <c r="U118" s="31"/>
      <c r="V118" s="30">
        <v>751589.24</v>
      </c>
      <c r="W118" s="31"/>
      <c r="X118" s="31"/>
      <c r="Y118" s="30">
        <v>7256731.2194999997</v>
      </c>
      <c r="Z118" s="31"/>
      <c r="AA118" s="31"/>
      <c r="AB118" s="62"/>
      <c r="AC118" s="106"/>
      <c r="AD118" s="106"/>
      <c r="AE118" s="30">
        <v>4052.6912738664701</v>
      </c>
      <c r="AF118" s="30">
        <v>4052.6912738664701</v>
      </c>
      <c r="AG118" s="33">
        <v>2022</v>
      </c>
      <c r="AH118" s="1">
        <v>1043569.01</v>
      </c>
      <c r="AI118" s="5">
        <f t="shared" si="32"/>
        <v>222130.5</v>
      </c>
      <c r="AJ118" s="5">
        <f t="shared" si="33"/>
        <v>7839900</v>
      </c>
      <c r="AL118" s="37">
        <f t="shared" si="34"/>
        <v>0</v>
      </c>
      <c r="AM118" s="62"/>
      <c r="AN118" s="62">
        <v>1337737.05</v>
      </c>
      <c r="AO118" s="162">
        <v>613148.77</v>
      </c>
      <c r="AP118" s="62">
        <v>943239.55</v>
      </c>
      <c r="AQ118" s="62"/>
      <c r="AR118" s="62"/>
      <c r="AS118" s="62"/>
      <c r="AT118" s="62">
        <v>0</v>
      </c>
      <c r="AU118" s="62">
        <v>3170792.72</v>
      </c>
      <c r="AV118" s="62">
        <v>0</v>
      </c>
      <c r="AW118" s="62">
        <v>0</v>
      </c>
      <c r="AX118" s="62">
        <v>0</v>
      </c>
      <c r="AY118" s="62">
        <v>2090379.2509000001</v>
      </c>
      <c r="AZ118" s="30">
        <v>229328.92860000001</v>
      </c>
      <c r="BA118" s="40"/>
      <c r="BB118" s="5">
        <f t="shared" si="30"/>
        <v>8384626.2694999995</v>
      </c>
    </row>
    <row r="119" spans="1:54" hidden="1">
      <c r="A119" s="104">
        <f t="shared" si="35"/>
        <v>102</v>
      </c>
      <c r="B119" s="101">
        <f t="shared" si="36"/>
        <v>102</v>
      </c>
      <c r="C119" s="101" t="s">
        <v>185</v>
      </c>
      <c r="D119" s="101" t="s">
        <v>307</v>
      </c>
      <c r="E119" s="102">
        <v>1966</v>
      </c>
      <c r="F119" s="102">
        <v>2013</v>
      </c>
      <c r="G119" s="102" t="s">
        <v>3</v>
      </c>
      <c r="H119" s="102">
        <v>4</v>
      </c>
      <c r="I119" s="102">
        <v>6</v>
      </c>
      <c r="J119" s="62">
        <v>2829.5</v>
      </c>
      <c r="K119" s="62">
        <v>2537.8000000000002</v>
      </c>
      <c r="L119" s="62">
        <v>230.6</v>
      </c>
      <c r="M119" s="103">
        <v>144</v>
      </c>
      <c r="N119" s="28">
        <f t="shared" si="25"/>
        <v>3582145.82</v>
      </c>
      <c r="O119" s="62"/>
      <c r="P119" s="30"/>
      <c r="Q119" s="31"/>
      <c r="R119" s="31"/>
      <c r="S119" s="30"/>
      <c r="T119" s="31"/>
      <c r="U119" s="31"/>
      <c r="V119" s="30">
        <v>1506343.88</v>
      </c>
      <c r="W119" s="31"/>
      <c r="X119" s="31"/>
      <c r="Y119" s="30">
        <v>2075801.94</v>
      </c>
      <c r="Z119" s="31"/>
      <c r="AA119" s="31"/>
      <c r="AB119" s="62">
        <v>0</v>
      </c>
      <c r="AC119" s="106"/>
      <c r="AD119" s="106"/>
      <c r="AE119" s="30">
        <v>1293.9408394740601</v>
      </c>
      <c r="AF119" s="30">
        <v>1293.9408394740601</v>
      </c>
      <c r="AG119" s="33">
        <v>2022</v>
      </c>
      <c r="AH119" s="1">
        <v>1303433.04</v>
      </c>
      <c r="AI119" s="5">
        <f t="shared" si="32"/>
        <v>305898</v>
      </c>
      <c r="AJ119" s="5">
        <f t="shared" si="33"/>
        <v>10796400</v>
      </c>
      <c r="AL119" s="37">
        <f t="shared" si="34"/>
        <v>0</v>
      </c>
      <c r="AM119" s="62">
        <v>2763321.73</v>
      </c>
      <c r="AN119" s="62"/>
      <c r="AO119" s="162"/>
      <c r="AP119" s="62"/>
      <c r="AQ119" s="62"/>
      <c r="AR119" s="62">
        <v>0</v>
      </c>
      <c r="AS119" s="62"/>
      <c r="AT119" s="62">
        <v>0</v>
      </c>
      <c r="AU119" s="62">
        <v>0</v>
      </c>
      <c r="AV119" s="62">
        <v>0</v>
      </c>
      <c r="AW119" s="62">
        <v>0</v>
      </c>
      <c r="AX119" s="62">
        <v>0</v>
      </c>
      <c r="AY119" s="62">
        <v>788750.73</v>
      </c>
      <c r="AZ119" s="30"/>
      <c r="BA119" s="109">
        <v>30073.360000000001</v>
      </c>
      <c r="BB119" s="5">
        <f t="shared" si="30"/>
        <v>3582145.82</v>
      </c>
    </row>
    <row r="120" spans="1:54" hidden="1">
      <c r="A120" s="104">
        <f t="shared" si="35"/>
        <v>103</v>
      </c>
      <c r="B120" s="101">
        <f t="shared" si="36"/>
        <v>103</v>
      </c>
      <c r="C120" s="101" t="s">
        <v>185</v>
      </c>
      <c r="D120" s="101" t="s">
        <v>309</v>
      </c>
      <c r="E120" s="102">
        <v>1973</v>
      </c>
      <c r="F120" s="102">
        <v>2013</v>
      </c>
      <c r="G120" s="102" t="s">
        <v>3</v>
      </c>
      <c r="H120" s="102">
        <v>5</v>
      </c>
      <c r="I120" s="102">
        <v>4</v>
      </c>
      <c r="J120" s="62">
        <v>3187.3</v>
      </c>
      <c r="K120" s="62">
        <v>2508.4</v>
      </c>
      <c r="L120" s="62">
        <v>678.9</v>
      </c>
      <c r="M120" s="103">
        <v>119</v>
      </c>
      <c r="N120" s="28">
        <f t="shared" si="25"/>
        <v>1007223.29</v>
      </c>
      <c r="O120" s="62"/>
      <c r="P120" s="30"/>
      <c r="Q120" s="31"/>
      <c r="R120" s="31"/>
      <c r="S120" s="30"/>
      <c r="T120" s="31"/>
      <c r="U120" s="31"/>
      <c r="V120" s="30">
        <v>1007223.29</v>
      </c>
      <c r="W120" s="31"/>
      <c r="X120" s="31"/>
      <c r="Y120" s="30"/>
      <c r="Z120" s="31"/>
      <c r="AA120" s="31"/>
      <c r="AB120" s="62"/>
      <c r="AC120" s="106"/>
      <c r="AD120" s="106"/>
      <c r="AE120" s="30">
        <v>317.84173752078601</v>
      </c>
      <c r="AF120" s="30">
        <v>317.84173752078601</v>
      </c>
      <c r="AG120" s="33">
        <v>2022</v>
      </c>
      <c r="AH120" s="1">
        <v>1840438.6</v>
      </c>
      <c r="AI120" s="5">
        <f t="shared" si="32"/>
        <v>394352.39999999997</v>
      </c>
      <c r="AJ120" s="5">
        <f t="shared" si="33"/>
        <v>13918320</v>
      </c>
      <c r="AL120" s="37">
        <f t="shared" si="34"/>
        <v>0</v>
      </c>
      <c r="AM120" s="62">
        <v>0</v>
      </c>
      <c r="AN120" s="62">
        <v>0</v>
      </c>
      <c r="AO120" s="162">
        <v>0</v>
      </c>
      <c r="AP120" s="62">
        <v>0</v>
      </c>
      <c r="AQ120" s="62">
        <v>1007223.29</v>
      </c>
      <c r="AR120" s="62"/>
      <c r="AS120" s="62"/>
      <c r="AT120" s="62">
        <v>0</v>
      </c>
      <c r="AU120" s="62">
        <v>0</v>
      </c>
      <c r="AV120" s="62">
        <v>0</v>
      </c>
      <c r="AW120" s="62">
        <v>0</v>
      </c>
      <c r="AX120" s="62">
        <v>0</v>
      </c>
      <c r="AY120" s="62"/>
      <c r="AZ120" s="30"/>
      <c r="BA120" s="40"/>
      <c r="BB120" s="5">
        <f t="shared" si="30"/>
        <v>1007223.29</v>
      </c>
    </row>
    <row r="121" spans="1:54" hidden="1">
      <c r="A121" s="104">
        <f t="shared" si="35"/>
        <v>104</v>
      </c>
      <c r="B121" s="101">
        <f t="shared" si="36"/>
        <v>104</v>
      </c>
      <c r="C121" s="101" t="s">
        <v>185</v>
      </c>
      <c r="D121" s="101" t="s">
        <v>311</v>
      </c>
      <c r="E121" s="102">
        <v>1995</v>
      </c>
      <c r="F121" s="102">
        <v>2013</v>
      </c>
      <c r="G121" s="102" t="s">
        <v>3</v>
      </c>
      <c r="H121" s="102">
        <v>5</v>
      </c>
      <c r="I121" s="102">
        <v>2</v>
      </c>
      <c r="J121" s="62">
        <v>2325.6999999999998</v>
      </c>
      <c r="K121" s="62">
        <v>1861.6</v>
      </c>
      <c r="L121" s="62">
        <v>0</v>
      </c>
      <c r="M121" s="103">
        <v>45</v>
      </c>
      <c r="N121" s="28">
        <f t="shared" si="25"/>
        <v>12165659.144400001</v>
      </c>
      <c r="O121" s="62"/>
      <c r="P121" s="30">
        <v>3166309.31</v>
      </c>
      <c r="Q121" s="31"/>
      <c r="R121" s="31"/>
      <c r="S121" s="30"/>
      <c r="T121" s="31"/>
      <c r="U121" s="31"/>
      <c r="V121" s="30">
        <v>801099.03</v>
      </c>
      <c r="W121" s="31"/>
      <c r="X121" s="31"/>
      <c r="Y121" s="30">
        <v>6701760</v>
      </c>
      <c r="Z121" s="31"/>
      <c r="AA121" s="31"/>
      <c r="AB121" s="62">
        <v>1496490.8044</v>
      </c>
      <c r="AC121" s="106"/>
      <c r="AD121" s="106"/>
      <c r="AE121" s="30">
        <v>6794.8608030231198</v>
      </c>
      <c r="AF121" s="30">
        <v>6794.8608030231198</v>
      </c>
      <c r="AG121" s="33">
        <v>2022</v>
      </c>
      <c r="AH121" s="1">
        <v>717879.06</v>
      </c>
      <c r="AI121" s="5">
        <f t="shared" si="32"/>
        <v>189883.19999999998</v>
      </c>
      <c r="AJ121" s="5">
        <f t="shared" si="33"/>
        <v>6701760</v>
      </c>
      <c r="AL121" s="37">
        <f t="shared" si="34"/>
        <v>0</v>
      </c>
      <c r="AM121" s="62">
        <v>3644506.14</v>
      </c>
      <c r="AN121" s="62"/>
      <c r="AO121" s="162">
        <v>914465.47</v>
      </c>
      <c r="AP121" s="62"/>
      <c r="AQ121" s="62">
        <v>0</v>
      </c>
      <c r="AR121" s="62"/>
      <c r="AS121" s="62"/>
      <c r="AT121" s="62">
        <v>0</v>
      </c>
      <c r="AU121" s="62">
        <v>3794408.23</v>
      </c>
      <c r="AV121" s="62">
        <v>0</v>
      </c>
      <c r="AW121" s="62">
        <v>0</v>
      </c>
      <c r="AX121" s="62">
        <v>3615223.51</v>
      </c>
      <c r="AY121" s="62">
        <v>160007.0122</v>
      </c>
      <c r="AZ121" s="30">
        <v>37048.782200000001</v>
      </c>
      <c r="BA121" s="40"/>
      <c r="BB121" s="5">
        <f t="shared" si="30"/>
        <v>12165659.144400001</v>
      </c>
    </row>
    <row r="122" spans="1:54" s="142" customFormat="1" hidden="1">
      <c r="A122" s="104">
        <f t="shared" si="35"/>
        <v>105</v>
      </c>
      <c r="B122" s="101">
        <f t="shared" si="36"/>
        <v>105</v>
      </c>
      <c r="C122" s="101" t="s">
        <v>313</v>
      </c>
      <c r="D122" s="101" t="s">
        <v>314</v>
      </c>
      <c r="E122" s="102" t="s">
        <v>315</v>
      </c>
      <c r="F122" s="102"/>
      <c r="G122" s="102" t="s">
        <v>3</v>
      </c>
      <c r="H122" s="102" t="s">
        <v>183</v>
      </c>
      <c r="I122" s="102" t="s">
        <v>316</v>
      </c>
      <c r="J122" s="62">
        <v>5677.5</v>
      </c>
      <c r="K122" s="62">
        <v>4896.3999999999996</v>
      </c>
      <c r="L122" s="62">
        <v>72</v>
      </c>
      <c r="M122" s="103">
        <v>216</v>
      </c>
      <c r="N122" s="28">
        <f t="shared" si="25"/>
        <v>54428541.629999995</v>
      </c>
      <c r="O122" s="62">
        <v>0</v>
      </c>
      <c r="P122" s="30">
        <v>13939244.220000001</v>
      </c>
      <c r="Q122" s="31"/>
      <c r="R122" s="31"/>
      <c r="S122" s="30">
        <v>0</v>
      </c>
      <c r="T122" s="31"/>
      <c r="U122" s="31"/>
      <c r="V122" s="30">
        <v>2546224.96</v>
      </c>
      <c r="W122" s="31"/>
      <c r="X122" s="31"/>
      <c r="Y122" s="30">
        <v>18145440</v>
      </c>
      <c r="Z122" s="31"/>
      <c r="AA122" s="31"/>
      <c r="AB122" s="62">
        <v>19797632.449999999</v>
      </c>
      <c r="AC122" s="106"/>
      <c r="AD122" s="106"/>
      <c r="AE122" s="30">
        <v>224.97</v>
      </c>
      <c r="AF122" s="30">
        <v>224.97</v>
      </c>
      <c r="AG122" s="33">
        <v>2022</v>
      </c>
      <c r="AH122" s="142">
        <v>2265420.6</v>
      </c>
      <c r="AI122" s="5">
        <f t="shared" si="32"/>
        <v>514120.8</v>
      </c>
      <c r="AJ122" s="5">
        <f t="shared" si="33"/>
        <v>18145440</v>
      </c>
      <c r="AK122" s="5"/>
      <c r="AL122" s="37">
        <f t="shared" si="34"/>
        <v>0</v>
      </c>
      <c r="AM122" s="62"/>
      <c r="AN122" s="62"/>
      <c r="AO122" s="165"/>
      <c r="AP122" s="62"/>
      <c r="AQ122" s="62"/>
      <c r="AR122" s="62"/>
      <c r="AS122" s="62"/>
      <c r="AT122" s="62"/>
      <c r="AU122" s="62">
        <v>14003938.84</v>
      </c>
      <c r="AV122" s="62"/>
      <c r="AW122" s="62">
        <v>32173395.460000001</v>
      </c>
      <c r="AX122" s="62">
        <v>8022917.0300000003</v>
      </c>
      <c r="AY122" s="62">
        <v>228290.3</v>
      </c>
      <c r="AZ122" s="30"/>
      <c r="BA122" s="40"/>
      <c r="BB122" s="5">
        <f t="shared" ref="BB122:BB153" si="37">N122-AL122</f>
        <v>54428541.629999995</v>
      </c>
    </row>
    <row r="123" spans="1:54" hidden="1">
      <c r="A123" s="104">
        <f t="shared" si="35"/>
        <v>106</v>
      </c>
      <c r="B123" s="101">
        <f t="shared" si="36"/>
        <v>106</v>
      </c>
      <c r="C123" s="101" t="s">
        <v>185</v>
      </c>
      <c r="D123" s="101" t="s">
        <v>317</v>
      </c>
      <c r="E123" s="102">
        <v>1986</v>
      </c>
      <c r="F123" s="102">
        <v>2013</v>
      </c>
      <c r="G123" s="102" t="s">
        <v>3</v>
      </c>
      <c r="H123" s="102">
        <v>12</v>
      </c>
      <c r="I123" s="102">
        <v>1</v>
      </c>
      <c r="J123" s="62">
        <v>5358.08</v>
      </c>
      <c r="K123" s="62">
        <v>4351.1000000000004</v>
      </c>
      <c r="L123" s="62">
        <v>75.099999999999994</v>
      </c>
      <c r="M123" s="103">
        <v>175</v>
      </c>
      <c r="N123" s="28">
        <f t="shared" si="25"/>
        <v>26737671.149999999</v>
      </c>
      <c r="O123" s="62"/>
      <c r="P123" s="30">
        <v>8285257.2000000002</v>
      </c>
      <c r="Q123" s="31"/>
      <c r="R123" s="31"/>
      <c r="S123" s="30"/>
      <c r="T123" s="31"/>
      <c r="U123" s="31"/>
      <c r="V123" s="30">
        <v>3249810.1642</v>
      </c>
      <c r="W123" s="31"/>
      <c r="X123" s="31"/>
      <c r="Y123" s="30">
        <v>15202603.785800001</v>
      </c>
      <c r="Z123" s="31"/>
      <c r="AA123" s="31"/>
      <c r="AB123" s="62"/>
      <c r="AC123" s="106"/>
      <c r="AD123" s="106"/>
      <c r="AE123" s="30">
        <v>6373.5883383105902</v>
      </c>
      <c r="AF123" s="30">
        <v>6373.5883383105902</v>
      </c>
      <c r="AG123" s="33">
        <v>2022</v>
      </c>
      <c r="AH123" s="1">
        <v>2642732.98</v>
      </c>
      <c r="AI123" s="5">
        <f>+(K123*13.29+L123*22.52)*12*0.85</f>
        <v>607077.18420000002</v>
      </c>
      <c r="AJ123" s="5">
        <f>+(K123*13.29+L123*22.52)*12*30</f>
        <v>21426253.560000002</v>
      </c>
      <c r="AL123" s="37">
        <f t="shared" si="34"/>
        <v>0</v>
      </c>
      <c r="AM123" s="62">
        <v>6509238.7699999996</v>
      </c>
      <c r="AN123" s="62">
        <v>2319400.21</v>
      </c>
      <c r="AO123" s="162">
        <v>3775889.5</v>
      </c>
      <c r="AP123" s="62">
        <v>1790627.54</v>
      </c>
      <c r="AQ123" s="62"/>
      <c r="AR123" s="62"/>
      <c r="AS123" s="62"/>
      <c r="AT123" s="62">
        <v>0</v>
      </c>
      <c r="AU123" s="62">
        <v>4646956.9000000004</v>
      </c>
      <c r="AV123" s="62">
        <v>0</v>
      </c>
      <c r="AW123" s="62">
        <v>5003516.4000000004</v>
      </c>
      <c r="AX123" s="62">
        <v>2513954.87</v>
      </c>
      <c r="AY123" s="62"/>
      <c r="AZ123" s="30"/>
      <c r="BA123" s="109">
        <f>54318.24+26212.3+17900.83+13102.42+28632.26+18587.41+19333.5</f>
        <v>178086.96</v>
      </c>
      <c r="BB123" s="5">
        <f t="shared" si="37"/>
        <v>26737671.149999999</v>
      </c>
    </row>
    <row r="124" spans="1:54" hidden="1">
      <c r="A124" s="104">
        <f t="shared" si="35"/>
        <v>107</v>
      </c>
      <c r="B124" s="101">
        <f t="shared" si="36"/>
        <v>107</v>
      </c>
      <c r="C124" s="101" t="s">
        <v>185</v>
      </c>
      <c r="D124" s="101" t="s">
        <v>319</v>
      </c>
      <c r="E124" s="102">
        <v>1974</v>
      </c>
      <c r="F124" s="102">
        <v>2013</v>
      </c>
      <c r="G124" s="102" t="s">
        <v>3</v>
      </c>
      <c r="H124" s="102">
        <v>4</v>
      </c>
      <c r="I124" s="102">
        <v>6</v>
      </c>
      <c r="J124" s="62">
        <v>5678.2</v>
      </c>
      <c r="K124" s="62">
        <v>4923.8</v>
      </c>
      <c r="L124" s="62">
        <v>69.900000000000006</v>
      </c>
      <c r="M124" s="103">
        <v>205</v>
      </c>
      <c r="N124" s="28">
        <f t="shared" si="25"/>
        <v>8153307.5999999996</v>
      </c>
      <c r="O124" s="62"/>
      <c r="P124" s="30"/>
      <c r="Q124" s="31"/>
      <c r="R124" s="31"/>
      <c r="S124" s="30"/>
      <c r="T124" s="31"/>
      <c r="U124" s="31"/>
      <c r="V124" s="30">
        <v>2055008.88</v>
      </c>
      <c r="W124" s="31"/>
      <c r="X124" s="31"/>
      <c r="Y124" s="30">
        <v>6098298.7199999997</v>
      </c>
      <c r="Z124" s="31"/>
      <c r="AA124" s="31"/>
      <c r="AB124" s="62"/>
      <c r="AC124" s="106"/>
      <c r="AD124" s="106"/>
      <c r="AE124" s="30">
        <v>1676.78652807606</v>
      </c>
      <c r="AF124" s="30">
        <v>1676.78652807606</v>
      </c>
      <c r="AG124" s="33">
        <v>2022</v>
      </c>
      <c r="AH124" s="1">
        <v>2280888.52</v>
      </c>
      <c r="AI124" s="5">
        <f>+(K124*10+L124*20)*12*0.85</f>
        <v>516487.2</v>
      </c>
      <c r="AJ124" s="5">
        <f>+(K124*10+L124*20)*12*30</f>
        <v>18228960</v>
      </c>
      <c r="AL124" s="37">
        <f t="shared" si="34"/>
        <v>0</v>
      </c>
      <c r="AM124" s="62">
        <v>0</v>
      </c>
      <c r="AN124" s="62">
        <v>0</v>
      </c>
      <c r="AO124" s="162">
        <v>0</v>
      </c>
      <c r="AP124" s="62">
        <v>0</v>
      </c>
      <c r="AQ124" s="62">
        <v>0</v>
      </c>
      <c r="AR124" s="62"/>
      <c r="AS124" s="62"/>
      <c r="AT124" s="62">
        <v>0</v>
      </c>
      <c r="AU124" s="62">
        <v>6528558.9900000002</v>
      </c>
      <c r="AV124" s="62">
        <v>0</v>
      </c>
      <c r="AW124" s="62">
        <v>0</v>
      </c>
      <c r="AX124" s="62">
        <v>0</v>
      </c>
      <c r="AY124" s="62">
        <v>1523817.88</v>
      </c>
      <c r="AZ124" s="30"/>
      <c r="BA124" s="109">
        <v>100930.73</v>
      </c>
      <c r="BB124" s="5">
        <f t="shared" si="37"/>
        <v>8153307.5999999996</v>
      </c>
    </row>
    <row r="125" spans="1:54" hidden="1">
      <c r="A125" s="104">
        <f t="shared" si="35"/>
        <v>108</v>
      </c>
      <c r="B125" s="101">
        <f t="shared" si="36"/>
        <v>108</v>
      </c>
      <c r="C125" s="101" t="s">
        <v>185</v>
      </c>
      <c r="D125" s="101" t="s">
        <v>320</v>
      </c>
      <c r="E125" s="102">
        <v>1974</v>
      </c>
      <c r="F125" s="102">
        <v>2013</v>
      </c>
      <c r="G125" s="102" t="s">
        <v>3</v>
      </c>
      <c r="H125" s="102">
        <v>4</v>
      </c>
      <c r="I125" s="102">
        <v>6</v>
      </c>
      <c r="J125" s="62">
        <v>5563.5</v>
      </c>
      <c r="K125" s="62">
        <v>4878.8999999999996</v>
      </c>
      <c r="L125" s="62">
        <v>141.30000000000001</v>
      </c>
      <c r="M125" s="103">
        <v>202</v>
      </c>
      <c r="N125" s="28">
        <f t="shared" si="25"/>
        <v>7908665.25</v>
      </c>
      <c r="O125" s="62"/>
      <c r="P125" s="63"/>
      <c r="Q125" s="111"/>
      <c r="R125" s="111"/>
      <c r="S125" s="30"/>
      <c r="T125" s="31"/>
      <c r="U125" s="31"/>
      <c r="V125" s="30">
        <v>2007826.6</v>
      </c>
      <c r="W125" s="31"/>
      <c r="X125" s="31"/>
      <c r="Y125" s="30">
        <v>5900838.6500000004</v>
      </c>
      <c r="Z125" s="31"/>
      <c r="AA125" s="31"/>
      <c r="AB125" s="62"/>
      <c r="AC125" s="106"/>
      <c r="AD125" s="106"/>
      <c r="AE125" s="30">
        <v>1618.5492931373301</v>
      </c>
      <c r="AF125" s="30">
        <v>1618.5492931373301</v>
      </c>
      <c r="AG125" s="33">
        <v>2022</v>
      </c>
      <c r="AH125" s="1">
        <v>2384583.81</v>
      </c>
      <c r="AI125" s="5">
        <f>+(K125*10+L125*20)*12*0.85</f>
        <v>526473</v>
      </c>
      <c r="AJ125" s="5">
        <f>+(K125*10+L125*20)*12*30</f>
        <v>18581400</v>
      </c>
      <c r="AL125" s="37">
        <f t="shared" si="34"/>
        <v>0</v>
      </c>
      <c r="AM125" s="62">
        <v>0</v>
      </c>
      <c r="AN125" s="62">
        <v>0</v>
      </c>
      <c r="AO125" s="162">
        <v>0</v>
      </c>
      <c r="AP125" s="62">
        <v>0</v>
      </c>
      <c r="AQ125" s="62">
        <v>0</v>
      </c>
      <c r="AR125" s="62"/>
      <c r="AS125" s="62"/>
      <c r="AT125" s="62">
        <v>0</v>
      </c>
      <c r="AU125" s="62">
        <v>6264359.7599999998</v>
      </c>
      <c r="AV125" s="62">
        <v>0</v>
      </c>
      <c r="AW125" s="62">
        <v>0</v>
      </c>
      <c r="AX125" s="62">
        <v>0</v>
      </c>
      <c r="AY125" s="62">
        <v>1547459.25</v>
      </c>
      <c r="AZ125" s="30"/>
      <c r="BA125" s="109">
        <v>96846.24</v>
      </c>
      <c r="BB125" s="5">
        <f t="shared" si="37"/>
        <v>7908665.25</v>
      </c>
    </row>
    <row r="126" spans="1:54" hidden="1">
      <c r="A126" s="104">
        <f t="shared" si="35"/>
        <v>109</v>
      </c>
      <c r="B126" s="101">
        <f t="shared" si="36"/>
        <v>109</v>
      </c>
      <c r="C126" s="101" t="s">
        <v>185</v>
      </c>
      <c r="D126" s="101" t="s">
        <v>322</v>
      </c>
      <c r="E126" s="102">
        <v>1968</v>
      </c>
      <c r="F126" s="102">
        <v>2013</v>
      </c>
      <c r="G126" s="102" t="s">
        <v>3</v>
      </c>
      <c r="H126" s="102">
        <v>4</v>
      </c>
      <c r="I126" s="102">
        <v>4</v>
      </c>
      <c r="J126" s="62">
        <v>1991.8</v>
      </c>
      <c r="K126" s="62">
        <v>1480.5</v>
      </c>
      <c r="L126" s="62">
        <v>509.2</v>
      </c>
      <c r="M126" s="103">
        <v>80</v>
      </c>
      <c r="N126" s="28">
        <f t="shared" si="25"/>
        <v>435458</v>
      </c>
      <c r="O126" s="62"/>
      <c r="P126" s="30">
        <v>185262.05</v>
      </c>
      <c r="Q126" s="31"/>
      <c r="R126" s="31"/>
      <c r="S126" s="30"/>
      <c r="T126" s="31"/>
      <c r="U126" s="31"/>
      <c r="V126" s="30">
        <v>250195.95</v>
      </c>
      <c r="W126" s="31"/>
      <c r="X126" s="31"/>
      <c r="Y126" s="30">
        <v>0</v>
      </c>
      <c r="Z126" s="31"/>
      <c r="AA126" s="31"/>
      <c r="AB126" s="62">
        <v>0</v>
      </c>
      <c r="AC126" s="106"/>
      <c r="AD126" s="106"/>
      <c r="AE126" s="30">
        <v>218.85610896115</v>
      </c>
      <c r="AF126" s="30">
        <v>218.85610896115</v>
      </c>
      <c r="AG126" s="33">
        <v>2022</v>
      </c>
      <c r="AH126" s="1">
        <v>1179424.97</v>
      </c>
      <c r="AI126" s="5">
        <f>+(K126*10+L126*20)*12*0.85</f>
        <v>254887.8</v>
      </c>
      <c r="AJ126" s="5">
        <f>+(K126*10+L126*20)*12*30</f>
        <v>8996040</v>
      </c>
      <c r="AL126" s="37">
        <f t="shared" si="34"/>
        <v>0</v>
      </c>
      <c r="AM126" s="62">
        <v>0</v>
      </c>
      <c r="AN126" s="62">
        <v>0</v>
      </c>
      <c r="AO126" s="162">
        <v>0</v>
      </c>
      <c r="AP126" s="62">
        <v>0</v>
      </c>
      <c r="AQ126" s="62">
        <v>435458</v>
      </c>
      <c r="AR126" s="62"/>
      <c r="AS126" s="62"/>
      <c r="AT126" s="62">
        <v>0</v>
      </c>
      <c r="AU126" s="62">
        <v>0</v>
      </c>
      <c r="AV126" s="62">
        <v>0</v>
      </c>
      <c r="AW126" s="62">
        <v>0</v>
      </c>
      <c r="AX126" s="62">
        <v>0</v>
      </c>
      <c r="AY126" s="62"/>
      <c r="AZ126" s="30"/>
      <c r="BA126" s="156"/>
      <c r="BB126" s="5">
        <f t="shared" si="37"/>
        <v>435458</v>
      </c>
    </row>
    <row r="127" spans="1:54" s="142" customFormat="1" hidden="1">
      <c r="A127" s="104">
        <f t="shared" si="35"/>
        <v>110</v>
      </c>
      <c r="B127" s="101">
        <f t="shared" si="36"/>
        <v>110</v>
      </c>
      <c r="C127" s="101" t="s">
        <v>185</v>
      </c>
      <c r="D127" s="101" t="s">
        <v>324</v>
      </c>
      <c r="E127" s="102">
        <v>1973</v>
      </c>
      <c r="F127" s="102"/>
      <c r="G127" s="102" t="s">
        <v>3</v>
      </c>
      <c r="H127" s="102">
        <v>4</v>
      </c>
      <c r="I127" s="102">
        <v>4</v>
      </c>
      <c r="J127" s="62">
        <v>2965.1</v>
      </c>
      <c r="K127" s="62">
        <v>2671.7</v>
      </c>
      <c r="L127" s="62">
        <v>61.9</v>
      </c>
      <c r="M127" s="103">
        <v>112</v>
      </c>
      <c r="N127" s="28">
        <f t="shared" si="25"/>
        <v>1097504.5</v>
      </c>
      <c r="O127" s="62"/>
      <c r="P127" s="30"/>
      <c r="Q127" s="31"/>
      <c r="R127" s="31"/>
      <c r="S127" s="30"/>
      <c r="T127" s="31"/>
      <c r="U127" s="31"/>
      <c r="V127" s="30">
        <v>1097504.5</v>
      </c>
      <c r="W127" s="31"/>
      <c r="X127" s="31"/>
      <c r="Y127" s="30">
        <v>0</v>
      </c>
      <c r="Z127" s="31"/>
      <c r="AA127" s="31"/>
      <c r="AB127" s="62">
        <v>0</v>
      </c>
      <c r="AC127" s="106"/>
      <c r="AD127" s="106"/>
      <c r="AE127" s="30">
        <v>401.48686713491401</v>
      </c>
      <c r="AF127" s="30">
        <v>401.48686713491401</v>
      </c>
      <c r="AG127" s="33">
        <v>2022</v>
      </c>
      <c r="AH127" s="166">
        <v>1534449.43</v>
      </c>
      <c r="AI127" s="5">
        <f>+(K127*10+L127*20)*12*0.85</f>
        <v>285141</v>
      </c>
      <c r="AJ127" s="5">
        <f>+(K127*10+L127*20)*12*30</f>
        <v>10063800</v>
      </c>
      <c r="AK127" s="5"/>
      <c r="AL127" s="37">
        <f t="shared" si="34"/>
        <v>0</v>
      </c>
      <c r="AM127" s="62">
        <v>0</v>
      </c>
      <c r="AN127" s="62"/>
      <c r="AO127" s="162">
        <v>0</v>
      </c>
      <c r="AP127" s="1"/>
      <c r="AQ127" s="62">
        <v>1097504.5</v>
      </c>
      <c r="AR127" s="62"/>
      <c r="AS127" s="62"/>
      <c r="AT127" s="62">
        <v>0</v>
      </c>
      <c r="AU127" s="62">
        <v>0</v>
      </c>
      <c r="AV127" s="62">
        <v>0</v>
      </c>
      <c r="AW127" s="62">
        <v>0</v>
      </c>
      <c r="AX127" s="62">
        <v>0</v>
      </c>
      <c r="AY127" s="62"/>
      <c r="AZ127" s="62"/>
      <c r="BA127" s="156"/>
      <c r="BB127" s="5">
        <f t="shared" si="37"/>
        <v>1097504.5</v>
      </c>
    </row>
    <row r="128" spans="1:54" hidden="1">
      <c r="A128" s="104">
        <f t="shared" si="35"/>
        <v>111</v>
      </c>
      <c r="B128" s="101">
        <f t="shared" si="36"/>
        <v>111</v>
      </c>
      <c r="C128" s="101" t="s">
        <v>185</v>
      </c>
      <c r="D128" s="101" t="s">
        <v>325</v>
      </c>
      <c r="E128" s="102">
        <v>1977</v>
      </c>
      <c r="F128" s="102">
        <v>2013</v>
      </c>
      <c r="G128" s="102" t="s">
        <v>3</v>
      </c>
      <c r="H128" s="102">
        <v>9</v>
      </c>
      <c r="I128" s="102">
        <v>1</v>
      </c>
      <c r="J128" s="62">
        <v>2365.9899999999998</v>
      </c>
      <c r="K128" s="62">
        <v>1903.5</v>
      </c>
      <c r="L128" s="62">
        <v>136</v>
      </c>
      <c r="M128" s="103">
        <v>70</v>
      </c>
      <c r="N128" s="28">
        <f t="shared" si="25"/>
        <v>500183.41</v>
      </c>
      <c r="O128" s="62"/>
      <c r="P128" s="30"/>
      <c r="Q128" s="31"/>
      <c r="R128" s="31"/>
      <c r="S128" s="30"/>
      <c r="T128" s="31"/>
      <c r="U128" s="31"/>
      <c r="V128" s="30">
        <v>178776.52939558</v>
      </c>
      <c r="W128" s="31"/>
      <c r="X128" s="31"/>
      <c r="Y128" s="30">
        <v>321406.88060441997</v>
      </c>
      <c r="Z128" s="31"/>
      <c r="AA128" s="31"/>
      <c r="AB128" s="62"/>
      <c r="AC128" s="106"/>
      <c r="AD128" s="106"/>
      <c r="AE128" s="30">
        <v>332.90509408952198</v>
      </c>
      <c r="AF128" s="30">
        <v>332.90509408952198</v>
      </c>
      <c r="AG128" s="33">
        <v>2022</v>
      </c>
      <c r="AH128" s="1">
        <f>1333569.91-680973.2372-75663.69</f>
        <v>576932.98279999988</v>
      </c>
      <c r="AI128" s="5">
        <f>+(K128*13.29+L128*22.52)*12*0.85</f>
        <v>289274.397</v>
      </c>
      <c r="AJ128" s="5">
        <f>+(K128*13.29+L128*22.52)*12*30-6485.14-39928.49</f>
        <v>10163270.969999999</v>
      </c>
      <c r="AL128" s="37">
        <f t="shared" si="34"/>
        <v>0</v>
      </c>
      <c r="AM128" s="62"/>
      <c r="AN128" s="62"/>
      <c r="AO128" s="162"/>
      <c r="AP128" s="62"/>
      <c r="AQ128" s="62">
        <v>500183.41</v>
      </c>
      <c r="AR128" s="62"/>
      <c r="AS128" s="62"/>
      <c r="AT128" s="62">
        <v>0</v>
      </c>
      <c r="AU128" s="62">
        <v>0</v>
      </c>
      <c r="AV128" s="62">
        <v>0</v>
      </c>
      <c r="AW128" s="62"/>
      <c r="AX128" s="62">
        <v>0</v>
      </c>
      <c r="AY128" s="62"/>
      <c r="AZ128" s="30"/>
      <c r="BA128" s="40"/>
      <c r="BB128" s="5">
        <f t="shared" si="37"/>
        <v>500183.41</v>
      </c>
    </row>
    <row r="129" spans="1:54" hidden="1">
      <c r="A129" s="104">
        <f t="shared" si="35"/>
        <v>112</v>
      </c>
      <c r="B129" s="101">
        <f t="shared" si="36"/>
        <v>112</v>
      </c>
      <c r="C129" s="101" t="s">
        <v>185</v>
      </c>
      <c r="D129" s="101" t="s">
        <v>327</v>
      </c>
      <c r="E129" s="102">
        <v>1964</v>
      </c>
      <c r="F129" s="102">
        <v>2016</v>
      </c>
      <c r="G129" s="102" t="s">
        <v>3</v>
      </c>
      <c r="H129" s="102">
        <v>4</v>
      </c>
      <c r="I129" s="102">
        <v>4</v>
      </c>
      <c r="J129" s="62">
        <v>2622.1</v>
      </c>
      <c r="K129" s="62">
        <v>2204.5</v>
      </c>
      <c r="L129" s="62">
        <v>225.2</v>
      </c>
      <c r="M129" s="103">
        <v>107</v>
      </c>
      <c r="N129" s="28">
        <f t="shared" si="25"/>
        <v>994811.65</v>
      </c>
      <c r="O129" s="62"/>
      <c r="P129" s="30">
        <v>613613.93000000005</v>
      </c>
      <c r="Q129" s="31"/>
      <c r="R129" s="31"/>
      <c r="S129" s="30"/>
      <c r="T129" s="31"/>
      <c r="U129" s="31"/>
      <c r="V129" s="30">
        <v>381197.72</v>
      </c>
      <c r="W129" s="31"/>
      <c r="X129" s="31"/>
      <c r="Y129" s="30">
        <v>0</v>
      </c>
      <c r="Z129" s="31"/>
      <c r="AA129" s="31"/>
      <c r="AB129" s="62"/>
      <c r="AC129" s="106"/>
      <c r="AD129" s="106"/>
      <c r="AE129" s="30">
        <v>409.43805819648497</v>
      </c>
      <c r="AF129" s="30">
        <v>409.43805819648497</v>
      </c>
      <c r="AG129" s="33">
        <v>2022</v>
      </c>
      <c r="AH129" s="1">
        <v>1171903.8500000001</v>
      </c>
      <c r="AI129" s="5">
        <f>+(K129*10+L129*20)*12*0.85</f>
        <v>270799.8</v>
      </c>
      <c r="AJ129" s="5">
        <f>+(K129*10+L129*20)*12*30</f>
        <v>9557640</v>
      </c>
      <c r="AL129" s="37">
        <f t="shared" si="34"/>
        <v>0</v>
      </c>
      <c r="AM129" s="62">
        <v>0</v>
      </c>
      <c r="AN129" s="62">
        <v>0</v>
      </c>
      <c r="AO129" s="162">
        <v>0</v>
      </c>
      <c r="AP129" s="62">
        <v>0</v>
      </c>
      <c r="AQ129" s="62">
        <v>994811.65</v>
      </c>
      <c r="AR129" s="62"/>
      <c r="AS129" s="62"/>
      <c r="AT129" s="62">
        <v>0</v>
      </c>
      <c r="AU129" s="62">
        <v>0</v>
      </c>
      <c r="AV129" s="62">
        <v>0</v>
      </c>
      <c r="AW129" s="62">
        <v>0</v>
      </c>
      <c r="AX129" s="62">
        <v>0</v>
      </c>
      <c r="AY129" s="62"/>
      <c r="AZ129" s="30"/>
      <c r="BA129" s="156"/>
      <c r="BB129" s="5">
        <f t="shared" si="37"/>
        <v>994811.65</v>
      </c>
    </row>
    <row r="130" spans="1:54" hidden="1">
      <c r="A130" s="104">
        <f t="shared" si="35"/>
        <v>113</v>
      </c>
      <c r="B130" s="101">
        <f t="shared" si="36"/>
        <v>113</v>
      </c>
      <c r="C130" s="101" t="s">
        <v>185</v>
      </c>
      <c r="D130" s="101" t="s">
        <v>329</v>
      </c>
      <c r="E130" s="102">
        <v>1973</v>
      </c>
      <c r="F130" s="102">
        <v>2013</v>
      </c>
      <c r="G130" s="102" t="s">
        <v>3</v>
      </c>
      <c r="H130" s="102">
        <v>5</v>
      </c>
      <c r="I130" s="102">
        <v>8</v>
      </c>
      <c r="J130" s="62">
        <v>6624.9</v>
      </c>
      <c r="K130" s="62">
        <v>5826</v>
      </c>
      <c r="L130" s="62">
        <v>239.3</v>
      </c>
      <c r="M130" s="103">
        <v>272</v>
      </c>
      <c r="N130" s="28">
        <f t="shared" si="25"/>
        <v>2131641.8199999998</v>
      </c>
      <c r="O130" s="62"/>
      <c r="P130" s="30"/>
      <c r="Q130" s="31"/>
      <c r="R130" s="31"/>
      <c r="S130" s="30"/>
      <c r="T130" s="31"/>
      <c r="U130" s="31"/>
      <c r="V130" s="30">
        <v>2131641.8199999998</v>
      </c>
      <c r="W130" s="31"/>
      <c r="X130" s="31"/>
      <c r="Y130" s="30"/>
      <c r="Z130" s="31"/>
      <c r="AA130" s="31"/>
      <c r="AB130" s="62"/>
      <c r="AC130" s="106"/>
      <c r="AD130" s="106"/>
      <c r="AE130" s="30">
        <v>362.14966155672403</v>
      </c>
      <c r="AF130" s="30">
        <v>362.14966155672403</v>
      </c>
      <c r="AG130" s="33">
        <v>2022</v>
      </c>
      <c r="AH130" s="1">
        <f>3058321.2-217412.18</f>
        <v>2840909.02</v>
      </c>
      <c r="AI130" s="5">
        <f>+(K130*10+L130*20)*12*0.85</f>
        <v>643069.19999999995</v>
      </c>
      <c r="AJ130" s="5">
        <f>+(K130*10+L130*20)*12*30-1066942.82</f>
        <v>21629617.18</v>
      </c>
      <c r="AL130" s="37">
        <f t="shared" si="34"/>
        <v>0</v>
      </c>
      <c r="AM130" s="62"/>
      <c r="AN130" s="62"/>
      <c r="AO130" s="162"/>
      <c r="AP130" s="62"/>
      <c r="AQ130" s="62">
        <v>2104784.6800000002</v>
      </c>
      <c r="AR130" s="62"/>
      <c r="AS130" s="62"/>
      <c r="AT130" s="62">
        <v>0</v>
      </c>
      <c r="AU130" s="62">
        <v>0</v>
      </c>
      <c r="AV130" s="62"/>
      <c r="AW130" s="62"/>
      <c r="AX130" s="62"/>
      <c r="AY130" s="62">
        <v>2857.14</v>
      </c>
      <c r="AZ130" s="30">
        <v>24000</v>
      </c>
      <c r="BA130" s="40"/>
      <c r="BB130" s="5">
        <f t="shared" si="37"/>
        <v>2131641.8199999998</v>
      </c>
    </row>
    <row r="131" spans="1:54" hidden="1">
      <c r="A131" s="104">
        <f t="shared" si="35"/>
        <v>114</v>
      </c>
      <c r="B131" s="101">
        <f t="shared" si="36"/>
        <v>114</v>
      </c>
      <c r="C131" s="101" t="s">
        <v>185</v>
      </c>
      <c r="D131" s="101" t="s">
        <v>331</v>
      </c>
      <c r="E131" s="102">
        <v>1975</v>
      </c>
      <c r="F131" s="102">
        <v>2013</v>
      </c>
      <c r="G131" s="102" t="s">
        <v>3</v>
      </c>
      <c r="H131" s="102">
        <v>4</v>
      </c>
      <c r="I131" s="102">
        <v>6</v>
      </c>
      <c r="J131" s="62">
        <v>5531.3</v>
      </c>
      <c r="K131" s="62">
        <v>4842.7</v>
      </c>
      <c r="L131" s="62">
        <v>189.7</v>
      </c>
      <c r="M131" s="103">
        <v>224</v>
      </c>
      <c r="N131" s="28">
        <f t="shared" si="25"/>
        <v>21811970.419999998</v>
      </c>
      <c r="O131" s="62"/>
      <c r="P131" s="30"/>
      <c r="Q131" s="31"/>
      <c r="R131" s="31"/>
      <c r="S131" s="30"/>
      <c r="T131" s="31"/>
      <c r="U131" s="31"/>
      <c r="V131" s="30">
        <v>2307202.7000000002</v>
      </c>
      <c r="W131" s="31"/>
      <c r="X131" s="31"/>
      <c r="Y131" s="30">
        <v>14401951.729839999</v>
      </c>
      <c r="Z131" s="31"/>
      <c r="AA131" s="31"/>
      <c r="AB131" s="30">
        <v>5102815.9901599996</v>
      </c>
      <c r="AC131" s="32"/>
      <c r="AD131" s="32"/>
      <c r="AE131" s="30">
        <v>4594.9611222722897</v>
      </c>
      <c r="AF131" s="30">
        <v>1339.2830200640001</v>
      </c>
      <c r="AG131" s="33">
        <v>2022</v>
      </c>
      <c r="AH131" s="18">
        <f>2505054.36-V316</f>
        <v>2262054.71</v>
      </c>
      <c r="AI131" s="5">
        <f>+(K131*10+L131*20)*12*0.85</f>
        <v>532654.19999999995</v>
      </c>
      <c r="AJ131" s="5">
        <f>+(K131*10+L131*20)*12*30-Y316</f>
        <v>15300626.1</v>
      </c>
      <c r="AL131" s="37">
        <f t="shared" si="34"/>
        <v>0</v>
      </c>
      <c r="AM131" s="62"/>
      <c r="AN131" s="62"/>
      <c r="AO131" s="162"/>
      <c r="AP131" s="62"/>
      <c r="AQ131" s="62"/>
      <c r="AR131" s="62"/>
      <c r="AS131" s="62"/>
      <c r="AT131" s="62">
        <v>0</v>
      </c>
      <c r="AU131" s="62"/>
      <c r="AV131" s="62">
        <v>0</v>
      </c>
      <c r="AW131" s="62">
        <v>21575728.449999999</v>
      </c>
      <c r="AX131" s="62"/>
      <c r="AY131" s="62"/>
      <c r="AZ131" s="30"/>
      <c r="BA131" s="109">
        <v>236241.97</v>
      </c>
      <c r="BB131" s="5">
        <f t="shared" si="37"/>
        <v>21811970.419999998</v>
      </c>
    </row>
    <row r="132" spans="1:54" hidden="1">
      <c r="A132" s="104">
        <f t="shared" si="35"/>
        <v>115</v>
      </c>
      <c r="B132" s="101">
        <f t="shared" si="36"/>
        <v>115</v>
      </c>
      <c r="C132" s="101" t="s">
        <v>185</v>
      </c>
      <c r="D132" s="101" t="s">
        <v>333</v>
      </c>
      <c r="E132" s="102">
        <v>1974</v>
      </c>
      <c r="F132" s="102">
        <v>2013</v>
      </c>
      <c r="G132" s="102" t="s">
        <v>3</v>
      </c>
      <c r="H132" s="102">
        <v>4</v>
      </c>
      <c r="I132" s="102">
        <v>4</v>
      </c>
      <c r="J132" s="62">
        <v>3940.9</v>
      </c>
      <c r="K132" s="62">
        <v>3373.8</v>
      </c>
      <c r="L132" s="62">
        <v>212.7</v>
      </c>
      <c r="M132" s="103">
        <v>140</v>
      </c>
      <c r="N132" s="28">
        <f t="shared" si="25"/>
        <v>23119997.939999998</v>
      </c>
      <c r="O132" s="62"/>
      <c r="S132" s="30"/>
      <c r="T132" s="31"/>
      <c r="U132" s="31"/>
      <c r="V132" s="30">
        <v>1982331.96</v>
      </c>
      <c r="W132" s="31"/>
      <c r="X132" s="31"/>
      <c r="Y132" s="30">
        <v>10542328.346240699</v>
      </c>
      <c r="Z132" s="31"/>
      <c r="AA132" s="31"/>
      <c r="AB132" s="62">
        <v>10595337.633759299</v>
      </c>
      <c r="AC132" s="106"/>
      <c r="AD132" s="106"/>
      <c r="AE132" s="30">
        <v>6741.5062669010804</v>
      </c>
      <c r="AF132" s="30">
        <v>6741.5062669010804</v>
      </c>
      <c r="AG132" s="33">
        <v>2022</v>
      </c>
      <c r="AH132" s="1">
        <f>1707386.79-112573.23</f>
        <v>1594813.56</v>
      </c>
      <c r="AI132" s="5">
        <f>+(K132*10+L132*20)*12*0.85</f>
        <v>387518.39999999997</v>
      </c>
      <c r="AJ132" s="5">
        <f>+(K132*10+L132*20)*12*30-810211.65</f>
        <v>12866908.35</v>
      </c>
      <c r="AL132" s="37">
        <f t="shared" si="34"/>
        <v>0</v>
      </c>
      <c r="AM132" s="62">
        <v>5305996.59</v>
      </c>
      <c r="AO132" s="165"/>
      <c r="AQ132" s="62"/>
      <c r="AR132" s="62"/>
      <c r="AS132" s="62"/>
      <c r="AT132" s="62">
        <v>0</v>
      </c>
      <c r="AU132" s="62">
        <v>4125438.85</v>
      </c>
      <c r="AV132" s="62">
        <v>0</v>
      </c>
      <c r="AW132" s="62">
        <v>13688562.5</v>
      </c>
      <c r="AX132" s="62"/>
      <c r="AY132" s="62"/>
      <c r="AZ132" s="30"/>
      <c r="BA132" s="40"/>
      <c r="BB132" s="5">
        <f t="shared" si="37"/>
        <v>23119997.939999998</v>
      </c>
    </row>
    <row r="133" spans="1:54" hidden="1">
      <c r="A133" s="104">
        <f t="shared" si="35"/>
        <v>116</v>
      </c>
      <c r="B133" s="101">
        <f t="shared" si="36"/>
        <v>116</v>
      </c>
      <c r="C133" s="101" t="s">
        <v>185</v>
      </c>
      <c r="D133" s="101" t="s">
        <v>334</v>
      </c>
      <c r="E133" s="102">
        <v>1977</v>
      </c>
      <c r="F133" s="102">
        <v>2013</v>
      </c>
      <c r="G133" s="102" t="s">
        <v>3</v>
      </c>
      <c r="H133" s="102">
        <v>9</v>
      </c>
      <c r="I133" s="102">
        <v>1</v>
      </c>
      <c r="J133" s="62">
        <v>2362.6</v>
      </c>
      <c r="K133" s="62">
        <v>1902.4</v>
      </c>
      <c r="L133" s="62">
        <v>195.5</v>
      </c>
      <c r="M133" s="103">
        <v>72</v>
      </c>
      <c r="N133" s="28">
        <f t="shared" si="25"/>
        <v>1661665.99</v>
      </c>
      <c r="O133" s="62"/>
      <c r="P133" s="30"/>
      <c r="Q133" s="31"/>
      <c r="R133" s="31"/>
      <c r="S133" s="30"/>
      <c r="T133" s="31"/>
      <c r="U133" s="31"/>
      <c r="V133" s="30"/>
      <c r="W133" s="31"/>
      <c r="X133" s="31"/>
      <c r="Y133" s="30">
        <v>1661665.99</v>
      </c>
      <c r="Z133" s="31"/>
      <c r="AA133" s="31"/>
      <c r="AB133" s="62"/>
      <c r="AC133" s="106"/>
      <c r="AD133" s="106"/>
      <c r="AE133" s="30">
        <v>866.28555055528898</v>
      </c>
      <c r="AF133" s="30">
        <v>866.28555055528898</v>
      </c>
      <c r="AG133" s="33">
        <v>2022</v>
      </c>
      <c r="AH133" s="1">
        <f>1288619.08-658887.88</f>
        <v>629731.20000000007</v>
      </c>
      <c r="AI133" s="5">
        <f>+(K133*13.29+L133*22.52)*12*0.85</f>
        <v>302792.67119999998</v>
      </c>
      <c r="AJ133" s="5">
        <f>+(K133*13.29+L133*22.52)*12*30-8648.871</f>
        <v>10678151.289000001</v>
      </c>
      <c r="AL133" s="37">
        <f t="shared" si="34"/>
        <v>0</v>
      </c>
      <c r="AM133" s="62"/>
      <c r="AN133" s="62"/>
      <c r="AO133" s="162">
        <v>707768.48</v>
      </c>
      <c r="AP133" s="62">
        <v>953897.51</v>
      </c>
      <c r="AQ133" s="62"/>
      <c r="AR133" s="62"/>
      <c r="AS133" s="62"/>
      <c r="AT133" s="62">
        <v>0</v>
      </c>
      <c r="AU133" s="62">
        <v>0</v>
      </c>
      <c r="AV133" s="62">
        <v>0</v>
      </c>
      <c r="AW133" s="62"/>
      <c r="AX133" s="62">
        <v>0</v>
      </c>
      <c r="AY133" s="62"/>
      <c r="AZ133" s="30"/>
      <c r="BA133" s="40"/>
      <c r="BB133" s="5">
        <f t="shared" si="37"/>
        <v>1661665.99</v>
      </c>
    </row>
    <row r="134" spans="1:54" hidden="1">
      <c r="A134" s="104">
        <f t="shared" si="35"/>
        <v>117</v>
      </c>
      <c r="B134" s="101">
        <f t="shared" si="36"/>
        <v>117</v>
      </c>
      <c r="C134" s="101" t="s">
        <v>1</v>
      </c>
      <c r="D134" s="101" t="s">
        <v>336</v>
      </c>
      <c r="E134" s="102">
        <v>1979</v>
      </c>
      <c r="F134" s="102">
        <v>1979</v>
      </c>
      <c r="G134" s="102" t="s">
        <v>3</v>
      </c>
      <c r="H134" s="102">
        <v>4</v>
      </c>
      <c r="I134" s="102">
        <v>6</v>
      </c>
      <c r="J134" s="62">
        <v>3867.8</v>
      </c>
      <c r="K134" s="62">
        <v>3539.7</v>
      </c>
      <c r="L134" s="62">
        <v>0</v>
      </c>
      <c r="M134" s="103">
        <v>193</v>
      </c>
      <c r="N134" s="28">
        <f t="shared" si="25"/>
        <v>9447493.2199999988</v>
      </c>
      <c r="O134" s="62"/>
      <c r="P134" s="30">
        <v>7358449.5099999998</v>
      </c>
      <c r="Q134" s="31"/>
      <c r="R134" s="31"/>
      <c r="S134" s="30"/>
      <c r="T134" s="31"/>
      <c r="U134" s="31"/>
      <c r="V134" s="30"/>
      <c r="W134" s="31"/>
      <c r="X134" s="31"/>
      <c r="Y134" s="30">
        <v>2089043.71</v>
      </c>
      <c r="Z134" s="31"/>
      <c r="AA134" s="31"/>
      <c r="AB134" s="62"/>
      <c r="AC134" s="106"/>
      <c r="AD134" s="106"/>
      <c r="AE134" s="30">
        <v>2764.4203469496301</v>
      </c>
      <c r="AF134" s="30">
        <v>2764.4203469496301</v>
      </c>
      <c r="AG134" s="33">
        <v>2022</v>
      </c>
      <c r="AH134" s="1">
        <v>1735682.5</v>
      </c>
      <c r="AI134" s="5">
        <f t="shared" ref="AI134:AI153" si="38">+(K134*10+L134*20)*12*0.85</f>
        <v>361049.39999999997</v>
      </c>
      <c r="AJ134" s="5">
        <f>+(K134*10+L134*20)*12*30</f>
        <v>12742920</v>
      </c>
      <c r="AL134" s="37">
        <f t="shared" si="34"/>
        <v>0</v>
      </c>
      <c r="AM134" s="62">
        <v>0</v>
      </c>
      <c r="AN134" s="62">
        <v>0</v>
      </c>
      <c r="AO134" s="162">
        <v>0</v>
      </c>
      <c r="AP134" s="62">
        <v>0</v>
      </c>
      <c r="AQ134" s="62">
        <v>0</v>
      </c>
      <c r="AR134" s="62"/>
      <c r="AS134" s="62"/>
      <c r="AT134" s="62">
        <v>0</v>
      </c>
      <c r="AU134" s="62">
        <v>9447493.2200000007</v>
      </c>
      <c r="AV134" s="62">
        <v>0</v>
      </c>
      <c r="AW134" s="62"/>
      <c r="AX134" s="62"/>
      <c r="AY134" s="62"/>
      <c r="AZ134" s="30"/>
      <c r="BA134" s="40"/>
      <c r="BB134" s="5">
        <f t="shared" si="37"/>
        <v>9447493.2199999988</v>
      </c>
    </row>
    <row r="135" spans="1:54" hidden="1">
      <c r="A135" s="104">
        <f t="shared" si="35"/>
        <v>118</v>
      </c>
      <c r="B135" s="101">
        <f t="shared" si="36"/>
        <v>118</v>
      </c>
      <c r="C135" s="101" t="s">
        <v>1</v>
      </c>
      <c r="D135" s="101" t="s">
        <v>338</v>
      </c>
      <c r="E135" s="102">
        <v>1966</v>
      </c>
      <c r="F135" s="102">
        <v>1966</v>
      </c>
      <c r="G135" s="102" t="s">
        <v>3</v>
      </c>
      <c r="H135" s="102">
        <v>4</v>
      </c>
      <c r="I135" s="102">
        <v>2</v>
      </c>
      <c r="J135" s="62">
        <v>1327.2</v>
      </c>
      <c r="K135" s="62">
        <v>1234.5999999999999</v>
      </c>
      <c r="L135" s="62">
        <v>0</v>
      </c>
      <c r="M135" s="103">
        <v>61</v>
      </c>
      <c r="N135" s="28">
        <f t="shared" si="25"/>
        <v>459932.96999999991</v>
      </c>
      <c r="O135" s="62"/>
      <c r="P135" s="30">
        <v>226913.39</v>
      </c>
      <c r="Q135" s="31"/>
      <c r="R135" s="31"/>
      <c r="S135" s="30"/>
      <c r="T135" s="31"/>
      <c r="U135" s="31"/>
      <c r="V135" s="30">
        <v>192796.3</v>
      </c>
      <c r="W135" s="31"/>
      <c r="X135" s="31"/>
      <c r="Y135" s="30">
        <v>40223.279999999897</v>
      </c>
      <c r="Z135" s="31"/>
      <c r="AA135" s="31"/>
      <c r="AB135" s="62">
        <v>0</v>
      </c>
      <c r="AC135" s="106"/>
      <c r="AD135" s="106"/>
      <c r="AE135" s="30">
        <v>372.53601976348602</v>
      </c>
      <c r="AF135" s="30">
        <v>372.53601976348602</v>
      </c>
      <c r="AG135" s="33">
        <v>2022</v>
      </c>
      <c r="AH135" s="1">
        <v>512184.69</v>
      </c>
      <c r="AI135" s="5">
        <f t="shared" si="38"/>
        <v>125929.2</v>
      </c>
      <c r="AJ135" s="5">
        <f>+(K135*10+L135*20)*12*30</f>
        <v>4444560</v>
      </c>
      <c r="AL135" s="37">
        <f t="shared" si="34"/>
        <v>0</v>
      </c>
      <c r="AM135" s="62">
        <v>0</v>
      </c>
      <c r="AN135" s="62">
        <v>0</v>
      </c>
      <c r="AO135" s="162">
        <v>0</v>
      </c>
      <c r="AP135" s="62">
        <v>0</v>
      </c>
      <c r="AQ135" s="62">
        <v>459932.97</v>
      </c>
      <c r="AR135" s="62"/>
      <c r="AS135" s="62"/>
      <c r="AT135" s="62">
        <v>0</v>
      </c>
      <c r="AU135" s="62">
        <v>0</v>
      </c>
      <c r="AV135" s="62">
        <v>0</v>
      </c>
      <c r="AW135" s="62">
        <v>0</v>
      </c>
      <c r="AX135" s="62">
        <v>0</v>
      </c>
      <c r="AY135" s="62"/>
      <c r="AZ135" s="30"/>
      <c r="BA135" s="156"/>
      <c r="BB135" s="5">
        <f t="shared" si="37"/>
        <v>459932.96999999991</v>
      </c>
    </row>
    <row r="136" spans="1:54" ht="14.25" hidden="1" customHeight="1">
      <c r="A136" s="104">
        <f t="shared" si="35"/>
        <v>119</v>
      </c>
      <c r="B136" s="101">
        <f t="shared" si="36"/>
        <v>119</v>
      </c>
      <c r="C136" s="101" t="s">
        <v>1</v>
      </c>
      <c r="D136" s="101" t="s">
        <v>2</v>
      </c>
      <c r="E136" s="102">
        <v>1969</v>
      </c>
      <c r="F136" s="102">
        <v>2013</v>
      </c>
      <c r="G136" s="102" t="s">
        <v>3</v>
      </c>
      <c r="H136" s="102">
        <v>4</v>
      </c>
      <c r="I136" s="102">
        <v>4</v>
      </c>
      <c r="J136" s="62">
        <v>3016.9</v>
      </c>
      <c r="K136" s="62">
        <v>2778.3</v>
      </c>
      <c r="L136" s="62">
        <v>0</v>
      </c>
      <c r="M136" s="103">
        <v>148</v>
      </c>
      <c r="N136" s="28">
        <f t="shared" si="25"/>
        <v>7262692.2311000004</v>
      </c>
      <c r="O136" s="62"/>
      <c r="P136" s="30">
        <v>1196060.52</v>
      </c>
      <c r="Q136" s="31"/>
      <c r="R136" s="31"/>
      <c r="S136" s="30"/>
      <c r="T136" s="31"/>
      <c r="U136" s="31"/>
      <c r="V136" s="30">
        <v>847797.2</v>
      </c>
      <c r="W136" s="31"/>
      <c r="X136" s="31"/>
      <c r="Y136" s="30">
        <v>2164833.5299999998</v>
      </c>
      <c r="Z136" s="31"/>
      <c r="AA136" s="31"/>
      <c r="AB136" s="30">
        <v>3054000.9811</v>
      </c>
      <c r="AC136" s="32"/>
      <c r="AD136" s="32"/>
      <c r="AE136" s="62">
        <v>2667.5426612009001</v>
      </c>
      <c r="AF136" s="62">
        <v>2667.5426612009001</v>
      </c>
      <c r="AG136" s="33">
        <v>2022</v>
      </c>
      <c r="AH136" s="1">
        <f>1200544.79-636134.19</f>
        <v>564410.60000000009</v>
      </c>
      <c r="AI136" s="5">
        <f t="shared" si="38"/>
        <v>283386.59999999998</v>
      </c>
      <c r="AJ136" s="5">
        <f>+(K136*10+L136*20)*12*30-7837046.47</f>
        <v>2164833.5300000003</v>
      </c>
      <c r="AL136" s="37">
        <f t="shared" si="34"/>
        <v>0</v>
      </c>
      <c r="AM136" s="62"/>
      <c r="AN136" s="62"/>
      <c r="AO136" s="162"/>
      <c r="AP136" s="62"/>
      <c r="AQ136" s="62"/>
      <c r="AR136" s="62"/>
      <c r="AS136" s="62"/>
      <c r="AT136" s="62"/>
      <c r="AU136" s="62"/>
      <c r="AV136" s="62"/>
      <c r="AW136" s="62"/>
      <c r="AX136" s="62">
        <v>6404791.8899999997</v>
      </c>
      <c r="AY136" s="62">
        <v>779909.40099999995</v>
      </c>
      <c r="AZ136" s="30">
        <v>77990.940100000007</v>
      </c>
      <c r="BA136" s="40"/>
      <c r="BB136" s="5">
        <f t="shared" si="37"/>
        <v>7262692.2311000004</v>
      </c>
    </row>
    <row r="137" spans="1:54" hidden="1">
      <c r="A137" s="104">
        <f t="shared" si="35"/>
        <v>120</v>
      </c>
      <c r="B137" s="101">
        <f t="shared" si="36"/>
        <v>120</v>
      </c>
      <c r="C137" s="101" t="s">
        <v>1</v>
      </c>
      <c r="D137" s="101" t="s">
        <v>341</v>
      </c>
      <c r="E137" s="102">
        <v>1971</v>
      </c>
      <c r="F137" s="102">
        <v>1971</v>
      </c>
      <c r="G137" s="102" t="s">
        <v>3</v>
      </c>
      <c r="H137" s="102">
        <v>4</v>
      </c>
      <c r="I137" s="102">
        <v>4</v>
      </c>
      <c r="J137" s="62">
        <v>2851.3</v>
      </c>
      <c r="K137" s="62">
        <v>2629.3</v>
      </c>
      <c r="L137" s="62">
        <v>0</v>
      </c>
      <c r="M137" s="103">
        <v>126</v>
      </c>
      <c r="N137" s="28">
        <f t="shared" si="25"/>
        <v>1308608.9228999999</v>
      </c>
      <c r="O137" s="62"/>
      <c r="P137" s="30"/>
      <c r="Q137" s="31"/>
      <c r="R137" s="31"/>
      <c r="S137" s="30"/>
      <c r="T137" s="31"/>
      <c r="U137" s="31"/>
      <c r="V137" s="30">
        <v>1308608.9228999999</v>
      </c>
      <c r="W137" s="31"/>
      <c r="X137" s="31"/>
      <c r="Y137" s="30"/>
      <c r="Z137" s="31"/>
      <c r="AA137" s="31"/>
      <c r="AB137" s="62"/>
      <c r="AC137" s="106"/>
      <c r="AD137" s="106"/>
      <c r="AE137" s="30">
        <v>501.50168215874902</v>
      </c>
      <c r="AF137" s="30">
        <v>501.50168215874902</v>
      </c>
      <c r="AG137" s="33">
        <v>2022</v>
      </c>
      <c r="AH137" s="1">
        <v>1216435.44</v>
      </c>
      <c r="AI137" s="5">
        <f t="shared" si="38"/>
        <v>268188.59999999998</v>
      </c>
      <c r="AJ137" s="5">
        <f>+(K137*10+L137*20)*12*30</f>
        <v>9465480</v>
      </c>
      <c r="AL137" s="37">
        <f t="shared" si="34"/>
        <v>0</v>
      </c>
      <c r="AM137" s="62">
        <v>0</v>
      </c>
      <c r="AN137" s="62"/>
      <c r="AO137" s="162">
        <v>1005861.31</v>
      </c>
      <c r="AP137" s="62">
        <v>0</v>
      </c>
      <c r="AQ137" s="62"/>
      <c r="AR137" s="62"/>
      <c r="AS137" s="62"/>
      <c r="AT137" s="62">
        <v>0</v>
      </c>
      <c r="AU137" s="62">
        <v>0</v>
      </c>
      <c r="AV137" s="62">
        <v>0</v>
      </c>
      <c r="AW137" s="62">
        <v>0</v>
      </c>
      <c r="AX137" s="62">
        <v>0</v>
      </c>
      <c r="AY137" s="62">
        <v>268460.93900000001</v>
      </c>
      <c r="AZ137" s="30">
        <v>26846.0939</v>
      </c>
      <c r="BA137" s="158">
        <v>7440.58</v>
      </c>
      <c r="BB137" s="5">
        <f t="shared" si="37"/>
        <v>1308608.9228999999</v>
      </c>
    </row>
    <row r="138" spans="1:54" hidden="1">
      <c r="A138" s="104">
        <f t="shared" si="35"/>
        <v>121</v>
      </c>
      <c r="B138" s="101">
        <f t="shared" si="36"/>
        <v>121</v>
      </c>
      <c r="C138" s="101" t="s">
        <v>1</v>
      </c>
      <c r="D138" s="101" t="s">
        <v>7</v>
      </c>
      <c r="E138" s="102">
        <v>1962</v>
      </c>
      <c r="F138" s="102">
        <v>1962</v>
      </c>
      <c r="G138" s="102" t="s">
        <v>3</v>
      </c>
      <c r="H138" s="102">
        <v>2</v>
      </c>
      <c r="I138" s="102">
        <v>1</v>
      </c>
      <c r="J138" s="62">
        <v>618.70000000000005</v>
      </c>
      <c r="K138" s="62">
        <v>460.5</v>
      </c>
      <c r="L138" s="62">
        <v>0</v>
      </c>
      <c r="M138" s="103">
        <v>45</v>
      </c>
      <c r="N138" s="28">
        <f t="shared" si="25"/>
        <v>2408460.1</v>
      </c>
      <c r="O138" s="62"/>
      <c r="P138" s="62">
        <v>705615.64</v>
      </c>
      <c r="Q138" s="29"/>
      <c r="R138" s="29"/>
      <c r="S138" s="30"/>
      <c r="T138" s="31"/>
      <c r="U138" s="31"/>
      <c r="V138" s="30">
        <v>252901.75</v>
      </c>
      <c r="W138" s="31"/>
      <c r="X138" s="31"/>
      <c r="Y138" s="30">
        <v>1449942.71</v>
      </c>
      <c r="Z138" s="31"/>
      <c r="AA138" s="31"/>
      <c r="AB138" s="30"/>
      <c r="AC138" s="32"/>
      <c r="AD138" s="32"/>
      <c r="AE138" s="62">
        <v>5423.6079864542899</v>
      </c>
      <c r="AF138" s="62">
        <v>5423.6079864542899</v>
      </c>
      <c r="AG138" s="33">
        <v>2022</v>
      </c>
      <c r="AH138" s="1">
        <v>205930.75</v>
      </c>
      <c r="AI138" s="5">
        <f t="shared" si="38"/>
        <v>46971</v>
      </c>
      <c r="AJ138" s="5">
        <f>+(K138*10+L138*20)*12*30-133800.13</f>
        <v>1523999.87</v>
      </c>
      <c r="AL138" s="37">
        <f t="shared" si="34"/>
        <v>0</v>
      </c>
      <c r="AM138" s="62">
        <v>0</v>
      </c>
      <c r="AN138" s="62"/>
      <c r="AO138" s="162"/>
      <c r="AP138" s="62"/>
      <c r="AQ138" s="62">
        <v>0</v>
      </c>
      <c r="AR138" s="62"/>
      <c r="AS138" s="62"/>
      <c r="AT138" s="62">
        <v>0</v>
      </c>
      <c r="AU138" s="62">
        <v>2408460.1</v>
      </c>
      <c r="AV138" s="62">
        <v>0</v>
      </c>
      <c r="AW138" s="62">
        <v>0</v>
      </c>
      <c r="AX138" s="62">
        <v>0</v>
      </c>
      <c r="AY138" s="62"/>
      <c r="AZ138" s="30"/>
      <c r="BA138" s="40"/>
      <c r="BB138" s="5">
        <f t="shared" si="37"/>
        <v>2408460.1</v>
      </c>
    </row>
    <row r="139" spans="1:54" hidden="1">
      <c r="A139" s="104">
        <f t="shared" si="35"/>
        <v>122</v>
      </c>
      <c r="B139" s="101">
        <f t="shared" si="36"/>
        <v>122</v>
      </c>
      <c r="C139" s="101" t="s">
        <v>82</v>
      </c>
      <c r="D139" s="101" t="s">
        <v>343</v>
      </c>
      <c r="E139" s="102">
        <v>1983</v>
      </c>
      <c r="F139" s="102">
        <v>1983</v>
      </c>
      <c r="G139" s="102" t="s">
        <v>3</v>
      </c>
      <c r="H139" s="102">
        <v>2</v>
      </c>
      <c r="I139" s="102">
        <v>2</v>
      </c>
      <c r="J139" s="62">
        <v>910.77</v>
      </c>
      <c r="K139" s="62">
        <v>841.26</v>
      </c>
      <c r="L139" s="62">
        <v>0</v>
      </c>
      <c r="M139" s="103">
        <v>34</v>
      </c>
      <c r="N139" s="28">
        <f t="shared" si="25"/>
        <v>918312.05</v>
      </c>
      <c r="O139" s="62"/>
      <c r="P139" s="63"/>
      <c r="Q139" s="111"/>
      <c r="R139" s="111"/>
      <c r="S139" s="30"/>
      <c r="T139" s="31"/>
      <c r="U139" s="31"/>
      <c r="V139" s="30">
        <v>393318.14</v>
      </c>
      <c r="W139" s="31"/>
      <c r="X139" s="31"/>
      <c r="Y139" s="30">
        <v>524993.91</v>
      </c>
      <c r="Z139" s="31"/>
      <c r="AA139" s="31"/>
      <c r="AB139" s="62"/>
      <c r="AC139" s="106"/>
      <c r="AD139" s="106"/>
      <c r="AE139" s="30">
        <v>1162.53874170532</v>
      </c>
      <c r="AF139" s="30">
        <v>1162.53874170532</v>
      </c>
      <c r="AG139" s="33">
        <v>2022</v>
      </c>
      <c r="AH139" s="1">
        <f>380898.3-73388.68</f>
        <v>307509.62</v>
      </c>
      <c r="AI139" s="5">
        <f t="shared" si="38"/>
        <v>85808.52</v>
      </c>
      <c r="AJ139" s="5">
        <f>+(K139*10+L139*20)*12*30-439562.52</f>
        <v>2588973.4800000004</v>
      </c>
      <c r="AL139" s="37">
        <f t="shared" si="34"/>
        <v>0</v>
      </c>
      <c r="AM139" s="62">
        <v>918312.05</v>
      </c>
      <c r="AN139" s="62"/>
      <c r="AO139" s="162"/>
      <c r="AP139" s="62"/>
      <c r="AQ139" s="62">
        <v>0</v>
      </c>
      <c r="AR139" s="62"/>
      <c r="AS139" s="62"/>
      <c r="AT139" s="62">
        <v>0</v>
      </c>
      <c r="AU139" s="62">
        <v>0</v>
      </c>
      <c r="AV139" s="62">
        <v>0</v>
      </c>
      <c r="AW139" s="62">
        <v>0</v>
      </c>
      <c r="AX139" s="62">
        <v>0</v>
      </c>
      <c r="AY139" s="62"/>
      <c r="AZ139" s="30"/>
      <c r="BA139" s="40"/>
      <c r="BB139" s="5">
        <f t="shared" si="37"/>
        <v>918312.05</v>
      </c>
    </row>
    <row r="140" spans="1:54" hidden="1">
      <c r="A140" s="104">
        <f t="shared" si="35"/>
        <v>123</v>
      </c>
      <c r="B140" s="101">
        <f t="shared" si="36"/>
        <v>123</v>
      </c>
      <c r="C140" s="101" t="s">
        <v>87</v>
      </c>
      <c r="D140" s="101" t="s">
        <v>97</v>
      </c>
      <c r="E140" s="102">
        <v>1976</v>
      </c>
      <c r="F140" s="102">
        <v>2008</v>
      </c>
      <c r="G140" s="102" t="s">
        <v>3</v>
      </c>
      <c r="H140" s="102">
        <v>4</v>
      </c>
      <c r="I140" s="102">
        <v>4</v>
      </c>
      <c r="J140" s="62">
        <v>4257.32</v>
      </c>
      <c r="K140" s="62">
        <v>3128.38</v>
      </c>
      <c r="L140" s="62">
        <v>991.08</v>
      </c>
      <c r="M140" s="103">
        <v>124</v>
      </c>
      <c r="N140" s="28">
        <f t="shared" si="25"/>
        <v>5233450.9559000004</v>
      </c>
      <c r="O140" s="62"/>
      <c r="P140" s="30"/>
      <c r="Q140" s="31"/>
      <c r="R140" s="31"/>
      <c r="S140" s="30"/>
      <c r="T140" s="31"/>
      <c r="U140" s="31"/>
      <c r="V140" s="30">
        <v>1333462.67</v>
      </c>
      <c r="W140" s="31"/>
      <c r="X140" s="31"/>
      <c r="Y140" s="30">
        <v>3899988.2859</v>
      </c>
      <c r="Z140" s="31"/>
      <c r="AA140" s="31"/>
      <c r="AB140" s="62"/>
      <c r="AC140" s="106"/>
      <c r="AD140" s="106"/>
      <c r="AE140" s="30">
        <v>1329.07443314991</v>
      </c>
      <c r="AF140" s="30">
        <v>1329.07443314991</v>
      </c>
      <c r="AG140" s="33">
        <v>2022</v>
      </c>
      <c r="AH140" s="1">
        <f>1377282.4-565094.81</f>
        <v>812187.58999999985</v>
      </c>
      <c r="AI140" s="5">
        <f t="shared" si="38"/>
        <v>521275.08</v>
      </c>
      <c r="AJ140" s="5">
        <f>+(K140*10+L140*20)*12*30-180969.62</f>
        <v>18216974.379999999</v>
      </c>
      <c r="AL140" s="37">
        <f t="shared" si="34"/>
        <v>0</v>
      </c>
      <c r="AM140" s="62"/>
      <c r="AN140" s="62"/>
      <c r="AO140" s="162">
        <v>0</v>
      </c>
      <c r="AP140" s="62"/>
      <c r="AQ140" s="62"/>
      <c r="AR140" s="62"/>
      <c r="AS140" s="62"/>
      <c r="AT140" s="62">
        <v>0</v>
      </c>
      <c r="AU140" s="62">
        <v>0</v>
      </c>
      <c r="AW140" s="62">
        <v>0</v>
      </c>
      <c r="AX140" s="62">
        <v>3924912.66</v>
      </c>
      <c r="AY140" s="62">
        <v>1200305.659</v>
      </c>
      <c r="AZ140" s="30">
        <v>108232.6369</v>
      </c>
      <c r="BA140" s="40"/>
      <c r="BB140" s="5">
        <f t="shared" si="37"/>
        <v>5233450.9559000004</v>
      </c>
    </row>
    <row r="141" spans="1:54" hidden="1">
      <c r="A141" s="104">
        <f t="shared" si="35"/>
        <v>124</v>
      </c>
      <c r="B141" s="101">
        <f t="shared" si="36"/>
        <v>124</v>
      </c>
      <c r="C141" s="101" t="s">
        <v>87</v>
      </c>
      <c r="D141" s="101" t="s">
        <v>88</v>
      </c>
      <c r="E141" s="102">
        <v>1964</v>
      </c>
      <c r="F141" s="102">
        <v>1964</v>
      </c>
      <c r="G141" s="102" t="s">
        <v>3</v>
      </c>
      <c r="H141" s="102">
        <v>2</v>
      </c>
      <c r="I141" s="102">
        <v>2</v>
      </c>
      <c r="J141" s="62">
        <v>816.77</v>
      </c>
      <c r="K141" s="62">
        <v>598.04999999999995</v>
      </c>
      <c r="L141" s="62">
        <v>218.72</v>
      </c>
      <c r="M141" s="103">
        <v>23</v>
      </c>
      <c r="N141" s="28">
        <f t="shared" si="25"/>
        <v>5139530.4800000004</v>
      </c>
      <c r="O141" s="62"/>
      <c r="P141" s="63"/>
      <c r="Q141" s="111"/>
      <c r="R141" s="111"/>
      <c r="S141" s="30"/>
      <c r="T141" s="31"/>
      <c r="U141" s="31"/>
      <c r="V141" s="30">
        <v>229835.72</v>
      </c>
      <c r="W141" s="31"/>
      <c r="X141" s="31"/>
      <c r="Y141" s="30">
        <v>3698306.28</v>
      </c>
      <c r="Z141" s="31"/>
      <c r="AA141" s="31"/>
      <c r="AB141" s="62">
        <v>1211388.48</v>
      </c>
      <c r="AC141" s="106"/>
      <c r="AD141" s="106"/>
      <c r="AE141" s="30">
        <v>6451.4211968559102</v>
      </c>
      <c r="AF141" s="30">
        <v>6451.4211968559102</v>
      </c>
      <c r="AG141" s="33">
        <v>2022</v>
      </c>
      <c r="AH141" s="1">
        <f>223283.02-99067.28</f>
        <v>124215.73999999999</v>
      </c>
      <c r="AI141" s="5">
        <f t="shared" si="38"/>
        <v>105619.97999999998</v>
      </c>
      <c r="AJ141" s="5">
        <f>+(K141*10+L141*20)*12*30-29457.72</f>
        <v>3698306.2799999993</v>
      </c>
      <c r="AL141" s="37">
        <f t="shared" si="34"/>
        <v>0</v>
      </c>
      <c r="AM141" s="62">
        <v>0</v>
      </c>
      <c r="AN141" s="62"/>
      <c r="AO141" s="162"/>
      <c r="AP141" s="62"/>
      <c r="AQ141" s="62">
        <v>0</v>
      </c>
      <c r="AR141" s="62"/>
      <c r="AS141" s="62"/>
      <c r="AT141" s="62">
        <v>0</v>
      </c>
      <c r="AU141" s="62">
        <v>4903240.6500000004</v>
      </c>
      <c r="AV141" s="62">
        <v>0</v>
      </c>
      <c r="AW141" s="62">
        <v>0</v>
      </c>
      <c r="AX141" s="62">
        <v>0</v>
      </c>
      <c r="AY141" s="62">
        <v>229623.17</v>
      </c>
      <c r="AZ141" s="30">
        <v>6666.66</v>
      </c>
      <c r="BA141" s="40"/>
      <c r="BB141" s="5">
        <f t="shared" si="37"/>
        <v>5139530.4800000004</v>
      </c>
    </row>
    <row r="142" spans="1:54" hidden="1">
      <c r="A142" s="104">
        <f t="shared" si="35"/>
        <v>125</v>
      </c>
      <c r="B142" s="101">
        <f t="shared" si="36"/>
        <v>125</v>
      </c>
      <c r="C142" s="101" t="s">
        <v>87</v>
      </c>
      <c r="D142" s="101" t="s">
        <v>100</v>
      </c>
      <c r="E142" s="102">
        <v>1975</v>
      </c>
      <c r="F142" s="102">
        <v>2008</v>
      </c>
      <c r="G142" s="102" t="s">
        <v>3</v>
      </c>
      <c r="H142" s="102">
        <v>4</v>
      </c>
      <c r="I142" s="102">
        <v>4</v>
      </c>
      <c r="J142" s="62">
        <v>4182.96</v>
      </c>
      <c r="K142" s="62">
        <v>3048.03</v>
      </c>
      <c r="L142" s="62">
        <v>978.37</v>
      </c>
      <c r="M142" s="103">
        <v>135</v>
      </c>
      <c r="N142" s="28">
        <f t="shared" si="25"/>
        <v>4936660.8186999997</v>
      </c>
      <c r="O142" s="62"/>
      <c r="P142" s="30"/>
      <c r="Q142" s="31"/>
      <c r="R142" s="31"/>
      <c r="S142" s="30"/>
      <c r="T142" s="31"/>
      <c r="U142" s="31"/>
      <c r="V142" s="30">
        <v>1566212.36</v>
      </c>
      <c r="W142" s="31"/>
      <c r="X142" s="31"/>
      <c r="Y142" s="30">
        <v>3370448.4586999998</v>
      </c>
      <c r="Z142" s="31"/>
      <c r="AA142" s="31"/>
      <c r="AB142" s="62"/>
      <c r="AC142" s="106"/>
      <c r="AD142" s="106"/>
      <c r="AE142" s="30">
        <v>1297.54565584389</v>
      </c>
      <c r="AF142" s="30">
        <v>1297.54565584389</v>
      </c>
      <c r="AG142" s="33">
        <v>2022</v>
      </c>
      <c r="AH142" s="1">
        <f>1500891.17-445165.35</f>
        <v>1055725.8199999998</v>
      </c>
      <c r="AI142" s="5">
        <f t="shared" si="38"/>
        <v>510486.54</v>
      </c>
      <c r="AJ142" s="5">
        <f>+(K142*10+L142*20)*12*30-179374.89</f>
        <v>17837797.109999999</v>
      </c>
      <c r="AL142" s="37">
        <f t="shared" si="34"/>
        <v>0</v>
      </c>
      <c r="AM142" s="62"/>
      <c r="AN142" s="62"/>
      <c r="AO142" s="162"/>
      <c r="AP142" s="62"/>
      <c r="AQ142" s="62"/>
      <c r="AR142" s="62"/>
      <c r="AS142" s="62"/>
      <c r="AT142" s="62">
        <v>0</v>
      </c>
      <c r="AU142" s="62">
        <v>0</v>
      </c>
      <c r="AW142" s="62">
        <v>0</v>
      </c>
      <c r="AX142" s="62">
        <v>3209479.43</v>
      </c>
      <c r="AY142" s="62">
        <v>1575434.3365</v>
      </c>
      <c r="AZ142" s="30">
        <v>151747.05220000001</v>
      </c>
      <c r="BA142" s="40"/>
      <c r="BB142" s="5">
        <f t="shared" si="37"/>
        <v>4936660.8186999997</v>
      </c>
    </row>
    <row r="143" spans="1:54" hidden="1">
      <c r="A143" s="104">
        <f t="shared" si="35"/>
        <v>126</v>
      </c>
      <c r="B143" s="101">
        <f t="shared" si="36"/>
        <v>126</v>
      </c>
      <c r="C143" s="101" t="s">
        <v>87</v>
      </c>
      <c r="D143" s="101" t="s">
        <v>102</v>
      </c>
      <c r="E143" s="102">
        <v>1978</v>
      </c>
      <c r="F143" s="102">
        <v>2007</v>
      </c>
      <c r="G143" s="102" t="s">
        <v>3</v>
      </c>
      <c r="H143" s="102">
        <v>4</v>
      </c>
      <c r="I143" s="102">
        <v>4</v>
      </c>
      <c r="J143" s="62">
        <v>3576.31</v>
      </c>
      <c r="K143" s="62">
        <v>2733.31</v>
      </c>
      <c r="L143" s="62">
        <v>843</v>
      </c>
      <c r="M143" s="103">
        <v>110</v>
      </c>
      <c r="N143" s="28">
        <f t="shared" si="25"/>
        <v>5491535.523</v>
      </c>
      <c r="O143" s="62"/>
      <c r="P143" s="30"/>
      <c r="Q143" s="31"/>
      <c r="R143" s="31"/>
      <c r="S143" s="30"/>
      <c r="T143" s="31"/>
      <c r="U143" s="31"/>
      <c r="V143" s="30">
        <v>1244325.77</v>
      </c>
      <c r="W143" s="31"/>
      <c r="X143" s="31"/>
      <c r="Y143" s="30">
        <v>4247209.7529999996</v>
      </c>
      <c r="Z143" s="31"/>
      <c r="AA143" s="31"/>
      <c r="AB143" s="62"/>
      <c r="AC143" s="106"/>
      <c r="AD143" s="106"/>
      <c r="AE143" s="30">
        <v>1593.7838632964699</v>
      </c>
      <c r="AF143" s="30">
        <v>1593.7838632964699</v>
      </c>
      <c r="AG143" s="33">
        <v>2022</v>
      </c>
      <c r="AH143" s="1">
        <f>1278728.82-485172.67</f>
        <v>793556.15000000014</v>
      </c>
      <c r="AI143" s="5">
        <f t="shared" si="38"/>
        <v>450769.61999999994</v>
      </c>
      <c r="AJ143" s="5">
        <f>+(K143*10+L143*20)*12*30-175262.76</f>
        <v>15734253.239999998</v>
      </c>
      <c r="AL143" s="37">
        <f t="shared" si="34"/>
        <v>0</v>
      </c>
      <c r="AM143" s="62"/>
      <c r="AN143" s="62"/>
      <c r="AO143" s="162"/>
      <c r="AP143" s="62"/>
      <c r="AQ143" s="62"/>
      <c r="AR143" s="62"/>
      <c r="AS143" s="62"/>
      <c r="AT143" s="62">
        <v>0</v>
      </c>
      <c r="AU143" s="62">
        <v>0</v>
      </c>
      <c r="AW143" s="62">
        <v>0</v>
      </c>
      <c r="AX143" s="62">
        <v>4230200.7</v>
      </c>
      <c r="AY143" s="62">
        <v>1151371.1732999999</v>
      </c>
      <c r="AZ143" s="30">
        <v>109963.64969999999</v>
      </c>
      <c r="BA143" s="40"/>
      <c r="BB143" s="5">
        <f t="shared" si="37"/>
        <v>5491535.523</v>
      </c>
    </row>
    <row r="144" spans="1:54" hidden="1">
      <c r="A144" s="104">
        <f t="shared" si="35"/>
        <v>127</v>
      </c>
      <c r="B144" s="101">
        <f t="shared" si="36"/>
        <v>127</v>
      </c>
      <c r="C144" s="101" t="s">
        <v>87</v>
      </c>
      <c r="D144" s="101" t="s">
        <v>89</v>
      </c>
      <c r="E144" s="102">
        <v>1964</v>
      </c>
      <c r="F144" s="102">
        <v>1964</v>
      </c>
      <c r="G144" s="102" t="s">
        <v>3</v>
      </c>
      <c r="H144" s="102">
        <v>2</v>
      </c>
      <c r="I144" s="102">
        <v>2</v>
      </c>
      <c r="J144" s="62">
        <v>868.87</v>
      </c>
      <c r="K144" s="62">
        <v>613.55999999999995</v>
      </c>
      <c r="L144" s="62">
        <v>255.31</v>
      </c>
      <c r="M144" s="103">
        <v>26</v>
      </c>
      <c r="N144" s="28">
        <f t="shared" si="25"/>
        <v>5720057.6000000006</v>
      </c>
      <c r="O144" s="62"/>
      <c r="P144" s="63"/>
      <c r="Q144" s="111"/>
      <c r="R144" s="111"/>
      <c r="S144" s="30"/>
      <c r="T144" s="31"/>
      <c r="U144" s="31"/>
      <c r="V144" s="30">
        <v>292223.84999999998</v>
      </c>
      <c r="W144" s="31"/>
      <c r="X144" s="31"/>
      <c r="Y144" s="30">
        <v>4017523.14</v>
      </c>
      <c r="Z144" s="31"/>
      <c r="AA144" s="31"/>
      <c r="AB144" s="62">
        <v>1410310.61</v>
      </c>
      <c r="AC144" s="106"/>
      <c r="AD144" s="106"/>
      <c r="AE144" s="30">
        <v>6737.7306115322199</v>
      </c>
      <c r="AF144" s="30">
        <v>6737.7306115322199</v>
      </c>
      <c r="AG144" s="33">
        <v>2022</v>
      </c>
      <c r="AH144" s="1">
        <f>278417.8-100860.31</f>
        <v>177557.49</v>
      </c>
      <c r="AI144" s="5">
        <f t="shared" si="38"/>
        <v>114666.35999999997</v>
      </c>
      <c r="AJ144" s="5">
        <f>+(K144*10+L144*20)*12*30-29524.86</f>
        <v>4017523.1399999992</v>
      </c>
      <c r="AL144" s="37">
        <f t="shared" si="34"/>
        <v>0</v>
      </c>
      <c r="AM144" s="62">
        <v>0</v>
      </c>
      <c r="AN144" s="62"/>
      <c r="AO144" s="162"/>
      <c r="AP144" s="62"/>
      <c r="AQ144" s="62">
        <v>0</v>
      </c>
      <c r="AR144" s="62"/>
      <c r="AS144" s="62"/>
      <c r="AT144" s="62">
        <v>0</v>
      </c>
      <c r="AU144" s="62">
        <v>5484086.3899999997</v>
      </c>
      <c r="AV144" s="62">
        <v>0</v>
      </c>
      <c r="AW144" s="62">
        <v>0</v>
      </c>
      <c r="AX144" s="62">
        <v>0</v>
      </c>
      <c r="AY144" s="62">
        <v>229304.55</v>
      </c>
      <c r="AZ144" s="30">
        <v>6666.66</v>
      </c>
      <c r="BA144" s="40"/>
      <c r="BB144" s="5">
        <f t="shared" si="37"/>
        <v>5720057.6000000006</v>
      </c>
    </row>
    <row r="145" spans="1:54" hidden="1">
      <c r="A145" s="104">
        <f t="shared" si="35"/>
        <v>128</v>
      </c>
      <c r="B145" s="101">
        <f t="shared" si="36"/>
        <v>128</v>
      </c>
      <c r="C145" s="101" t="s">
        <v>350</v>
      </c>
      <c r="D145" s="101" t="s">
        <v>351</v>
      </c>
      <c r="E145" s="102">
        <v>1977</v>
      </c>
      <c r="F145" s="102">
        <v>1977</v>
      </c>
      <c r="G145" s="102" t="s">
        <v>3</v>
      </c>
      <c r="H145" s="102">
        <v>5</v>
      </c>
      <c r="I145" s="102">
        <v>1</v>
      </c>
      <c r="J145" s="62">
        <v>1730.3</v>
      </c>
      <c r="K145" s="62">
        <v>1456.4</v>
      </c>
      <c r="L145" s="62">
        <v>0</v>
      </c>
      <c r="M145" s="103">
        <v>49</v>
      </c>
      <c r="N145" s="28">
        <f t="shared" si="25"/>
        <v>6702155.6099999994</v>
      </c>
      <c r="O145" s="62"/>
      <c r="P145" s="30">
        <v>543550.55000000005</v>
      </c>
      <c r="Q145" s="31"/>
      <c r="R145" s="31"/>
      <c r="S145" s="30"/>
      <c r="T145" s="31"/>
      <c r="U145" s="31"/>
      <c r="V145" s="30">
        <v>737257.37</v>
      </c>
      <c r="W145" s="31"/>
      <c r="X145" s="31"/>
      <c r="Y145" s="30">
        <v>1453245.72</v>
      </c>
      <c r="Z145" s="31"/>
      <c r="AA145" s="31"/>
      <c r="AB145" s="62">
        <v>3968101.97</v>
      </c>
      <c r="AC145" s="106"/>
      <c r="AD145" s="106"/>
      <c r="AE145" s="30">
        <v>5039.3097483740703</v>
      </c>
      <c r="AF145" s="30">
        <v>5039.3097483740703</v>
      </c>
      <c r="AG145" s="33">
        <v>2022</v>
      </c>
      <c r="AH145" s="1">
        <v>590020.37</v>
      </c>
      <c r="AI145" s="5">
        <f t="shared" si="38"/>
        <v>148552.79999999999</v>
      </c>
      <c r="AJ145" s="5">
        <f>+(K145*10+L145*20)*12*30</f>
        <v>5243040</v>
      </c>
      <c r="AL145" s="37">
        <f t="shared" si="34"/>
        <v>0</v>
      </c>
      <c r="AO145" s="165"/>
      <c r="AQ145" s="62">
        <v>0</v>
      </c>
      <c r="AR145" s="62"/>
      <c r="AS145" s="62"/>
      <c r="AT145" s="62">
        <v>0</v>
      </c>
      <c r="AU145" s="62">
        <v>6665001.5300000003</v>
      </c>
      <c r="AV145" s="62">
        <v>0</v>
      </c>
      <c r="AW145" s="62"/>
      <c r="AX145" s="62"/>
      <c r="AY145" s="62"/>
      <c r="AZ145" s="30"/>
      <c r="BA145" s="109">
        <v>37154.080000000002</v>
      </c>
      <c r="BB145" s="5">
        <f t="shared" si="37"/>
        <v>6702155.6099999994</v>
      </c>
    </row>
    <row r="146" spans="1:54" hidden="1">
      <c r="A146" s="104">
        <f t="shared" si="35"/>
        <v>129</v>
      </c>
      <c r="B146" s="101">
        <f t="shared" si="36"/>
        <v>129</v>
      </c>
      <c r="C146" s="101" t="s">
        <v>112</v>
      </c>
      <c r="D146" s="101" t="s">
        <v>352</v>
      </c>
      <c r="E146" s="102">
        <v>1984</v>
      </c>
      <c r="F146" s="102">
        <v>1984</v>
      </c>
      <c r="G146" s="102" t="s">
        <v>3</v>
      </c>
      <c r="H146" s="102">
        <v>5</v>
      </c>
      <c r="I146" s="102">
        <v>4</v>
      </c>
      <c r="J146" s="62">
        <v>3359.4</v>
      </c>
      <c r="K146" s="62">
        <v>2391.8000000000002</v>
      </c>
      <c r="L146" s="62">
        <v>553.20000000000005</v>
      </c>
      <c r="M146" s="103">
        <v>62</v>
      </c>
      <c r="N146" s="28">
        <f t="shared" ref="N146:N209" si="39">SUM(P146:AB146)</f>
        <v>7493912.1499999994</v>
      </c>
      <c r="O146" s="62"/>
      <c r="P146" s="30"/>
      <c r="Q146" s="31"/>
      <c r="R146" s="31"/>
      <c r="S146" s="30"/>
      <c r="T146" s="31"/>
      <c r="U146" s="31"/>
      <c r="V146" s="30">
        <v>492779.18</v>
      </c>
      <c r="W146" s="31"/>
      <c r="X146" s="31"/>
      <c r="Y146" s="30">
        <v>5673883.7999999998</v>
      </c>
      <c r="Z146" s="31"/>
      <c r="AA146" s="31"/>
      <c r="AB146" s="62">
        <v>1327249.17</v>
      </c>
      <c r="AC146" s="106"/>
      <c r="AD146" s="106"/>
      <c r="AE146" s="30">
        <v>2574.3894736842099</v>
      </c>
      <c r="AF146" s="30">
        <v>2574.3894736842099</v>
      </c>
      <c r="AG146" s="33">
        <v>2022</v>
      </c>
      <c r="AH146" s="1">
        <v>1110865.6299999999</v>
      </c>
      <c r="AI146" s="5">
        <f t="shared" si="38"/>
        <v>356816.39999999997</v>
      </c>
      <c r="AJ146" s="5">
        <f>+(K146*10+L146*20)*12*30-3112059.45</f>
        <v>9481460.5500000007</v>
      </c>
      <c r="AL146" s="37">
        <f t="shared" ref="AL146:AL177" si="40">SUBTOTAL(9, AM146:BA146)</f>
        <v>0</v>
      </c>
      <c r="AM146" s="62">
        <v>5331233.07</v>
      </c>
      <c r="AN146" s="62"/>
      <c r="AO146" s="162"/>
      <c r="AP146" s="62">
        <v>2162679.08</v>
      </c>
      <c r="AQ146" s="62">
        <v>0</v>
      </c>
      <c r="AR146" s="62"/>
      <c r="AS146" s="62"/>
      <c r="AT146" s="62">
        <v>0</v>
      </c>
      <c r="AU146" s="62"/>
      <c r="AV146" s="62">
        <v>0</v>
      </c>
      <c r="AW146" s="62"/>
      <c r="AY146" s="62"/>
      <c r="AZ146" s="62"/>
      <c r="BA146" s="40"/>
      <c r="BB146" s="5">
        <f t="shared" si="37"/>
        <v>7493912.1499999994</v>
      </c>
    </row>
    <row r="147" spans="1:54" hidden="1">
      <c r="A147" s="104">
        <f t="shared" ref="A147:A178" si="41">+A146+1</f>
        <v>130</v>
      </c>
      <c r="B147" s="101">
        <f t="shared" ref="B147:B178" si="42">+B146+1</f>
        <v>130</v>
      </c>
      <c r="C147" s="101" t="s">
        <v>112</v>
      </c>
      <c r="D147" s="101" t="s">
        <v>354</v>
      </c>
      <c r="E147" s="102">
        <v>1980</v>
      </c>
      <c r="F147" s="102">
        <v>2013</v>
      </c>
      <c r="G147" s="102" t="s">
        <v>3</v>
      </c>
      <c r="H147" s="102">
        <v>5</v>
      </c>
      <c r="I147" s="102">
        <v>4</v>
      </c>
      <c r="J147" s="62">
        <v>3517.3</v>
      </c>
      <c r="K147" s="62">
        <v>2413.5</v>
      </c>
      <c r="L147" s="62">
        <v>670.3</v>
      </c>
      <c r="M147" s="103">
        <v>55</v>
      </c>
      <c r="N147" s="28">
        <f t="shared" si="39"/>
        <v>12568038.82</v>
      </c>
      <c r="O147" s="62"/>
      <c r="P147" s="30">
        <v>3328292.21</v>
      </c>
      <c r="Q147" s="31"/>
      <c r="R147" s="31"/>
      <c r="S147" s="30"/>
      <c r="T147" s="31"/>
      <c r="U147" s="31"/>
      <c r="V147" s="30"/>
      <c r="W147" s="31"/>
      <c r="X147" s="31"/>
      <c r="Y147" s="30">
        <v>9239746.6099999994</v>
      </c>
      <c r="Z147" s="31"/>
      <c r="AA147" s="31"/>
      <c r="AB147" s="30"/>
      <c r="AC147" s="32"/>
      <c r="AD147" s="32"/>
      <c r="AE147" s="30">
        <v>4131.4827955062501</v>
      </c>
      <c r="AF147" s="30">
        <v>4131.4827955062501</v>
      </c>
      <c r="AG147" s="33">
        <v>2022</v>
      </c>
      <c r="AH147" s="1">
        <v>1112557.28</v>
      </c>
      <c r="AI147" s="5">
        <f t="shared" si="38"/>
        <v>382918.2</v>
      </c>
      <c r="AJ147" s="5">
        <f>+(K147*10+L147*20)*12*30-2158139.11-363880.66</f>
        <v>10992740.23</v>
      </c>
      <c r="AL147" s="37">
        <f t="shared" si="40"/>
        <v>0</v>
      </c>
      <c r="AM147" s="62">
        <v>0</v>
      </c>
      <c r="AN147" s="62">
        <v>0</v>
      </c>
      <c r="AO147" s="162"/>
      <c r="AP147" s="62">
        <v>0</v>
      </c>
      <c r="AQ147" s="62">
        <v>0</v>
      </c>
      <c r="AR147" s="62"/>
      <c r="AS147" s="62"/>
      <c r="AT147" s="62">
        <v>0</v>
      </c>
      <c r="AU147" s="62">
        <v>0</v>
      </c>
      <c r="AV147" s="62">
        <v>0</v>
      </c>
      <c r="AW147" s="62">
        <v>12568038.82</v>
      </c>
      <c r="AX147" s="62">
        <v>0</v>
      </c>
      <c r="AY147" s="62"/>
      <c r="AZ147" s="30"/>
      <c r="BA147" s="40"/>
      <c r="BB147" s="5">
        <f t="shared" si="37"/>
        <v>12568038.82</v>
      </c>
    </row>
    <row r="148" spans="1:54" hidden="1">
      <c r="A148" s="104">
        <f t="shared" si="41"/>
        <v>131</v>
      </c>
      <c r="B148" s="101">
        <f t="shared" si="42"/>
        <v>131</v>
      </c>
      <c r="C148" s="101" t="s">
        <v>355</v>
      </c>
      <c r="D148" s="101" t="s">
        <v>356</v>
      </c>
      <c r="E148" s="102">
        <v>1964</v>
      </c>
      <c r="F148" s="102">
        <v>1964</v>
      </c>
      <c r="G148" s="102" t="s">
        <v>3</v>
      </c>
      <c r="H148" s="102">
        <v>3</v>
      </c>
      <c r="I148" s="102">
        <v>3</v>
      </c>
      <c r="J148" s="62">
        <v>977.7</v>
      </c>
      <c r="K148" s="62">
        <v>824.1</v>
      </c>
      <c r="L148" s="62">
        <v>81.5</v>
      </c>
      <c r="M148" s="103">
        <v>40</v>
      </c>
      <c r="N148" s="28">
        <f t="shared" si="39"/>
        <v>275546.20999999996</v>
      </c>
      <c r="O148" s="62"/>
      <c r="P148" s="30"/>
      <c r="Q148" s="31"/>
      <c r="R148" s="31"/>
      <c r="S148" s="30"/>
      <c r="T148" s="31"/>
      <c r="U148" s="31"/>
      <c r="V148" s="30">
        <v>204954.46</v>
      </c>
      <c r="W148" s="31"/>
      <c r="X148" s="31"/>
      <c r="Y148" s="30">
        <v>70591.75</v>
      </c>
      <c r="Z148" s="31"/>
      <c r="AA148" s="31"/>
      <c r="AB148" s="62">
        <v>0</v>
      </c>
      <c r="AC148" s="106"/>
      <c r="AD148" s="106"/>
      <c r="AE148" s="30">
        <v>304.26922482332202</v>
      </c>
      <c r="AF148" s="30">
        <v>304.26922482332202</v>
      </c>
      <c r="AG148" s="33">
        <v>2022</v>
      </c>
      <c r="AH148" s="1">
        <f>314113.02-85397.7</f>
        <v>228715.32</v>
      </c>
      <c r="AI148" s="5">
        <f t="shared" si="38"/>
        <v>100684.2</v>
      </c>
      <c r="AJ148" s="5">
        <f>+(K148*10+L148*20)*12*30</f>
        <v>3553560</v>
      </c>
      <c r="AL148" s="37">
        <f t="shared" si="40"/>
        <v>0</v>
      </c>
      <c r="AM148" s="62">
        <v>0</v>
      </c>
      <c r="AN148" s="62">
        <v>0</v>
      </c>
      <c r="AO148" s="162">
        <v>0</v>
      </c>
      <c r="AP148" s="62">
        <v>0</v>
      </c>
      <c r="AQ148" s="62">
        <v>0</v>
      </c>
      <c r="AR148" s="62"/>
      <c r="AS148" s="62"/>
      <c r="AT148" s="62">
        <v>0</v>
      </c>
      <c r="AU148" s="62">
        <v>0</v>
      </c>
      <c r="AV148" s="62">
        <v>0</v>
      </c>
      <c r="AW148" s="62">
        <v>0</v>
      </c>
      <c r="AX148" s="62">
        <v>275546.21000000002</v>
      </c>
      <c r="AY148" s="62"/>
      <c r="AZ148" s="30"/>
      <c r="BA148" s="156"/>
      <c r="BB148" s="5">
        <f t="shared" si="37"/>
        <v>275546.20999999996</v>
      </c>
    </row>
    <row r="149" spans="1:54" hidden="1">
      <c r="A149" s="104">
        <f t="shared" si="41"/>
        <v>132</v>
      </c>
      <c r="B149" s="101">
        <f t="shared" si="42"/>
        <v>132</v>
      </c>
      <c r="C149" s="101" t="s">
        <v>355</v>
      </c>
      <c r="D149" s="101" t="s">
        <v>357</v>
      </c>
      <c r="E149" s="102">
        <v>1973</v>
      </c>
      <c r="F149" s="102">
        <v>1973</v>
      </c>
      <c r="G149" s="102" t="s">
        <v>3</v>
      </c>
      <c r="H149" s="102">
        <v>4</v>
      </c>
      <c r="I149" s="102">
        <v>3</v>
      </c>
      <c r="J149" s="62">
        <v>1399</v>
      </c>
      <c r="K149" s="62">
        <v>1081.5999999999999</v>
      </c>
      <c r="L149" s="62">
        <v>197.9</v>
      </c>
      <c r="M149" s="103">
        <v>41</v>
      </c>
      <c r="N149" s="28">
        <f t="shared" si="39"/>
        <v>2485206.75</v>
      </c>
      <c r="O149" s="62"/>
      <c r="P149" s="30">
        <v>404178.6</v>
      </c>
      <c r="Q149" s="31"/>
      <c r="R149" s="31"/>
      <c r="S149" s="30"/>
      <c r="T149" s="31"/>
      <c r="U149" s="31"/>
      <c r="V149" s="30">
        <v>325425.82</v>
      </c>
      <c r="W149" s="31"/>
      <c r="X149" s="31"/>
      <c r="Y149" s="30">
        <v>1755602.33</v>
      </c>
      <c r="Z149" s="31"/>
      <c r="AA149" s="31"/>
      <c r="AB149" s="62">
        <v>0</v>
      </c>
      <c r="AC149" s="106"/>
      <c r="AD149" s="106"/>
      <c r="AE149" s="30">
        <v>1942.3264947245</v>
      </c>
      <c r="AF149" s="30">
        <v>1942.3264947245</v>
      </c>
      <c r="AG149" s="33">
        <v>2022</v>
      </c>
      <c r="AH149" s="1">
        <f>414772.6-182047.66</f>
        <v>232724.93999999997</v>
      </c>
      <c r="AI149" s="5">
        <f t="shared" si="38"/>
        <v>150694.79999999999</v>
      </c>
      <c r="AJ149" s="5">
        <f>+(K149*10+L149*20)*12*30</f>
        <v>5318640</v>
      </c>
      <c r="AL149" s="37">
        <f t="shared" si="40"/>
        <v>0</v>
      </c>
      <c r="AM149" s="62">
        <v>0</v>
      </c>
      <c r="AN149" s="62">
        <v>0</v>
      </c>
      <c r="AO149" s="162">
        <v>0</v>
      </c>
      <c r="AP149" s="62">
        <v>0</v>
      </c>
      <c r="AQ149" s="62">
        <v>0</v>
      </c>
      <c r="AR149" s="62"/>
      <c r="AS149" s="62"/>
      <c r="AT149" s="62">
        <v>0</v>
      </c>
      <c r="AU149" s="62">
        <v>1968122.34</v>
      </c>
      <c r="AV149" s="62">
        <v>0</v>
      </c>
      <c r="AW149" s="62">
        <v>0</v>
      </c>
      <c r="AX149" s="62">
        <v>517084.41</v>
      </c>
      <c r="AY149" s="62"/>
      <c r="AZ149" s="30"/>
      <c r="BA149" s="156"/>
      <c r="BB149" s="5">
        <f t="shared" si="37"/>
        <v>2485206.75</v>
      </c>
    </row>
    <row r="150" spans="1:54" hidden="1">
      <c r="A150" s="104">
        <f t="shared" si="41"/>
        <v>133</v>
      </c>
      <c r="B150" s="101">
        <f t="shared" si="42"/>
        <v>133</v>
      </c>
      <c r="C150" s="101" t="s">
        <v>355</v>
      </c>
      <c r="D150" s="101" t="s">
        <v>358</v>
      </c>
      <c r="E150" s="102">
        <v>1969</v>
      </c>
      <c r="F150" s="102">
        <v>1969</v>
      </c>
      <c r="G150" s="102" t="s">
        <v>3</v>
      </c>
      <c r="H150" s="102">
        <v>4</v>
      </c>
      <c r="I150" s="102">
        <v>4</v>
      </c>
      <c r="J150" s="62">
        <v>1301.0999999999999</v>
      </c>
      <c r="K150" s="62">
        <v>1206.0999999999999</v>
      </c>
      <c r="L150" s="62">
        <v>0</v>
      </c>
      <c r="M150" s="103">
        <v>55</v>
      </c>
      <c r="N150" s="28">
        <f t="shared" si="39"/>
        <v>942327.92</v>
      </c>
      <c r="O150" s="62"/>
      <c r="P150" s="30">
        <v>48024.160000000003</v>
      </c>
      <c r="Q150" s="31"/>
      <c r="R150" s="31"/>
      <c r="S150" s="30"/>
      <c r="T150" s="31"/>
      <c r="U150" s="31"/>
      <c r="V150" s="30"/>
      <c r="W150" s="31"/>
      <c r="X150" s="31"/>
      <c r="Y150" s="30">
        <v>894303.76</v>
      </c>
      <c r="Z150" s="31"/>
      <c r="AA150" s="31"/>
      <c r="AB150" s="62"/>
      <c r="AC150" s="106"/>
      <c r="AD150" s="106"/>
      <c r="AE150" s="30">
        <v>873.05332506757304</v>
      </c>
      <c r="AF150" s="30">
        <v>873.05332506757304</v>
      </c>
      <c r="AG150" s="33">
        <v>2022</v>
      </c>
      <c r="AH150" s="1">
        <v>468456.03</v>
      </c>
      <c r="AI150" s="5">
        <f t="shared" si="38"/>
        <v>123022.2</v>
      </c>
      <c r="AJ150" s="5">
        <f>+(K150*10+L150*20)*12*30-171359.03</f>
        <v>4170600.97</v>
      </c>
      <c r="AL150" s="37">
        <f t="shared" si="40"/>
        <v>0</v>
      </c>
      <c r="AM150" s="62"/>
      <c r="AN150" s="62">
        <v>624846.18000000005</v>
      </c>
      <c r="AO150" s="162"/>
      <c r="AP150" s="62">
        <v>317481.74</v>
      </c>
      <c r="AQ150" s="62">
        <v>0</v>
      </c>
      <c r="AR150" s="62"/>
      <c r="AS150" s="62"/>
      <c r="AT150" s="62">
        <v>0</v>
      </c>
      <c r="AU150" s="62"/>
      <c r="AV150" s="62">
        <v>0</v>
      </c>
      <c r="AW150" s="62"/>
      <c r="AX150" s="62"/>
      <c r="AY150" s="62"/>
      <c r="AZ150" s="30"/>
      <c r="BA150" s="40"/>
      <c r="BB150" s="5">
        <f t="shared" si="37"/>
        <v>942327.92</v>
      </c>
    </row>
    <row r="151" spans="1:54" hidden="1">
      <c r="A151" s="104">
        <f t="shared" si="41"/>
        <v>134</v>
      </c>
      <c r="B151" s="101">
        <f t="shared" si="42"/>
        <v>134</v>
      </c>
      <c r="C151" s="101" t="s">
        <v>355</v>
      </c>
      <c r="D151" s="101" t="s">
        <v>359</v>
      </c>
      <c r="E151" s="102">
        <v>1974</v>
      </c>
      <c r="F151" s="102">
        <v>1974</v>
      </c>
      <c r="G151" s="102" t="s">
        <v>3</v>
      </c>
      <c r="H151" s="102">
        <v>4</v>
      </c>
      <c r="I151" s="102">
        <v>3</v>
      </c>
      <c r="J151" s="62">
        <v>1380.9</v>
      </c>
      <c r="K151" s="62">
        <v>1261.0999999999999</v>
      </c>
      <c r="L151" s="62">
        <v>0</v>
      </c>
      <c r="M151" s="103">
        <v>43</v>
      </c>
      <c r="N151" s="28">
        <f t="shared" si="39"/>
        <v>1065818.07</v>
      </c>
      <c r="O151" s="62"/>
      <c r="P151" s="30"/>
      <c r="Q151" s="31"/>
      <c r="R151" s="31"/>
      <c r="S151" s="30"/>
      <c r="T151" s="31"/>
      <c r="U151" s="31"/>
      <c r="V151" s="30">
        <v>641924.76</v>
      </c>
      <c r="W151" s="31"/>
      <c r="X151" s="31"/>
      <c r="Y151" s="30">
        <v>423893.31</v>
      </c>
      <c r="Z151" s="31"/>
      <c r="AA151" s="31"/>
      <c r="AB151" s="62"/>
      <c r="AC151" s="106"/>
      <c r="AD151" s="106"/>
      <c r="AE151" s="30">
        <v>1056.3275638873699</v>
      </c>
      <c r="AF151" s="30">
        <v>1056.3275638873699</v>
      </c>
      <c r="AG151" s="33">
        <v>2022</v>
      </c>
      <c r="AH151" s="1">
        <v>513292.56</v>
      </c>
      <c r="AI151" s="5">
        <f t="shared" si="38"/>
        <v>128632.2</v>
      </c>
      <c r="AJ151" s="5">
        <f>+(K151*10+L151*20)*12*30</f>
        <v>4539960</v>
      </c>
      <c r="AL151" s="37">
        <f t="shared" si="40"/>
        <v>0</v>
      </c>
      <c r="AM151" s="62"/>
      <c r="AN151" s="62">
        <v>691727.99</v>
      </c>
      <c r="AO151" s="162"/>
      <c r="AP151" s="62">
        <v>374090.08</v>
      </c>
      <c r="AQ151" s="62">
        <v>0</v>
      </c>
      <c r="AR151" s="62"/>
      <c r="AS151" s="62"/>
      <c r="AT151" s="62">
        <v>0</v>
      </c>
      <c r="AU151" s="62"/>
      <c r="AV151" s="62"/>
      <c r="AW151" s="62"/>
      <c r="AY151" s="62"/>
      <c r="AZ151" s="30"/>
      <c r="BA151" s="40"/>
      <c r="BB151" s="5">
        <f t="shared" si="37"/>
        <v>1065818.07</v>
      </c>
    </row>
    <row r="152" spans="1:54" hidden="1">
      <c r="A152" s="104">
        <f t="shared" si="41"/>
        <v>135</v>
      </c>
      <c r="B152" s="101">
        <f t="shared" si="42"/>
        <v>135</v>
      </c>
      <c r="C152" s="101" t="s">
        <v>355</v>
      </c>
      <c r="D152" s="101" t="s">
        <v>360</v>
      </c>
      <c r="E152" s="102">
        <v>1962</v>
      </c>
      <c r="F152" s="102">
        <v>1962</v>
      </c>
      <c r="G152" s="102" t="s">
        <v>3</v>
      </c>
      <c r="H152" s="102">
        <v>3</v>
      </c>
      <c r="I152" s="102">
        <v>2</v>
      </c>
      <c r="J152" s="62">
        <v>937.1</v>
      </c>
      <c r="K152" s="62">
        <v>723.7</v>
      </c>
      <c r="L152" s="62">
        <v>213.4</v>
      </c>
      <c r="M152" s="103">
        <v>26</v>
      </c>
      <c r="N152" s="28">
        <f t="shared" si="39"/>
        <v>849666.34000000032</v>
      </c>
      <c r="O152" s="62"/>
      <c r="P152" s="30">
        <v>83339.016051200204</v>
      </c>
      <c r="Q152" s="31"/>
      <c r="R152" s="31"/>
      <c r="S152" s="30"/>
      <c r="T152" s="31"/>
      <c r="U152" s="31"/>
      <c r="V152" s="30">
        <v>193257.44</v>
      </c>
      <c r="W152" s="31"/>
      <c r="X152" s="31"/>
      <c r="Y152" s="30">
        <v>573069.88394880004</v>
      </c>
      <c r="Z152" s="31"/>
      <c r="AA152" s="31"/>
      <c r="AB152" s="62"/>
      <c r="AC152" s="106"/>
      <c r="AD152" s="106"/>
      <c r="AE152" s="30">
        <v>1247.0275298772799</v>
      </c>
      <c r="AF152" s="30">
        <v>1247.0275298772799</v>
      </c>
      <c r="AG152" s="33">
        <v>2022</v>
      </c>
      <c r="AH152" s="1">
        <f>294416.56-218510.12</f>
        <v>75906.44</v>
      </c>
      <c r="AI152" s="5">
        <f t="shared" si="38"/>
        <v>117351</v>
      </c>
      <c r="AJ152" s="5">
        <f>+(K152*10+L152*20)*12*30</f>
        <v>4141800</v>
      </c>
      <c r="AL152" s="37">
        <f t="shared" si="40"/>
        <v>0</v>
      </c>
      <c r="AM152" s="62"/>
      <c r="AN152" s="62">
        <v>552436.80000000005</v>
      </c>
      <c r="AO152" s="162"/>
      <c r="AP152" s="62">
        <v>297229.53999999998</v>
      </c>
      <c r="AQ152" s="62">
        <v>0</v>
      </c>
      <c r="AR152" s="62"/>
      <c r="AS152" s="62"/>
      <c r="AT152" s="62">
        <v>0</v>
      </c>
      <c r="AU152" s="62"/>
      <c r="AV152" s="62">
        <v>0</v>
      </c>
      <c r="AW152" s="62"/>
      <c r="AY152" s="62"/>
      <c r="AZ152" s="30"/>
      <c r="BA152" s="40"/>
      <c r="BB152" s="5">
        <f t="shared" si="37"/>
        <v>849666.34000000032</v>
      </c>
    </row>
    <row r="153" spans="1:54" hidden="1">
      <c r="A153" s="104">
        <f t="shared" si="41"/>
        <v>136</v>
      </c>
      <c r="B153" s="101">
        <f t="shared" si="42"/>
        <v>136</v>
      </c>
      <c r="C153" s="101" t="s">
        <v>116</v>
      </c>
      <c r="D153" s="101" t="s">
        <v>361</v>
      </c>
      <c r="E153" s="102">
        <v>1993</v>
      </c>
      <c r="F153" s="102">
        <v>2015</v>
      </c>
      <c r="G153" s="102" t="s">
        <v>3</v>
      </c>
      <c r="H153" s="102">
        <v>4</v>
      </c>
      <c r="I153" s="102">
        <v>2</v>
      </c>
      <c r="J153" s="62">
        <v>2573</v>
      </c>
      <c r="K153" s="62">
        <v>2088.4</v>
      </c>
      <c r="L153" s="62">
        <v>299.89999999999998</v>
      </c>
      <c r="M153" s="103">
        <v>79</v>
      </c>
      <c r="N153" s="28">
        <f t="shared" si="39"/>
        <v>2592439.69</v>
      </c>
      <c r="O153" s="62"/>
      <c r="P153" s="30"/>
      <c r="Q153" s="31"/>
      <c r="R153" s="31"/>
      <c r="S153" s="30"/>
      <c r="T153" s="31"/>
      <c r="U153" s="31"/>
      <c r="V153" s="30">
        <v>897791.14</v>
      </c>
      <c r="W153" s="31"/>
      <c r="X153" s="31"/>
      <c r="Y153" s="30">
        <v>1694648.55</v>
      </c>
      <c r="Z153" s="31"/>
      <c r="AA153" s="31"/>
      <c r="AB153" s="62"/>
      <c r="AC153" s="106"/>
      <c r="AD153" s="106"/>
      <c r="AE153" s="30">
        <v>1136.7865055012701</v>
      </c>
      <c r="AF153" s="30">
        <v>1136.7865055012701</v>
      </c>
      <c r="AG153" s="33">
        <v>2022</v>
      </c>
      <c r="AH153" s="1">
        <f>1272443.19-648848.45</f>
        <v>623594.74</v>
      </c>
      <c r="AI153" s="5">
        <f t="shared" si="38"/>
        <v>274196.39999999997</v>
      </c>
      <c r="AJ153" s="5">
        <f>+(K153*10+L153*20)*12*30-5206204.7</f>
        <v>4471315.3</v>
      </c>
      <c r="AL153" s="37">
        <f t="shared" si="40"/>
        <v>0</v>
      </c>
      <c r="AM153" s="62">
        <v>2562577.02</v>
      </c>
      <c r="AN153" s="62">
        <v>0</v>
      </c>
      <c r="AO153" s="162"/>
      <c r="AP153" s="62">
        <v>0</v>
      </c>
      <c r="AQ153" s="62">
        <v>0</v>
      </c>
      <c r="AR153" s="62"/>
      <c r="AS153" s="62"/>
      <c r="AT153" s="62">
        <v>0</v>
      </c>
      <c r="AU153" s="62">
        <v>0</v>
      </c>
      <c r="AV153" s="62">
        <v>0</v>
      </c>
      <c r="AW153" s="62"/>
      <c r="AX153" s="62">
        <v>0</v>
      </c>
      <c r="AY153" s="62"/>
      <c r="AZ153" s="30"/>
      <c r="BA153" s="109">
        <v>29862.67</v>
      </c>
      <c r="BB153" s="5">
        <f t="shared" si="37"/>
        <v>2592439.69</v>
      </c>
    </row>
    <row r="154" spans="1:54" hidden="1">
      <c r="A154" s="104">
        <f t="shared" si="41"/>
        <v>137</v>
      </c>
      <c r="B154" s="101">
        <f t="shared" si="42"/>
        <v>137</v>
      </c>
      <c r="C154" s="101" t="s">
        <v>116</v>
      </c>
      <c r="D154" s="101" t="s">
        <v>119</v>
      </c>
      <c r="E154" s="102">
        <v>1989</v>
      </c>
      <c r="F154" s="102">
        <v>2014</v>
      </c>
      <c r="G154" s="102" t="s">
        <v>3</v>
      </c>
      <c r="H154" s="102">
        <v>9</v>
      </c>
      <c r="I154" s="102">
        <v>3</v>
      </c>
      <c r="J154" s="62">
        <v>6626.1</v>
      </c>
      <c r="K154" s="62">
        <v>6102.5</v>
      </c>
      <c r="L154" s="62">
        <v>67.8</v>
      </c>
      <c r="M154" s="103">
        <v>265</v>
      </c>
      <c r="N154" s="28">
        <f t="shared" si="39"/>
        <v>46987316.399999999</v>
      </c>
      <c r="O154" s="62"/>
      <c r="P154" s="63"/>
      <c r="Q154" s="111"/>
      <c r="R154" s="111"/>
      <c r="S154" s="30"/>
      <c r="T154" s="31"/>
      <c r="U154" s="31"/>
      <c r="V154" s="30">
        <v>1277946.27</v>
      </c>
      <c r="W154" s="31"/>
      <c r="X154" s="31"/>
      <c r="Y154" s="30">
        <v>29746469.16</v>
      </c>
      <c r="Z154" s="31"/>
      <c r="AA154" s="31"/>
      <c r="AB154" s="30">
        <v>15962900.970000001</v>
      </c>
      <c r="AC154" s="32"/>
      <c r="AD154" s="32"/>
      <c r="AE154" s="62">
        <v>8075.7306874750302</v>
      </c>
      <c r="AF154" s="62">
        <v>8075.7306874750302</v>
      </c>
      <c r="AG154" s="33">
        <v>2022</v>
      </c>
      <c r="AH154" s="98">
        <v>3444334.74</v>
      </c>
      <c r="AI154" s="5">
        <f>+(K154*13.29+L154*22.52)*12*0.85</f>
        <v>842816.62619999982</v>
      </c>
      <c r="AJ154" s="5">
        <f>+(K154*13.29+L154*22.52)*12*30</f>
        <v>29746469.159999996</v>
      </c>
      <c r="AL154" s="37">
        <f t="shared" si="40"/>
        <v>0</v>
      </c>
      <c r="AM154" s="62"/>
      <c r="AN154" s="62">
        <v>8054732.7000000002</v>
      </c>
      <c r="AO154" s="162">
        <v>3326392.27</v>
      </c>
      <c r="AP154" s="62"/>
      <c r="AQ154" s="62"/>
      <c r="AR154" s="62"/>
      <c r="AS154" s="62"/>
      <c r="AT154" s="62"/>
      <c r="AU154" s="62">
        <v>6383560.5599999996</v>
      </c>
      <c r="AV154" s="62">
        <v>0</v>
      </c>
      <c r="AW154" s="62">
        <v>14384597.800000001</v>
      </c>
      <c r="AX154" s="62">
        <v>14838033.07</v>
      </c>
      <c r="AY154" s="62"/>
      <c r="AZ154" s="30"/>
      <c r="BA154" s="40"/>
      <c r="BB154" s="5">
        <f t="shared" ref="BB154:BB185" si="43">N154-AL154</f>
        <v>46987316.399999999</v>
      </c>
    </row>
    <row r="155" spans="1:54" s="142" customFormat="1" hidden="1">
      <c r="A155" s="104">
        <f t="shared" si="41"/>
        <v>138</v>
      </c>
      <c r="B155" s="101">
        <f t="shared" si="42"/>
        <v>138</v>
      </c>
      <c r="C155" s="101" t="s">
        <v>116</v>
      </c>
      <c r="D155" s="101" t="s">
        <v>363</v>
      </c>
      <c r="E155" s="102" t="s">
        <v>216</v>
      </c>
      <c r="F155" s="102"/>
      <c r="G155" s="102" t="s">
        <v>3</v>
      </c>
      <c r="H155" s="102" t="s">
        <v>174</v>
      </c>
      <c r="I155" s="102" t="s">
        <v>244</v>
      </c>
      <c r="J155" s="62">
        <v>2294.4</v>
      </c>
      <c r="K155" s="62">
        <v>2020</v>
      </c>
      <c r="L155" s="62">
        <v>0</v>
      </c>
      <c r="M155" s="103">
        <v>107</v>
      </c>
      <c r="N155" s="28">
        <f t="shared" si="39"/>
        <v>2998415.7590784002</v>
      </c>
      <c r="O155" s="62">
        <v>0</v>
      </c>
      <c r="P155" s="30"/>
      <c r="Q155" s="31"/>
      <c r="R155" s="31"/>
      <c r="S155" s="30">
        <v>0</v>
      </c>
      <c r="T155" s="31"/>
      <c r="U155" s="31"/>
      <c r="V155" s="30">
        <v>1430983.8</v>
      </c>
      <c r="W155" s="31"/>
      <c r="X155" s="31"/>
      <c r="Y155" s="30">
        <v>1567431.9590783999</v>
      </c>
      <c r="Z155" s="31"/>
      <c r="AA155" s="31"/>
      <c r="AB155" s="62"/>
      <c r="AC155" s="106"/>
      <c r="AD155" s="106"/>
      <c r="AE155" s="30">
        <v>1521.0455415495701</v>
      </c>
      <c r="AF155" s="30">
        <v>1172.2830200640001</v>
      </c>
      <c r="AG155" s="33">
        <v>2022</v>
      </c>
      <c r="AH155" s="142">
        <v>1157156.6399999999</v>
      </c>
      <c r="AI155" s="5">
        <f>+(K155*13.29+L155*22.52)*12*0.85</f>
        <v>273827.15999999997</v>
      </c>
      <c r="AJ155" s="5">
        <f>+(K155*13.29+L155*22.52)*12*30</f>
        <v>9664488</v>
      </c>
      <c r="AK155" s="5"/>
      <c r="AL155" s="37">
        <f t="shared" si="40"/>
        <v>0</v>
      </c>
      <c r="AM155" s="62"/>
      <c r="AN155" s="62"/>
      <c r="AO155" s="162"/>
      <c r="AP155" s="62"/>
      <c r="AQ155" s="62"/>
      <c r="AR155" s="62"/>
      <c r="AS155" s="62"/>
      <c r="AT155" s="62">
        <v>2869496.64</v>
      </c>
      <c r="AU155" s="62"/>
      <c r="AV155" s="62"/>
      <c r="AW155" s="62"/>
      <c r="AX155" s="62"/>
      <c r="AY155" s="62">
        <v>104919.11907840001</v>
      </c>
      <c r="AZ155" s="30">
        <v>24000</v>
      </c>
      <c r="BA155" s="40"/>
      <c r="BB155" s="5">
        <f t="shared" si="43"/>
        <v>2998415.7590784002</v>
      </c>
    </row>
    <row r="156" spans="1:54" s="142" customFormat="1" hidden="1">
      <c r="A156" s="104">
        <f t="shared" si="41"/>
        <v>139</v>
      </c>
      <c r="B156" s="101">
        <f t="shared" si="42"/>
        <v>139</v>
      </c>
      <c r="C156" s="101" t="s">
        <v>116</v>
      </c>
      <c r="D156" s="101" t="s">
        <v>365</v>
      </c>
      <c r="E156" s="102" t="s">
        <v>216</v>
      </c>
      <c r="F156" s="102"/>
      <c r="G156" s="102" t="s">
        <v>3</v>
      </c>
      <c r="H156" s="102" t="s">
        <v>174</v>
      </c>
      <c r="I156" s="102" t="s">
        <v>244</v>
      </c>
      <c r="J156" s="62">
        <v>2291.6999999999998</v>
      </c>
      <c r="K156" s="62">
        <v>2012</v>
      </c>
      <c r="L156" s="62">
        <v>65.3</v>
      </c>
      <c r="M156" s="103">
        <v>84</v>
      </c>
      <c r="N156" s="28">
        <f t="shared" si="39"/>
        <v>2998377.8434528001</v>
      </c>
      <c r="O156" s="62">
        <v>0</v>
      </c>
      <c r="P156" s="30"/>
      <c r="Q156" s="31"/>
      <c r="R156" s="31"/>
      <c r="S156" s="30">
        <v>0</v>
      </c>
      <c r="T156" s="31"/>
      <c r="U156" s="31"/>
      <c r="V156" s="30">
        <v>1331435.4972000001</v>
      </c>
      <c r="W156" s="31"/>
      <c r="X156" s="31"/>
      <c r="Y156" s="30">
        <v>1666942.3462528</v>
      </c>
      <c r="Z156" s="31"/>
      <c r="AA156" s="31"/>
      <c r="AB156" s="62"/>
      <c r="AC156" s="106"/>
      <c r="AD156" s="106"/>
      <c r="AE156" s="30">
        <v>1527.0749949865401</v>
      </c>
      <c r="AF156" s="30">
        <v>1172.2830200640001</v>
      </c>
      <c r="AG156" s="33">
        <v>2022</v>
      </c>
      <c r="AH156" s="142">
        <v>1043693.13</v>
      </c>
      <c r="AI156" s="5">
        <f>+(K156*13.29+L156*22.52)*12*0.85</f>
        <v>287742.36720000004</v>
      </c>
      <c r="AJ156" s="5">
        <f>+(K156*13.29+L156*22.52)*12*30</f>
        <v>10155612.960000001</v>
      </c>
      <c r="AK156" s="5"/>
      <c r="AL156" s="37">
        <f t="shared" si="40"/>
        <v>0</v>
      </c>
      <c r="AM156" s="62"/>
      <c r="AN156" s="62"/>
      <c r="AO156" s="162"/>
      <c r="AP156" s="62"/>
      <c r="AQ156" s="62"/>
      <c r="AR156" s="62"/>
      <c r="AS156" s="62"/>
      <c r="AT156" s="62">
        <v>2869496.65</v>
      </c>
      <c r="AU156" s="62"/>
      <c r="AV156" s="62"/>
      <c r="AW156" s="62"/>
      <c r="AX156" s="62"/>
      <c r="AY156" s="62">
        <v>104881.1934528</v>
      </c>
      <c r="AZ156" s="30">
        <v>24000</v>
      </c>
      <c r="BA156" s="40"/>
      <c r="BB156" s="5">
        <f t="shared" si="43"/>
        <v>2998377.8434528001</v>
      </c>
    </row>
    <row r="157" spans="1:54" s="142" customFormat="1" hidden="1">
      <c r="A157" s="104">
        <f t="shared" si="41"/>
        <v>140</v>
      </c>
      <c r="B157" s="101">
        <f t="shared" si="42"/>
        <v>140</v>
      </c>
      <c r="C157" s="101" t="s">
        <v>116</v>
      </c>
      <c r="D157" s="101" t="s">
        <v>366</v>
      </c>
      <c r="E157" s="102" t="s">
        <v>367</v>
      </c>
      <c r="F157" s="102"/>
      <c r="G157" s="102" t="s">
        <v>3</v>
      </c>
      <c r="H157" s="102" t="s">
        <v>174</v>
      </c>
      <c r="I157" s="102" t="s">
        <v>244</v>
      </c>
      <c r="J157" s="62">
        <v>2263.9</v>
      </c>
      <c r="K157" s="62">
        <v>2004.44</v>
      </c>
      <c r="L157" s="62">
        <v>0</v>
      </c>
      <c r="M157" s="103">
        <v>82</v>
      </c>
      <c r="N157" s="28">
        <f t="shared" si="39"/>
        <v>2998746.0699072001</v>
      </c>
      <c r="O157" s="62">
        <v>0</v>
      </c>
      <c r="P157" s="30"/>
      <c r="Q157" s="31"/>
      <c r="R157" s="31"/>
      <c r="S157" s="30">
        <v>0</v>
      </c>
      <c r="T157" s="31"/>
      <c r="U157" s="31"/>
      <c r="V157" s="30">
        <v>1305135.01752</v>
      </c>
      <c r="W157" s="31"/>
      <c r="X157" s="31"/>
      <c r="Y157" s="30">
        <v>1693611.0523872001</v>
      </c>
      <c r="Z157" s="31"/>
      <c r="AA157" s="31"/>
      <c r="AB157" s="62"/>
      <c r="AC157" s="106"/>
      <c r="AD157" s="106"/>
      <c r="AE157" s="30">
        <v>1533.01432624932</v>
      </c>
      <c r="AF157" s="30">
        <v>1172.2830200640001</v>
      </c>
      <c r="AG157" s="33">
        <v>2022</v>
      </c>
      <c r="AH157" s="142">
        <v>1033417.14</v>
      </c>
      <c r="AI157" s="5">
        <f>+(K157*13.29+L157*22.52)*12*0.85</f>
        <v>271717.87752000004</v>
      </c>
      <c r="AJ157" s="5">
        <f>+(K157*13.29+L157*22.52)*12*30</f>
        <v>9590042.7360000014</v>
      </c>
      <c r="AK157" s="5"/>
      <c r="AL157" s="37">
        <f t="shared" si="40"/>
        <v>0</v>
      </c>
      <c r="AM157" s="62"/>
      <c r="AN157" s="62"/>
      <c r="AO157" s="162"/>
      <c r="AP157" s="62"/>
      <c r="AQ157" s="62"/>
      <c r="AR157" s="62"/>
      <c r="AS157" s="62"/>
      <c r="AT157" s="62">
        <v>2869496.64</v>
      </c>
      <c r="AU157" s="62"/>
      <c r="AV157" s="62"/>
      <c r="AW157" s="62"/>
      <c r="AX157" s="62"/>
      <c r="AY157" s="62">
        <v>105249.4299072</v>
      </c>
      <c r="AZ157" s="30">
        <v>24000</v>
      </c>
      <c r="BA157" s="40"/>
      <c r="BB157" s="5">
        <f t="shared" si="43"/>
        <v>2998746.0699072001</v>
      </c>
    </row>
    <row r="158" spans="1:54" hidden="1">
      <c r="A158" s="104">
        <f t="shared" si="41"/>
        <v>141</v>
      </c>
      <c r="B158" s="101">
        <f t="shared" si="42"/>
        <v>141</v>
      </c>
      <c r="C158" s="101" t="s">
        <v>116</v>
      </c>
      <c r="D158" s="101" t="s">
        <v>368</v>
      </c>
      <c r="E158" s="102">
        <v>1976</v>
      </c>
      <c r="F158" s="102">
        <v>2011</v>
      </c>
      <c r="G158" s="102" t="s">
        <v>3</v>
      </c>
      <c r="H158" s="102">
        <v>5</v>
      </c>
      <c r="I158" s="102">
        <v>3</v>
      </c>
      <c r="J158" s="62">
        <v>4142.3</v>
      </c>
      <c r="K158" s="62">
        <v>3019.79</v>
      </c>
      <c r="L158" s="62">
        <v>533.29999999999995</v>
      </c>
      <c r="M158" s="103">
        <v>117</v>
      </c>
      <c r="N158" s="28">
        <f t="shared" si="39"/>
        <v>6006663.6199999992</v>
      </c>
      <c r="O158" s="62"/>
      <c r="P158" s="30">
        <v>645040.81000000006</v>
      </c>
      <c r="Q158" s="31"/>
      <c r="R158" s="31"/>
      <c r="S158" s="30"/>
      <c r="T158" s="31"/>
      <c r="U158" s="31"/>
      <c r="V158" s="30"/>
      <c r="W158" s="31"/>
      <c r="X158" s="31"/>
      <c r="Y158" s="30">
        <v>5361622.8099999996</v>
      </c>
      <c r="Z158" s="31"/>
      <c r="AA158" s="31"/>
      <c r="AB158" s="62"/>
      <c r="AC158" s="106"/>
      <c r="AD158" s="106"/>
      <c r="AE158" s="30">
        <v>1768.65470656191</v>
      </c>
      <c r="AF158" s="30">
        <v>1768.65470656191</v>
      </c>
      <c r="AG158" s="33">
        <v>2022</v>
      </c>
      <c r="AH158" s="1">
        <v>1203751.1100000001</v>
      </c>
      <c r="AI158" s="5">
        <f>+(K158*10+L158*20)*12*0.85</f>
        <v>416811.78</v>
      </c>
      <c r="AJ158" s="5">
        <f>+(K158*10+L158*20)*12*30</f>
        <v>14711004.000000002</v>
      </c>
      <c r="AL158" s="37">
        <f t="shared" si="40"/>
        <v>0</v>
      </c>
      <c r="AM158" s="62">
        <v>3826027.56</v>
      </c>
      <c r="AN158" s="62">
        <v>0</v>
      </c>
      <c r="AO158" s="162">
        <v>0</v>
      </c>
      <c r="AP158" s="62">
        <v>2180636.06</v>
      </c>
      <c r="AQ158" s="62">
        <v>0</v>
      </c>
      <c r="AR158" s="62"/>
      <c r="AS158" s="62"/>
      <c r="AT158" s="62">
        <v>0</v>
      </c>
      <c r="AU158" s="62">
        <v>0</v>
      </c>
      <c r="AV158" s="62">
        <v>0</v>
      </c>
      <c r="AW158" s="62">
        <v>0</v>
      </c>
      <c r="AX158" s="62">
        <v>0</v>
      </c>
      <c r="AY158" s="62"/>
      <c r="AZ158" s="30"/>
      <c r="BA158" s="40"/>
      <c r="BB158" s="5">
        <f t="shared" si="43"/>
        <v>6006663.6199999992</v>
      </c>
    </row>
    <row r="159" spans="1:54" hidden="1">
      <c r="A159" s="104">
        <f t="shared" si="41"/>
        <v>142</v>
      </c>
      <c r="B159" s="101">
        <f t="shared" si="42"/>
        <v>142</v>
      </c>
      <c r="C159" s="101" t="s">
        <v>116</v>
      </c>
      <c r="D159" s="101" t="s">
        <v>371</v>
      </c>
      <c r="E159" s="102">
        <v>1986</v>
      </c>
      <c r="F159" s="102">
        <v>2015</v>
      </c>
      <c r="G159" s="102" t="s">
        <v>3</v>
      </c>
      <c r="H159" s="102">
        <v>9</v>
      </c>
      <c r="I159" s="102">
        <v>1</v>
      </c>
      <c r="J159" s="62">
        <v>2267.6999999999998</v>
      </c>
      <c r="K159" s="62">
        <v>1885.78</v>
      </c>
      <c r="L159" s="62">
        <v>353.8</v>
      </c>
      <c r="M159" s="103">
        <v>71</v>
      </c>
      <c r="N159" s="28">
        <f t="shared" si="39"/>
        <v>791011.41999999993</v>
      </c>
      <c r="O159" s="62"/>
      <c r="P159" s="30"/>
      <c r="Q159" s="31"/>
      <c r="R159" s="31"/>
      <c r="S159" s="30"/>
      <c r="T159" s="31"/>
      <c r="U159" s="31"/>
      <c r="V159" s="30">
        <v>80395.895912399996</v>
      </c>
      <c r="W159" s="31"/>
      <c r="X159" s="31"/>
      <c r="Y159" s="30">
        <v>710615.52408759994</v>
      </c>
      <c r="Z159" s="31"/>
      <c r="AA159" s="31"/>
      <c r="AB159" s="62"/>
      <c r="AC159" s="106"/>
      <c r="AD159" s="106"/>
      <c r="AE159" s="30">
        <v>385.47266269228999</v>
      </c>
      <c r="AF159" s="30">
        <v>385.47266269228999</v>
      </c>
      <c r="AG159" s="33">
        <v>2022</v>
      </c>
      <c r="AH159" s="1">
        <v>1383560.53</v>
      </c>
      <c r="AI159" s="5">
        <f>+(K159*13.29+L159*22.52)*12*0.85</f>
        <v>336901.84044</v>
      </c>
      <c r="AJ159" s="5">
        <f>+(K159*13.29+L159*22.52)*12*30-1239264.3</f>
        <v>10651388.891999999</v>
      </c>
      <c r="AL159" s="37">
        <f t="shared" si="40"/>
        <v>0</v>
      </c>
      <c r="AM159" s="62">
        <v>0</v>
      </c>
      <c r="AN159" s="62">
        <v>0</v>
      </c>
      <c r="AO159" s="162">
        <v>782900.97</v>
      </c>
      <c r="AP159" s="62"/>
      <c r="AQ159" s="62">
        <v>0</v>
      </c>
      <c r="AR159" s="62"/>
      <c r="AS159" s="62"/>
      <c r="AT159" s="62">
        <v>0</v>
      </c>
      <c r="AU159" s="62">
        <v>0</v>
      </c>
      <c r="AV159" s="62">
        <v>0</v>
      </c>
      <c r="AW159" s="62">
        <v>0</v>
      </c>
      <c r="AX159" s="62">
        <v>0</v>
      </c>
      <c r="AY159" s="62"/>
      <c r="AZ159" s="30"/>
      <c r="BA159" s="109">
        <v>8110.45</v>
      </c>
      <c r="BB159" s="5">
        <f t="shared" si="43"/>
        <v>791011.41999999993</v>
      </c>
    </row>
    <row r="160" spans="1:54" hidden="1">
      <c r="A160" s="104">
        <f t="shared" si="41"/>
        <v>143</v>
      </c>
      <c r="B160" s="101">
        <f t="shared" si="42"/>
        <v>143</v>
      </c>
      <c r="C160" s="101" t="s">
        <v>116</v>
      </c>
      <c r="D160" s="101" t="s">
        <v>374</v>
      </c>
      <c r="E160" s="102">
        <v>1985</v>
      </c>
      <c r="F160" s="102">
        <v>2015</v>
      </c>
      <c r="G160" s="102" t="s">
        <v>3</v>
      </c>
      <c r="H160" s="102">
        <v>9</v>
      </c>
      <c r="I160" s="102">
        <v>1</v>
      </c>
      <c r="J160" s="62">
        <v>2293.5</v>
      </c>
      <c r="K160" s="62">
        <v>1892.9</v>
      </c>
      <c r="L160" s="62">
        <v>103.9</v>
      </c>
      <c r="M160" s="103">
        <v>75</v>
      </c>
      <c r="N160" s="28">
        <f t="shared" si="39"/>
        <v>11170211.870000001</v>
      </c>
      <c r="O160" s="62"/>
      <c r="P160" s="30">
        <v>4582722.4000000004</v>
      </c>
      <c r="Q160" s="31"/>
      <c r="R160" s="31"/>
      <c r="S160" s="30"/>
      <c r="T160" s="31"/>
      <c r="U160" s="31"/>
      <c r="V160" s="30"/>
      <c r="W160" s="31"/>
      <c r="X160" s="31"/>
      <c r="Y160" s="30">
        <v>6587489.4699999997</v>
      </c>
      <c r="Z160" s="31"/>
      <c r="AA160" s="31"/>
      <c r="AB160" s="62"/>
      <c r="AC160" s="106"/>
      <c r="AD160" s="106"/>
      <c r="AE160" s="30">
        <v>5669.5970015181301</v>
      </c>
      <c r="AF160" s="30">
        <v>5669.5970015181301</v>
      </c>
      <c r="AG160" s="33">
        <v>2022</v>
      </c>
      <c r="AH160" s="1">
        <v>1237727.3</v>
      </c>
      <c r="AI160" s="5">
        <f>+(K160*13.29+L160*22.52)*12*0.85</f>
        <v>280463.98379999999</v>
      </c>
      <c r="AJ160" s="5">
        <f>+(K160*13.29+L160*22.52)*12*30</f>
        <v>9898728.8399999999</v>
      </c>
      <c r="AL160" s="37">
        <f t="shared" si="40"/>
        <v>0</v>
      </c>
      <c r="AM160" s="62">
        <v>3735913.84</v>
      </c>
      <c r="AN160" s="62">
        <v>627030.85</v>
      </c>
      <c r="AO160" s="162">
        <v>1443652.49</v>
      </c>
      <c r="AP160" s="62">
        <v>1126366.8799999999</v>
      </c>
      <c r="AQ160" s="62">
        <v>0</v>
      </c>
      <c r="AR160" s="62"/>
      <c r="AS160" s="62"/>
      <c r="AT160" s="62">
        <v>0</v>
      </c>
      <c r="AU160" s="62">
        <v>0</v>
      </c>
      <c r="AV160" s="62">
        <v>0</v>
      </c>
      <c r="AW160" s="62">
        <v>0</v>
      </c>
      <c r="AX160" s="62">
        <v>4237247.8099999996</v>
      </c>
      <c r="AY160" s="62"/>
      <c r="AZ160" s="30"/>
      <c r="BA160" s="40"/>
      <c r="BB160" s="5">
        <f t="shared" si="43"/>
        <v>11170211.870000001</v>
      </c>
    </row>
    <row r="161" spans="1:54" hidden="1">
      <c r="A161" s="104">
        <f t="shared" si="41"/>
        <v>144</v>
      </c>
      <c r="B161" s="101">
        <f t="shared" si="42"/>
        <v>144</v>
      </c>
      <c r="C161" s="101" t="s">
        <v>116</v>
      </c>
      <c r="D161" s="101" t="s">
        <v>375</v>
      </c>
      <c r="E161" s="102">
        <v>1975</v>
      </c>
      <c r="F161" s="102">
        <v>2013</v>
      </c>
      <c r="G161" s="102" t="s">
        <v>3</v>
      </c>
      <c r="H161" s="102">
        <v>4</v>
      </c>
      <c r="I161" s="102">
        <v>3</v>
      </c>
      <c r="J161" s="62">
        <v>2231.4</v>
      </c>
      <c r="K161" s="62">
        <v>2050.6999999999998</v>
      </c>
      <c r="L161" s="62">
        <v>57.4</v>
      </c>
      <c r="M161" s="103">
        <v>91</v>
      </c>
      <c r="N161" s="28">
        <f t="shared" si="39"/>
        <v>681605.38</v>
      </c>
      <c r="O161" s="62"/>
      <c r="P161" s="30"/>
      <c r="Q161" s="31"/>
      <c r="R161" s="31"/>
      <c r="S161" s="30"/>
      <c r="T161" s="31"/>
      <c r="U161" s="31"/>
      <c r="V161" s="30"/>
      <c r="W161" s="31"/>
      <c r="X161" s="31"/>
      <c r="Y161" s="30">
        <v>681605.38</v>
      </c>
      <c r="Z161" s="31"/>
      <c r="AA161" s="31"/>
      <c r="AB161" s="62"/>
      <c r="AC161" s="106"/>
      <c r="AD161" s="106"/>
      <c r="AE161" s="30">
        <v>323.32687253925297</v>
      </c>
      <c r="AF161" s="30">
        <v>323.32687253925297</v>
      </c>
      <c r="AG161" s="33">
        <v>2022</v>
      </c>
      <c r="AH161" s="1">
        <v>972243.21</v>
      </c>
      <c r="AI161" s="5">
        <f>+(K161*10+L161*20)*12*0.85</f>
        <v>220881</v>
      </c>
      <c r="AJ161" s="5">
        <f>+(K161*10+L161*20)*12*30</f>
        <v>7795800</v>
      </c>
      <c r="AL161" s="37">
        <f t="shared" si="40"/>
        <v>0</v>
      </c>
      <c r="AM161" s="62">
        <v>0</v>
      </c>
      <c r="AN161" s="62"/>
      <c r="AO161" s="162">
        <v>681605.38</v>
      </c>
      <c r="AP161" s="62">
        <v>0</v>
      </c>
      <c r="AQ161" s="62">
        <v>0</v>
      </c>
      <c r="AR161" s="62"/>
      <c r="AS161" s="62"/>
      <c r="AT161" s="62">
        <v>0</v>
      </c>
      <c r="AU161" s="62"/>
      <c r="AV161" s="62">
        <v>0</v>
      </c>
      <c r="AW161" s="62"/>
      <c r="AX161" s="62"/>
      <c r="AY161" s="62"/>
      <c r="AZ161" s="30"/>
      <c r="BA161" s="109"/>
      <c r="BB161" s="5">
        <f t="shared" si="43"/>
        <v>681605.38</v>
      </c>
    </row>
    <row r="162" spans="1:54" hidden="1">
      <c r="A162" s="104">
        <f t="shared" si="41"/>
        <v>145</v>
      </c>
      <c r="B162" s="101">
        <f t="shared" si="42"/>
        <v>145</v>
      </c>
      <c r="C162" s="101" t="s">
        <v>116</v>
      </c>
      <c r="D162" s="101" t="s">
        <v>377</v>
      </c>
      <c r="E162" s="102">
        <v>1974</v>
      </c>
      <c r="F162" s="102">
        <v>2014</v>
      </c>
      <c r="G162" s="102" t="s">
        <v>3</v>
      </c>
      <c r="H162" s="102">
        <v>4</v>
      </c>
      <c r="I162" s="102">
        <v>6</v>
      </c>
      <c r="J162" s="62">
        <v>4464.7</v>
      </c>
      <c r="K162" s="62">
        <v>4072.9</v>
      </c>
      <c r="L162" s="62">
        <v>35.1</v>
      </c>
      <c r="M162" s="103">
        <v>161</v>
      </c>
      <c r="N162" s="28">
        <f t="shared" si="39"/>
        <v>2689617.46</v>
      </c>
      <c r="O162" s="62"/>
      <c r="P162" s="30">
        <v>1182697.55</v>
      </c>
      <c r="Q162" s="31"/>
      <c r="R162" s="31"/>
      <c r="S162" s="30"/>
      <c r="T162" s="31"/>
      <c r="U162" s="31"/>
      <c r="V162" s="30">
        <v>1506919.91</v>
      </c>
      <c r="W162" s="31"/>
      <c r="X162" s="31"/>
      <c r="Y162" s="30">
        <v>0</v>
      </c>
      <c r="Z162" s="31"/>
      <c r="AA162" s="31"/>
      <c r="AB162" s="62"/>
      <c r="AC162" s="106"/>
      <c r="AD162" s="106"/>
      <c r="AE162" s="30">
        <v>654.72674294060403</v>
      </c>
      <c r="AF162" s="30">
        <v>654.72674294060403</v>
      </c>
      <c r="AG162" s="33">
        <v>2022</v>
      </c>
      <c r="AH162" s="1">
        <v>1783982.53</v>
      </c>
      <c r="AI162" s="5">
        <f>+(K162*10+L162*20)*12*0.85</f>
        <v>422596.2</v>
      </c>
      <c r="AJ162" s="5">
        <f>+(K162*10+L162*20)*12*30</f>
        <v>14915160</v>
      </c>
      <c r="AL162" s="37">
        <f t="shared" si="40"/>
        <v>0</v>
      </c>
      <c r="AM162" s="62">
        <v>0</v>
      </c>
      <c r="AN162" s="62">
        <v>0</v>
      </c>
      <c r="AO162" s="162">
        <v>2689617.46</v>
      </c>
      <c r="AP162" s="62">
        <v>0</v>
      </c>
      <c r="AQ162" s="62">
        <v>0</v>
      </c>
      <c r="AR162" s="62"/>
      <c r="AS162" s="62"/>
      <c r="AT162" s="62">
        <v>0</v>
      </c>
      <c r="AU162" s="62">
        <v>0</v>
      </c>
      <c r="AV162" s="62">
        <v>0</v>
      </c>
      <c r="AW162" s="62">
        <v>0</v>
      </c>
      <c r="AX162" s="62">
        <v>0</v>
      </c>
      <c r="AY162" s="62"/>
      <c r="AZ162" s="30"/>
      <c r="BA162" s="156"/>
      <c r="BB162" s="5">
        <f t="shared" si="43"/>
        <v>2689617.46</v>
      </c>
    </row>
    <row r="163" spans="1:54" hidden="1">
      <c r="A163" s="104">
        <f t="shared" si="41"/>
        <v>146</v>
      </c>
      <c r="B163" s="101">
        <f t="shared" si="42"/>
        <v>146</v>
      </c>
      <c r="C163" s="101" t="s">
        <v>116</v>
      </c>
      <c r="D163" s="101" t="s">
        <v>379</v>
      </c>
      <c r="E163" s="102">
        <v>1989</v>
      </c>
      <c r="F163" s="102">
        <v>2015</v>
      </c>
      <c r="G163" s="102" t="s">
        <v>3</v>
      </c>
      <c r="H163" s="102">
        <v>9</v>
      </c>
      <c r="I163" s="102">
        <v>4</v>
      </c>
      <c r="J163" s="62">
        <v>9199.2999999999993</v>
      </c>
      <c r="K163" s="62">
        <v>8072</v>
      </c>
      <c r="L163" s="62">
        <v>65.599999999999994</v>
      </c>
      <c r="M163" s="103">
        <v>366</v>
      </c>
      <c r="N163" s="28">
        <f t="shared" si="39"/>
        <v>25727773.27</v>
      </c>
      <c r="O163" s="62"/>
      <c r="P163" s="30"/>
      <c r="Q163" s="31"/>
      <c r="R163" s="31"/>
      <c r="S163" s="30"/>
      <c r="T163" s="31"/>
      <c r="U163" s="31"/>
      <c r="V163" s="30">
        <v>1050151.8600000001</v>
      </c>
      <c r="W163" s="31"/>
      <c r="X163" s="31"/>
      <c r="Y163" s="30">
        <v>24677621.41</v>
      </c>
      <c r="Z163" s="31"/>
      <c r="AA163" s="31"/>
      <c r="AB163" s="30"/>
      <c r="AC163" s="32"/>
      <c r="AD163" s="32"/>
      <c r="AE163" s="62">
        <v>3161.5922716771502</v>
      </c>
      <c r="AF163" s="62">
        <v>3161.5922716771502</v>
      </c>
      <c r="AG163" s="33">
        <v>2022</v>
      </c>
      <c r="AH163" s="1">
        <v>4641267.93</v>
      </c>
      <c r="AI163" s="5">
        <f>+(K163*13.29+L163*22.52)*12*0.85</f>
        <v>1109292.7583999999</v>
      </c>
      <c r="AJ163" s="5">
        <v>24677621.41</v>
      </c>
      <c r="AL163" s="37">
        <f t="shared" si="40"/>
        <v>0</v>
      </c>
      <c r="AM163" s="62"/>
      <c r="AN163" s="62">
        <v>3182426.63</v>
      </c>
      <c r="AO163" s="162"/>
      <c r="AP163" s="62"/>
      <c r="AQ163" s="62">
        <v>0</v>
      </c>
      <c r="AR163" s="62"/>
      <c r="AS163" s="62"/>
      <c r="AT163" s="62">
        <v>0</v>
      </c>
      <c r="AU163" s="62">
        <v>0</v>
      </c>
      <c r="AV163" s="62">
        <v>0</v>
      </c>
      <c r="AW163" s="62">
        <v>0</v>
      </c>
      <c r="AX163" s="62">
        <v>22545346.640000001</v>
      </c>
      <c r="AY163" s="62"/>
      <c r="AZ163" s="30"/>
      <c r="BA163" s="156"/>
      <c r="BB163" s="5">
        <f t="shared" si="43"/>
        <v>25727773.27</v>
      </c>
    </row>
    <row r="164" spans="1:54" hidden="1">
      <c r="A164" s="104">
        <f t="shared" si="41"/>
        <v>147</v>
      </c>
      <c r="B164" s="101">
        <f t="shared" si="42"/>
        <v>147</v>
      </c>
      <c r="C164" s="101" t="s">
        <v>116</v>
      </c>
      <c r="D164" s="101" t="s">
        <v>382</v>
      </c>
      <c r="E164" s="102">
        <v>1992</v>
      </c>
      <c r="F164" s="102">
        <v>2015</v>
      </c>
      <c r="G164" s="102" t="s">
        <v>3</v>
      </c>
      <c r="H164" s="102">
        <v>9</v>
      </c>
      <c r="I164" s="102">
        <v>3</v>
      </c>
      <c r="J164" s="62">
        <v>6872</v>
      </c>
      <c r="K164" s="62">
        <v>6094.4</v>
      </c>
      <c r="L164" s="62">
        <v>0</v>
      </c>
      <c r="M164" s="103">
        <v>259</v>
      </c>
      <c r="N164" s="28">
        <f t="shared" si="39"/>
        <v>9722924.2899999991</v>
      </c>
      <c r="O164" s="62"/>
      <c r="P164" s="30">
        <v>5994717.7699999996</v>
      </c>
      <c r="Q164" s="31"/>
      <c r="R164" s="31"/>
      <c r="S164" s="30"/>
      <c r="T164" s="31"/>
      <c r="U164" s="31"/>
      <c r="V164" s="30"/>
      <c r="W164" s="31"/>
      <c r="X164" s="31"/>
      <c r="Y164" s="30">
        <v>3728206.52</v>
      </c>
      <c r="Z164" s="31"/>
      <c r="AA164" s="31"/>
      <c r="AB164" s="62"/>
      <c r="AC164" s="106"/>
      <c r="AD164" s="106"/>
      <c r="AE164" s="30">
        <v>1634.76770564658</v>
      </c>
      <c r="AF164" s="30">
        <v>1634.76770564658</v>
      </c>
      <c r="AG164" s="33">
        <v>2022</v>
      </c>
      <c r="AH164" s="1">
        <f>3336709.09-263343.45</f>
        <v>3073365.6399999997</v>
      </c>
      <c r="AI164" s="5">
        <f>+(K164*13.29+L164*22.52)*12*0.85</f>
        <v>826144.67519999982</v>
      </c>
      <c r="AJ164" s="5">
        <f>+(K164*13.29+L164*22.52)*12*30-1442656.44</f>
        <v>27715390.919999991</v>
      </c>
      <c r="AL164" s="37">
        <f t="shared" si="40"/>
        <v>0</v>
      </c>
      <c r="AM164" s="62"/>
      <c r="AN164" s="62">
        <v>7323917.46</v>
      </c>
      <c r="AO164" s="162"/>
      <c r="AP164" s="62">
        <v>2315022.9</v>
      </c>
      <c r="AQ164" s="62">
        <v>0</v>
      </c>
      <c r="AR164" s="62"/>
      <c r="AS164" s="62"/>
      <c r="AT164" s="62">
        <v>0</v>
      </c>
      <c r="AU164" s="62">
        <v>0</v>
      </c>
      <c r="AV164" s="62">
        <v>0</v>
      </c>
      <c r="AW164" s="62">
        <v>0</v>
      </c>
      <c r="AX164" s="62"/>
      <c r="AY164" s="62"/>
      <c r="AZ164" s="30"/>
      <c r="BA164" s="109">
        <f>53840.63+30143.3</f>
        <v>83983.93</v>
      </c>
      <c r="BB164" s="5">
        <f t="shared" si="43"/>
        <v>9722924.2899999991</v>
      </c>
    </row>
    <row r="165" spans="1:54" hidden="1">
      <c r="A165" s="104">
        <f t="shared" si="41"/>
        <v>148</v>
      </c>
      <c r="B165" s="101">
        <f t="shared" si="42"/>
        <v>148</v>
      </c>
      <c r="C165" s="101" t="s">
        <v>116</v>
      </c>
      <c r="D165" s="101" t="s">
        <v>383</v>
      </c>
      <c r="E165" s="102">
        <v>1984</v>
      </c>
      <c r="F165" s="102">
        <v>2013</v>
      </c>
      <c r="G165" s="102" t="s">
        <v>3</v>
      </c>
      <c r="H165" s="102">
        <v>9</v>
      </c>
      <c r="I165" s="102">
        <v>2</v>
      </c>
      <c r="J165" s="62">
        <v>8198.7000000000007</v>
      </c>
      <c r="K165" s="62">
        <v>7324.41</v>
      </c>
      <c r="L165" s="62">
        <v>0</v>
      </c>
      <c r="M165" s="103">
        <v>272</v>
      </c>
      <c r="N165" s="28">
        <f t="shared" si="39"/>
        <v>50864072.460000008</v>
      </c>
      <c r="O165" s="62"/>
      <c r="P165" s="30">
        <v>10676631.48</v>
      </c>
      <c r="Q165" s="31"/>
      <c r="R165" s="31"/>
      <c r="S165" s="30"/>
      <c r="T165" s="31"/>
      <c r="U165" s="31"/>
      <c r="V165" s="30">
        <v>1088675.32</v>
      </c>
      <c r="W165" s="31"/>
      <c r="X165" s="31"/>
      <c r="Y165" s="30">
        <v>30794766.454</v>
      </c>
      <c r="Z165" s="31"/>
      <c r="AA165" s="31"/>
      <c r="AB165" s="62">
        <v>8303999.2060000096</v>
      </c>
      <c r="AC165" s="106"/>
      <c r="AD165" s="106"/>
      <c r="AE165" s="30">
        <v>7343.9608623766298</v>
      </c>
      <c r="AF165" s="30">
        <v>7343.9608623766298</v>
      </c>
      <c r="AG165" s="33">
        <v>2022</v>
      </c>
      <c r="AH165" s="1">
        <f>4296548.24-1633012.98</f>
        <v>2663535.2600000002</v>
      </c>
      <c r="AI165" s="5">
        <f>+(K165*13.29+L165*22.52)*12*0.85</f>
        <v>992882.37078</v>
      </c>
      <c r="AJ165" s="5">
        <f>+(K165*13.29+L165*22.52)*12*30-4248140.75</f>
        <v>30794766.453999996</v>
      </c>
      <c r="AL165" s="37">
        <f t="shared" si="40"/>
        <v>0</v>
      </c>
      <c r="AM165" s="62">
        <v>5141989.9000000004</v>
      </c>
      <c r="AN165" s="62"/>
      <c r="AO165" s="162">
        <v>2714177.72</v>
      </c>
      <c r="AP165" s="62"/>
      <c r="AQ165" s="62">
        <v>0</v>
      </c>
      <c r="AR165" s="62"/>
      <c r="AS165" s="62"/>
      <c r="AT165" s="62">
        <v>0</v>
      </c>
      <c r="AU165" s="62">
        <v>0</v>
      </c>
      <c r="AV165" s="62">
        <v>0</v>
      </c>
      <c r="AW165" s="62">
        <f>37030869.74+5977035.1</f>
        <v>43007904.840000004</v>
      </c>
      <c r="AX165" s="62"/>
      <c r="AY165" s="62"/>
      <c r="AZ165" s="30"/>
      <c r="BA165" s="40"/>
      <c r="BB165" s="5">
        <f t="shared" si="43"/>
        <v>50864072.460000008</v>
      </c>
    </row>
    <row r="166" spans="1:54" hidden="1">
      <c r="A166" s="104">
        <f t="shared" si="41"/>
        <v>149</v>
      </c>
      <c r="B166" s="101">
        <f t="shared" si="42"/>
        <v>149</v>
      </c>
      <c r="C166" s="101" t="s">
        <v>116</v>
      </c>
      <c r="D166" s="101" t="s">
        <v>385</v>
      </c>
      <c r="E166" s="102">
        <v>1981</v>
      </c>
      <c r="F166" s="102">
        <v>2012</v>
      </c>
      <c r="G166" s="102" t="s">
        <v>3</v>
      </c>
      <c r="H166" s="102">
        <v>5</v>
      </c>
      <c r="I166" s="102">
        <v>7</v>
      </c>
      <c r="J166" s="62">
        <v>6927.5</v>
      </c>
      <c r="K166" s="62">
        <v>5314.16</v>
      </c>
      <c r="L166" s="62">
        <v>83.1</v>
      </c>
      <c r="M166" s="103">
        <v>173</v>
      </c>
      <c r="N166" s="28">
        <f t="shared" si="39"/>
        <v>15646094.83</v>
      </c>
      <c r="O166" s="62"/>
      <c r="P166" s="30">
        <v>0</v>
      </c>
      <c r="Q166" s="31"/>
      <c r="R166" s="31"/>
      <c r="S166" s="30"/>
      <c r="T166" s="31"/>
      <c r="U166" s="31"/>
      <c r="V166" s="30">
        <v>1307532.44</v>
      </c>
      <c r="W166" s="31"/>
      <c r="X166" s="31"/>
      <c r="Y166" s="30">
        <v>14338562.390000001</v>
      </c>
      <c r="Z166" s="31"/>
      <c r="AA166" s="31"/>
      <c r="AB166" s="62"/>
      <c r="AC166" s="106"/>
      <c r="AD166" s="106"/>
      <c r="AE166" s="30">
        <v>3181.1309969429199</v>
      </c>
      <c r="AF166" s="30">
        <v>3181.1309969429199</v>
      </c>
      <c r="AG166" s="33">
        <v>2022</v>
      </c>
      <c r="AH166" s="1">
        <v>2353388.21</v>
      </c>
      <c r="AI166" s="5">
        <f>+(K166*10+L166*20)*12*0.85</f>
        <v>558996.72</v>
      </c>
      <c r="AJ166" s="5">
        <f>+(K166*10+L166*20)*12*30</f>
        <v>19729296</v>
      </c>
      <c r="AL166" s="37">
        <f t="shared" si="40"/>
        <v>0</v>
      </c>
      <c r="AM166" s="62">
        <v>3172690.78</v>
      </c>
      <c r="AN166" s="62">
        <v>0</v>
      </c>
      <c r="AO166" s="162">
        <v>0</v>
      </c>
      <c r="AP166" s="62"/>
      <c r="AQ166" s="62">
        <v>0</v>
      </c>
      <c r="AR166" s="62"/>
      <c r="AS166" s="62"/>
      <c r="AT166" s="62">
        <v>0</v>
      </c>
      <c r="AU166" s="62">
        <v>5090700.49</v>
      </c>
      <c r="AV166" s="62">
        <v>0</v>
      </c>
      <c r="AW166" s="62">
        <v>7382703.5599999996</v>
      </c>
      <c r="AX166" s="62"/>
      <c r="AY166" s="62"/>
      <c r="AZ166" s="30"/>
      <c r="BA166" s="40"/>
      <c r="BB166" s="5">
        <f t="shared" si="43"/>
        <v>15646094.83</v>
      </c>
    </row>
    <row r="167" spans="1:54" hidden="1">
      <c r="A167" s="104">
        <f t="shared" si="41"/>
        <v>150</v>
      </c>
      <c r="B167" s="101">
        <f t="shared" si="42"/>
        <v>150</v>
      </c>
      <c r="C167" s="101" t="s">
        <v>116</v>
      </c>
      <c r="D167" s="101" t="s">
        <v>133</v>
      </c>
      <c r="E167" s="102">
        <v>1993</v>
      </c>
      <c r="F167" s="102">
        <v>2014</v>
      </c>
      <c r="G167" s="102" t="s">
        <v>3</v>
      </c>
      <c r="H167" s="102">
        <v>9</v>
      </c>
      <c r="I167" s="102">
        <v>1</v>
      </c>
      <c r="J167" s="62">
        <v>2553.4</v>
      </c>
      <c r="K167" s="62">
        <v>2128.8000000000002</v>
      </c>
      <c r="L167" s="62">
        <v>0</v>
      </c>
      <c r="M167" s="103">
        <v>78</v>
      </c>
      <c r="N167" s="28">
        <f t="shared" si="39"/>
        <v>580989.24</v>
      </c>
      <c r="O167" s="62"/>
      <c r="P167" s="30"/>
      <c r="Q167" s="31"/>
      <c r="R167" s="31"/>
      <c r="S167" s="30"/>
      <c r="T167" s="31"/>
      <c r="U167" s="31"/>
      <c r="V167" s="30">
        <v>580989.24</v>
      </c>
      <c r="W167" s="31"/>
      <c r="X167" s="31"/>
      <c r="Y167" s="30"/>
      <c r="Z167" s="31"/>
      <c r="AA167" s="31"/>
      <c r="AB167" s="62"/>
      <c r="AC167" s="106"/>
      <c r="AD167" s="106"/>
      <c r="AE167" s="30">
        <v>543.05756021200705</v>
      </c>
      <c r="AF167" s="30">
        <v>543.05756021200705</v>
      </c>
      <c r="AG167" s="33">
        <v>2022</v>
      </c>
      <c r="AH167" s="1">
        <f>1103126.79-79353.74-714183.7328</f>
        <v>309589.31720000005</v>
      </c>
      <c r="AI167" s="5">
        <f>+(K167*13.29+L167*22.52)*12*0.85</f>
        <v>288575.87039999996</v>
      </c>
      <c r="AJ167" s="5">
        <f>+(K167*13.29+L167*22.52)*12*30-300950.5-2600695.91</f>
        <v>7283384.3099999987</v>
      </c>
      <c r="AL167" s="37">
        <f t="shared" si="40"/>
        <v>0</v>
      </c>
      <c r="AM167" s="62"/>
      <c r="AN167" s="62"/>
      <c r="AO167" s="162"/>
      <c r="AP167" s="62"/>
      <c r="AQ167" s="62"/>
      <c r="AR167" s="62"/>
      <c r="AS167" s="62"/>
      <c r="AT167" s="62">
        <v>0</v>
      </c>
      <c r="AU167" s="62">
        <v>0</v>
      </c>
      <c r="AV167" s="62">
        <v>0</v>
      </c>
      <c r="AW167" s="62"/>
      <c r="AX167" s="62">
        <v>580989.24</v>
      </c>
      <c r="AY167" s="62"/>
      <c r="AZ167" s="30"/>
      <c r="BA167" s="40"/>
      <c r="BB167" s="5">
        <f t="shared" si="43"/>
        <v>580989.24</v>
      </c>
    </row>
    <row r="168" spans="1:54" hidden="1">
      <c r="A168" s="104">
        <f t="shared" si="41"/>
        <v>151</v>
      </c>
      <c r="B168" s="101">
        <f t="shared" si="42"/>
        <v>151</v>
      </c>
      <c r="C168" s="101" t="s">
        <v>116</v>
      </c>
      <c r="D168" s="101" t="s">
        <v>131</v>
      </c>
      <c r="E168" s="102">
        <v>1972</v>
      </c>
      <c r="F168" s="102">
        <v>2013</v>
      </c>
      <c r="G168" s="102" t="s">
        <v>3</v>
      </c>
      <c r="H168" s="102">
        <v>4</v>
      </c>
      <c r="I168" s="102">
        <v>6</v>
      </c>
      <c r="J168" s="62">
        <v>4437.8999999999996</v>
      </c>
      <c r="K168" s="62">
        <v>4088.2</v>
      </c>
      <c r="L168" s="62">
        <v>0</v>
      </c>
      <c r="M168" s="103">
        <v>207</v>
      </c>
      <c r="N168" s="28">
        <f t="shared" si="39"/>
        <v>7632409.2829999998</v>
      </c>
      <c r="O168" s="62"/>
      <c r="P168" s="30">
        <v>2746655.59</v>
      </c>
      <c r="Q168" s="31"/>
      <c r="R168" s="31"/>
      <c r="S168" s="30"/>
      <c r="T168" s="31"/>
      <c r="U168" s="31"/>
      <c r="V168" s="30">
        <v>501539.16</v>
      </c>
      <c r="W168" s="31"/>
      <c r="X168" s="31"/>
      <c r="Y168" s="30">
        <v>4384214.5329999998</v>
      </c>
      <c r="Z168" s="31"/>
      <c r="AA168" s="31"/>
      <c r="AB168" s="62"/>
      <c r="AC168" s="106"/>
      <c r="AD168" s="106"/>
      <c r="AE168" s="30">
        <v>1973.0088569105701</v>
      </c>
      <c r="AF168" s="30">
        <v>1973.0088569105701</v>
      </c>
      <c r="AG168" s="33">
        <v>2022</v>
      </c>
      <c r="AH168" s="1">
        <v>1932968.35</v>
      </c>
      <c r="AI168" s="5">
        <f t="shared" ref="AI168:AI203" si="44">+(K168*10+L168*20)*12*0.85</f>
        <v>416996.39999999997</v>
      </c>
      <c r="AJ168" s="5">
        <f t="shared" ref="AJ168:AJ176" si="45">+(K168*10+L168*20)*12*30</f>
        <v>14717520</v>
      </c>
      <c r="AL168" s="37">
        <f t="shared" si="40"/>
        <v>0</v>
      </c>
      <c r="AM168" s="62"/>
      <c r="AN168" s="62"/>
      <c r="AO168" s="162">
        <v>3648621.62</v>
      </c>
      <c r="AP168" s="62">
        <v>3268542.62</v>
      </c>
      <c r="AQ168" s="62">
        <v>0</v>
      </c>
      <c r="AR168" s="62"/>
      <c r="AS168" s="62"/>
      <c r="AT168" s="62">
        <v>0</v>
      </c>
      <c r="AU168" s="62">
        <v>0</v>
      </c>
      <c r="AV168" s="62">
        <v>0</v>
      </c>
      <c r="AW168" s="62">
        <v>0</v>
      </c>
      <c r="AX168" s="62">
        <v>0</v>
      </c>
      <c r="AY168" s="62">
        <v>630230.47770000005</v>
      </c>
      <c r="AZ168" s="30">
        <v>85014.565300000002</v>
      </c>
      <c r="BA168" s="40"/>
      <c r="BB168" s="5">
        <f t="shared" si="43"/>
        <v>7632409.2829999998</v>
      </c>
    </row>
    <row r="169" spans="1:54" hidden="1">
      <c r="A169" s="104">
        <f t="shared" si="41"/>
        <v>152</v>
      </c>
      <c r="B169" s="101">
        <f t="shared" si="42"/>
        <v>152</v>
      </c>
      <c r="C169" s="101" t="s">
        <v>135</v>
      </c>
      <c r="D169" s="101" t="s">
        <v>389</v>
      </c>
      <c r="E169" s="102">
        <v>1985</v>
      </c>
      <c r="F169" s="102">
        <v>1985</v>
      </c>
      <c r="G169" s="102" t="s">
        <v>3</v>
      </c>
      <c r="H169" s="102">
        <v>5</v>
      </c>
      <c r="I169" s="102">
        <v>4</v>
      </c>
      <c r="J169" s="62">
        <v>4957.5</v>
      </c>
      <c r="K169" s="62">
        <v>4305.3999999999996</v>
      </c>
      <c r="L169" s="62">
        <v>651.20000000000005</v>
      </c>
      <c r="M169" s="103">
        <v>166</v>
      </c>
      <c r="N169" s="28">
        <f t="shared" si="39"/>
        <v>9398785.4499999993</v>
      </c>
      <c r="O169" s="62"/>
      <c r="P169" s="30"/>
      <c r="Q169" s="31"/>
      <c r="R169" s="31"/>
      <c r="S169" s="30"/>
      <c r="T169" s="31"/>
      <c r="U169" s="31"/>
      <c r="V169" s="30">
        <v>2359386</v>
      </c>
      <c r="W169" s="31"/>
      <c r="X169" s="31"/>
      <c r="Y169" s="30">
        <v>7039399.4500000002</v>
      </c>
      <c r="Z169" s="31"/>
      <c r="AA169" s="31"/>
      <c r="AB169" s="62"/>
      <c r="AC169" s="106"/>
      <c r="AD169" s="106"/>
      <c r="AE169" s="30">
        <v>2081.4290769721401</v>
      </c>
      <c r="AF169" s="30">
        <v>2081.4290769721401</v>
      </c>
      <c r="AG169" s="33">
        <v>2022</v>
      </c>
      <c r="AH169" s="1">
        <v>2028653.94</v>
      </c>
      <c r="AI169" s="5">
        <f t="shared" si="44"/>
        <v>571995.6</v>
      </c>
      <c r="AJ169" s="5">
        <f t="shared" si="45"/>
        <v>20188080</v>
      </c>
      <c r="AL169" s="37">
        <f t="shared" si="40"/>
        <v>0</v>
      </c>
      <c r="AM169" s="62"/>
      <c r="AN169" s="62"/>
      <c r="AO169" s="162">
        <v>0</v>
      </c>
      <c r="AP169" s="62">
        <v>0</v>
      </c>
      <c r="AQ169" s="62">
        <v>0</v>
      </c>
      <c r="AR169" s="62"/>
      <c r="AS169" s="62"/>
      <c r="AT169" s="62">
        <v>0</v>
      </c>
      <c r="AU169" s="62">
        <v>9398785.4499999993</v>
      </c>
      <c r="AV169" s="62">
        <v>0</v>
      </c>
      <c r="AW169" s="62">
        <v>0</v>
      </c>
      <c r="AX169" s="62">
        <v>0</v>
      </c>
      <c r="AY169" s="62"/>
      <c r="AZ169" s="30"/>
      <c r="BA169" s="40"/>
      <c r="BB169" s="5">
        <f t="shared" si="43"/>
        <v>9398785.4499999993</v>
      </c>
    </row>
    <row r="170" spans="1:54" hidden="1">
      <c r="A170" s="104">
        <f t="shared" si="41"/>
        <v>153</v>
      </c>
      <c r="B170" s="101">
        <f t="shared" si="42"/>
        <v>153</v>
      </c>
      <c r="C170" s="101" t="s">
        <v>135</v>
      </c>
      <c r="D170" s="101" t="s">
        <v>390</v>
      </c>
      <c r="E170" s="102">
        <v>1988</v>
      </c>
      <c r="F170" s="102">
        <v>1988</v>
      </c>
      <c r="G170" s="102" t="s">
        <v>3</v>
      </c>
      <c r="H170" s="102">
        <v>5</v>
      </c>
      <c r="I170" s="102">
        <v>4</v>
      </c>
      <c r="J170" s="62">
        <v>5038.3999999999996</v>
      </c>
      <c r="K170" s="62">
        <v>3442.8</v>
      </c>
      <c r="L170" s="62">
        <v>1586</v>
      </c>
      <c r="M170" s="103">
        <v>156</v>
      </c>
      <c r="N170" s="28">
        <f t="shared" si="39"/>
        <v>9546866.3969999999</v>
      </c>
      <c r="O170" s="62"/>
      <c r="P170" s="30"/>
      <c r="Q170" s="31"/>
      <c r="R170" s="31"/>
      <c r="S170" s="30"/>
      <c r="T170" s="31"/>
      <c r="U170" s="31"/>
      <c r="V170" s="30">
        <v>2876903.01</v>
      </c>
      <c r="W170" s="31"/>
      <c r="X170" s="31"/>
      <c r="Y170" s="30">
        <v>6669963.3870000001</v>
      </c>
      <c r="Z170" s="31"/>
      <c r="AA170" s="31"/>
      <c r="AB170" s="62"/>
      <c r="AC170" s="106"/>
      <c r="AD170" s="106"/>
      <c r="AE170" s="30">
        <v>1998.57862395387</v>
      </c>
      <c r="AF170" s="30">
        <v>1998.57862395387</v>
      </c>
      <c r="AG170" s="33">
        <v>2022</v>
      </c>
      <c r="AH170" s="1">
        <v>2748459.05</v>
      </c>
      <c r="AI170" s="5">
        <f t="shared" si="44"/>
        <v>674709.6</v>
      </c>
      <c r="AJ170" s="5">
        <f t="shared" si="45"/>
        <v>23813280</v>
      </c>
      <c r="AL170" s="37">
        <f t="shared" si="40"/>
        <v>0</v>
      </c>
      <c r="AM170" s="62"/>
      <c r="AN170" s="62"/>
      <c r="AO170" s="162"/>
      <c r="AP170" s="62">
        <v>0</v>
      </c>
      <c r="AQ170" s="62">
        <v>0</v>
      </c>
      <c r="AR170" s="62"/>
      <c r="AS170" s="62"/>
      <c r="AT170" s="62">
        <v>0</v>
      </c>
      <c r="AU170" s="62">
        <v>9546866.3969999999</v>
      </c>
      <c r="AV170" s="62">
        <v>0</v>
      </c>
      <c r="AW170" s="62">
        <v>0</v>
      </c>
      <c r="AX170" s="62">
        <v>0</v>
      </c>
      <c r="AY170" s="62"/>
      <c r="AZ170" s="30"/>
      <c r="BA170" s="40"/>
      <c r="BB170" s="5">
        <f t="shared" si="43"/>
        <v>9546866.3969999999</v>
      </c>
    </row>
    <row r="171" spans="1:54" hidden="1">
      <c r="A171" s="104">
        <f t="shared" si="41"/>
        <v>154</v>
      </c>
      <c r="B171" s="101">
        <f t="shared" si="42"/>
        <v>154</v>
      </c>
      <c r="C171" s="101" t="s">
        <v>135</v>
      </c>
      <c r="D171" s="101" t="s">
        <v>138</v>
      </c>
      <c r="E171" s="102">
        <v>1986</v>
      </c>
      <c r="F171" s="102">
        <v>1986</v>
      </c>
      <c r="G171" s="102" t="s">
        <v>3</v>
      </c>
      <c r="H171" s="102">
        <v>5</v>
      </c>
      <c r="I171" s="102">
        <v>4</v>
      </c>
      <c r="J171" s="62">
        <v>4691.8999999999996</v>
      </c>
      <c r="K171" s="62">
        <v>4321.1000000000004</v>
      </c>
      <c r="L171" s="62">
        <v>298</v>
      </c>
      <c r="M171" s="103">
        <v>195</v>
      </c>
      <c r="N171" s="28">
        <f t="shared" si="39"/>
        <v>16106664.949999999</v>
      </c>
      <c r="O171" s="62"/>
      <c r="P171" s="30">
        <v>5030178.26</v>
      </c>
      <c r="Q171" s="31"/>
      <c r="R171" s="31"/>
      <c r="S171" s="30"/>
      <c r="T171" s="31"/>
      <c r="U171" s="31"/>
      <c r="V171" s="30">
        <v>1064681.94</v>
      </c>
      <c r="W171" s="31"/>
      <c r="X171" s="31"/>
      <c r="Y171" s="30">
        <v>10011804.75</v>
      </c>
      <c r="Z171" s="31"/>
      <c r="AA171" s="31"/>
      <c r="AB171" s="30"/>
      <c r="AC171" s="32"/>
      <c r="AD171" s="32"/>
      <c r="AE171" s="62">
        <v>3686.6538256219901</v>
      </c>
      <c r="AF171" s="62">
        <v>3686.6538256219901</v>
      </c>
      <c r="AG171" s="33">
        <v>2022</v>
      </c>
      <c r="AH171" s="1">
        <v>1886055.9</v>
      </c>
      <c r="AI171" s="5">
        <f t="shared" si="44"/>
        <v>501544.2</v>
      </c>
      <c r="AJ171" s="5">
        <f t="shared" si="45"/>
        <v>17701560</v>
      </c>
      <c r="AL171" s="37">
        <f t="shared" si="40"/>
        <v>0</v>
      </c>
      <c r="AM171" s="62"/>
      <c r="AN171" s="62"/>
      <c r="AO171" s="162">
        <v>0</v>
      </c>
      <c r="AP171" s="62">
        <v>0</v>
      </c>
      <c r="AQ171" s="62">
        <v>0</v>
      </c>
      <c r="AR171" s="62"/>
      <c r="AS171" s="62"/>
      <c r="AT171" s="62">
        <v>0</v>
      </c>
      <c r="AU171" s="62">
        <v>16106664.949999999</v>
      </c>
      <c r="AV171" s="62">
        <v>0</v>
      </c>
      <c r="AW171" s="62">
        <v>0</v>
      </c>
      <c r="AX171" s="62">
        <v>0</v>
      </c>
      <c r="AY171" s="62"/>
      <c r="AZ171" s="30"/>
      <c r="BA171" s="40"/>
      <c r="BB171" s="5">
        <f t="shared" si="43"/>
        <v>16106664.949999999</v>
      </c>
    </row>
    <row r="172" spans="1:54" hidden="1">
      <c r="A172" s="104">
        <f t="shared" si="41"/>
        <v>155</v>
      </c>
      <c r="B172" s="101">
        <f t="shared" si="42"/>
        <v>155</v>
      </c>
      <c r="C172" s="101" t="s">
        <v>392</v>
      </c>
      <c r="D172" s="101" t="s">
        <v>393</v>
      </c>
      <c r="E172" s="102">
        <v>1994</v>
      </c>
      <c r="F172" s="102">
        <v>1994</v>
      </c>
      <c r="G172" s="102" t="s">
        <v>3</v>
      </c>
      <c r="H172" s="102">
        <v>2</v>
      </c>
      <c r="I172" s="102">
        <v>2</v>
      </c>
      <c r="J172" s="62">
        <v>1089.5</v>
      </c>
      <c r="K172" s="62">
        <v>978.3</v>
      </c>
      <c r="L172" s="62">
        <v>0</v>
      </c>
      <c r="M172" s="103">
        <v>43</v>
      </c>
      <c r="N172" s="28">
        <f t="shared" si="39"/>
        <v>638349.5900000002</v>
      </c>
      <c r="O172" s="62"/>
      <c r="P172" s="30">
        <v>327001.24</v>
      </c>
      <c r="Q172" s="31"/>
      <c r="R172" s="31"/>
      <c r="S172" s="30"/>
      <c r="T172" s="31"/>
      <c r="U172" s="31"/>
      <c r="V172" s="30">
        <v>252886.06</v>
      </c>
      <c r="W172" s="31"/>
      <c r="X172" s="31"/>
      <c r="Y172" s="30">
        <v>35183.907044000101</v>
      </c>
      <c r="Z172" s="31"/>
      <c r="AA172" s="31"/>
      <c r="AB172" s="62">
        <v>23278.382956000001</v>
      </c>
      <c r="AC172" s="106"/>
      <c r="AD172" s="106"/>
      <c r="AE172" s="30">
        <v>664.64726264336105</v>
      </c>
      <c r="AF172" s="30">
        <v>664.64726264336105</v>
      </c>
      <c r="AG172" s="33">
        <v>2022</v>
      </c>
      <c r="AH172" s="1">
        <v>431386</v>
      </c>
      <c r="AI172" s="5">
        <f t="shared" si="44"/>
        <v>99786.599999999991</v>
      </c>
      <c r="AJ172" s="5">
        <f t="shared" si="45"/>
        <v>3521880</v>
      </c>
      <c r="AL172" s="37">
        <f t="shared" si="40"/>
        <v>0</v>
      </c>
      <c r="AM172" s="62">
        <v>0</v>
      </c>
      <c r="AN172" s="62">
        <v>0</v>
      </c>
      <c r="AO172" s="162">
        <v>0</v>
      </c>
      <c r="AP172" s="62">
        <v>0</v>
      </c>
      <c r="AQ172" s="62">
        <v>579887.30000000005</v>
      </c>
      <c r="AR172" s="62"/>
      <c r="AS172" s="62"/>
      <c r="AT172" s="62">
        <v>0</v>
      </c>
      <c r="AU172" s="62">
        <v>0</v>
      </c>
      <c r="AV172" s="62">
        <v>0</v>
      </c>
      <c r="AW172" s="62">
        <v>0</v>
      </c>
      <c r="AX172" s="62">
        <v>0</v>
      </c>
      <c r="AY172" s="62">
        <v>58462.29</v>
      </c>
      <c r="AZ172" s="62"/>
      <c r="BA172" s="40"/>
      <c r="BB172" s="5">
        <f t="shared" si="43"/>
        <v>638349.5900000002</v>
      </c>
    </row>
    <row r="173" spans="1:54" hidden="1">
      <c r="A173" s="104">
        <f t="shared" si="41"/>
        <v>156</v>
      </c>
      <c r="B173" s="101">
        <f t="shared" si="42"/>
        <v>156</v>
      </c>
      <c r="C173" s="101" t="s">
        <v>140</v>
      </c>
      <c r="D173" s="101" t="s">
        <v>141</v>
      </c>
      <c r="E173" s="102">
        <v>1982</v>
      </c>
      <c r="F173" s="102">
        <v>1982</v>
      </c>
      <c r="G173" s="102" t="s">
        <v>3</v>
      </c>
      <c r="H173" s="102">
        <v>5</v>
      </c>
      <c r="I173" s="102">
        <v>1</v>
      </c>
      <c r="J173" s="62">
        <v>982.9</v>
      </c>
      <c r="K173" s="62">
        <v>982.9</v>
      </c>
      <c r="L173" s="62">
        <v>0</v>
      </c>
      <c r="M173" s="103">
        <v>23</v>
      </c>
      <c r="N173" s="28">
        <f t="shared" si="39"/>
        <v>3752714.61</v>
      </c>
      <c r="O173" s="62"/>
      <c r="P173" s="30"/>
      <c r="Q173" s="31"/>
      <c r="R173" s="31"/>
      <c r="S173" s="30"/>
      <c r="T173" s="31"/>
      <c r="U173" s="31"/>
      <c r="V173" s="30">
        <v>310089.55</v>
      </c>
      <c r="W173" s="31"/>
      <c r="X173" s="31"/>
      <c r="Y173" s="30">
        <v>3442625.06</v>
      </c>
      <c r="Z173" s="31"/>
      <c r="AA173" s="31"/>
      <c r="AB173" s="30"/>
      <c r="AC173" s="32"/>
      <c r="AD173" s="32"/>
      <c r="AE173" s="62">
        <v>3908.8474003091001</v>
      </c>
      <c r="AF173" s="62">
        <v>3908.8474003091001</v>
      </c>
      <c r="AG173" s="33">
        <v>2022</v>
      </c>
      <c r="AH173" s="18">
        <f>344430.27</f>
        <v>344430.27</v>
      </c>
      <c r="AI173" s="5">
        <f t="shared" si="44"/>
        <v>100255.8</v>
      </c>
      <c r="AJ173" s="5">
        <f t="shared" si="45"/>
        <v>3538440</v>
      </c>
      <c r="AL173" s="37">
        <f t="shared" si="40"/>
        <v>0</v>
      </c>
      <c r="AM173" s="62"/>
      <c r="AN173" s="62"/>
      <c r="AO173" s="162"/>
      <c r="AP173" s="62"/>
      <c r="AQ173" s="62"/>
      <c r="AR173" s="62"/>
      <c r="AS173" s="62"/>
      <c r="AT173" s="62"/>
      <c r="AU173" s="62">
        <v>1229943.21</v>
      </c>
      <c r="AV173" s="62"/>
      <c r="AW173" s="62"/>
      <c r="AX173" s="62">
        <v>2522771.4</v>
      </c>
      <c r="AY173" s="62"/>
      <c r="AZ173" s="30"/>
      <c r="BA173" s="40"/>
      <c r="BB173" s="5">
        <f t="shared" si="43"/>
        <v>3752714.61</v>
      </c>
    </row>
    <row r="174" spans="1:54" hidden="1">
      <c r="A174" s="104">
        <f t="shared" si="41"/>
        <v>157</v>
      </c>
      <c r="B174" s="101">
        <f t="shared" si="42"/>
        <v>157</v>
      </c>
      <c r="C174" s="101" t="s">
        <v>140</v>
      </c>
      <c r="D174" s="101" t="s">
        <v>146</v>
      </c>
      <c r="E174" s="102">
        <v>1979</v>
      </c>
      <c r="F174" s="102">
        <v>2013</v>
      </c>
      <c r="G174" s="102" t="s">
        <v>3</v>
      </c>
      <c r="H174" s="102">
        <v>4</v>
      </c>
      <c r="I174" s="102">
        <v>2</v>
      </c>
      <c r="J174" s="62">
        <v>1304.3</v>
      </c>
      <c r="K174" s="62">
        <v>1304.3</v>
      </c>
      <c r="L174" s="62">
        <v>0</v>
      </c>
      <c r="M174" s="103">
        <v>47</v>
      </c>
      <c r="N174" s="28">
        <f t="shared" si="39"/>
        <v>2093523.54</v>
      </c>
      <c r="O174" s="62"/>
      <c r="P174" s="30"/>
      <c r="Q174" s="31"/>
      <c r="R174" s="31"/>
      <c r="S174" s="30"/>
      <c r="T174" s="31"/>
      <c r="U174" s="31"/>
      <c r="V174" s="30">
        <v>446256.02</v>
      </c>
      <c r="W174" s="31"/>
      <c r="X174" s="31"/>
      <c r="Y174" s="30">
        <v>1647267.52</v>
      </c>
      <c r="Z174" s="31"/>
      <c r="AA174" s="31"/>
      <c r="AB174" s="30"/>
      <c r="AC174" s="32"/>
      <c r="AD174" s="32"/>
      <c r="AE174" s="62">
        <v>1783.43310402835</v>
      </c>
      <c r="AF174" s="62">
        <v>1783.43310402835</v>
      </c>
      <c r="AG174" s="33">
        <v>2022</v>
      </c>
      <c r="AH174" s="18">
        <f>505122.22</f>
        <v>505122.22</v>
      </c>
      <c r="AI174" s="5">
        <f t="shared" si="44"/>
        <v>133038.6</v>
      </c>
      <c r="AJ174" s="5">
        <f t="shared" si="45"/>
        <v>4695480</v>
      </c>
      <c r="AL174" s="37">
        <f t="shared" si="40"/>
        <v>0</v>
      </c>
      <c r="AM174" s="62">
        <v>0</v>
      </c>
      <c r="AN174" s="62">
        <v>0</v>
      </c>
      <c r="AO174" s="162"/>
      <c r="AP174" s="62"/>
      <c r="AQ174" s="62"/>
      <c r="AR174" s="62"/>
      <c r="AS174" s="62"/>
      <c r="AT174" s="62"/>
      <c r="AU174" s="62">
        <v>2093523.54</v>
      </c>
      <c r="AV174" s="62"/>
      <c r="AW174" s="62"/>
      <c r="AX174" s="62"/>
      <c r="AY174" s="62"/>
      <c r="AZ174" s="30"/>
      <c r="BA174" s="40"/>
      <c r="BB174" s="5">
        <f t="shared" si="43"/>
        <v>2093523.54</v>
      </c>
    </row>
    <row r="175" spans="1:54" hidden="1">
      <c r="A175" s="104">
        <f t="shared" si="41"/>
        <v>158</v>
      </c>
      <c r="B175" s="101">
        <f t="shared" si="42"/>
        <v>158</v>
      </c>
      <c r="C175" s="101" t="s">
        <v>140</v>
      </c>
      <c r="D175" s="101" t="s">
        <v>142</v>
      </c>
      <c r="E175" s="102">
        <v>1989</v>
      </c>
      <c r="F175" s="102">
        <v>2013</v>
      </c>
      <c r="G175" s="102" t="s">
        <v>3</v>
      </c>
      <c r="H175" s="102">
        <v>5</v>
      </c>
      <c r="I175" s="102">
        <v>3</v>
      </c>
      <c r="J175" s="62">
        <v>2867.1</v>
      </c>
      <c r="K175" s="62">
        <v>2862</v>
      </c>
      <c r="L175" s="62">
        <v>0</v>
      </c>
      <c r="M175" s="103">
        <v>82</v>
      </c>
      <c r="N175" s="28">
        <f t="shared" si="39"/>
        <v>539462.39</v>
      </c>
      <c r="O175" s="62"/>
      <c r="P175" s="30"/>
      <c r="Q175" s="31"/>
      <c r="R175" s="31"/>
      <c r="S175" s="30"/>
      <c r="T175" s="31"/>
      <c r="U175" s="31"/>
      <c r="V175" s="30">
        <v>539462.39</v>
      </c>
      <c r="W175" s="31"/>
      <c r="X175" s="31"/>
      <c r="Y175" s="30"/>
      <c r="Z175" s="31"/>
      <c r="AA175" s="31"/>
      <c r="AB175" s="30"/>
      <c r="AC175" s="32"/>
      <c r="AD175" s="32"/>
      <c r="AE175" s="62">
        <v>540.191583431293</v>
      </c>
      <c r="AF175" s="62">
        <v>540.191583431293</v>
      </c>
      <c r="AG175" s="33">
        <v>2022</v>
      </c>
      <c r="AH175" s="1">
        <v>853930.16</v>
      </c>
      <c r="AI175" s="5">
        <f t="shared" si="44"/>
        <v>291924</v>
      </c>
      <c r="AJ175" s="5">
        <f t="shared" si="45"/>
        <v>10303200</v>
      </c>
      <c r="AL175" s="37">
        <f t="shared" si="40"/>
        <v>0</v>
      </c>
      <c r="AM175" s="62">
        <v>0</v>
      </c>
      <c r="AN175" s="62">
        <v>0</v>
      </c>
      <c r="AO175" s="162"/>
      <c r="AP175" s="62"/>
      <c r="AQ175" s="62"/>
      <c r="AR175" s="62"/>
      <c r="AS175" s="62"/>
      <c r="AT175" s="62"/>
      <c r="AU175" s="62"/>
      <c r="AV175" s="62"/>
      <c r="AW175" s="62">
        <v>0</v>
      </c>
      <c r="AX175" s="62">
        <v>539462.39</v>
      </c>
      <c r="AY175" s="62"/>
      <c r="AZ175" s="30"/>
      <c r="BA175" s="40"/>
      <c r="BB175" s="5">
        <f t="shared" si="43"/>
        <v>539462.39</v>
      </c>
    </row>
    <row r="176" spans="1:54" hidden="1">
      <c r="A176" s="104">
        <f t="shared" si="41"/>
        <v>159</v>
      </c>
      <c r="B176" s="101">
        <f t="shared" si="42"/>
        <v>159</v>
      </c>
      <c r="C176" s="101" t="s">
        <v>397</v>
      </c>
      <c r="D176" s="101" t="s">
        <v>398</v>
      </c>
      <c r="E176" s="102">
        <v>1972</v>
      </c>
      <c r="F176" s="102">
        <v>1984</v>
      </c>
      <c r="G176" s="102" t="s">
        <v>3</v>
      </c>
      <c r="H176" s="102">
        <v>4</v>
      </c>
      <c r="I176" s="102">
        <v>2</v>
      </c>
      <c r="J176" s="62">
        <v>1930.2</v>
      </c>
      <c r="K176" s="62">
        <v>1800.4</v>
      </c>
      <c r="L176" s="62">
        <v>0</v>
      </c>
      <c r="M176" s="103">
        <v>51</v>
      </c>
      <c r="N176" s="28">
        <f t="shared" si="39"/>
        <v>14480496.200000001</v>
      </c>
      <c r="O176" s="62"/>
      <c r="P176" s="30">
        <v>3669216.29</v>
      </c>
      <c r="Q176" s="31"/>
      <c r="R176" s="31"/>
      <c r="S176" s="30"/>
      <c r="T176" s="31"/>
      <c r="U176" s="31"/>
      <c r="V176" s="30">
        <v>820153.95</v>
      </c>
      <c r="W176" s="31"/>
      <c r="X176" s="31"/>
      <c r="Y176" s="30">
        <v>6694161.2183442796</v>
      </c>
      <c r="Z176" s="31"/>
      <c r="AA176" s="31"/>
      <c r="AB176" s="62">
        <v>3296964.7416557199</v>
      </c>
      <c r="AC176" s="106"/>
      <c r="AD176" s="106"/>
      <c r="AE176" s="30">
        <v>8254.6379184316193</v>
      </c>
      <c r="AF176" s="30">
        <v>8254.6379184316193</v>
      </c>
      <c r="AG176" s="33">
        <v>2022</v>
      </c>
      <c r="AH176" s="1">
        <v>636513.13</v>
      </c>
      <c r="AI176" s="5">
        <f t="shared" si="44"/>
        <v>183640.8</v>
      </c>
      <c r="AJ176" s="5">
        <f t="shared" si="45"/>
        <v>6481440</v>
      </c>
      <c r="AL176" s="37">
        <f t="shared" si="40"/>
        <v>0</v>
      </c>
      <c r="AM176" s="62">
        <v>3185792.78</v>
      </c>
      <c r="AN176" s="62">
        <v>811520.58</v>
      </c>
      <c r="AO176" s="162">
        <v>739091.37</v>
      </c>
      <c r="AP176" s="62"/>
      <c r="AQ176" s="62">
        <v>0</v>
      </c>
      <c r="AR176" s="62"/>
      <c r="AS176" s="62"/>
      <c r="AT176" s="62">
        <v>0</v>
      </c>
      <c r="AU176" s="62">
        <v>5126751.9400000004</v>
      </c>
      <c r="AV176" s="62">
        <v>0</v>
      </c>
      <c r="AW176" s="62"/>
      <c r="AX176" s="62">
        <v>4617339.53</v>
      </c>
      <c r="AY176" s="62"/>
      <c r="AZ176" s="30"/>
      <c r="BA176" s="40"/>
      <c r="BB176" s="5">
        <f t="shared" si="43"/>
        <v>14480496.200000001</v>
      </c>
    </row>
    <row r="177" spans="1:54" hidden="1">
      <c r="A177" s="104">
        <f t="shared" si="41"/>
        <v>160</v>
      </c>
      <c r="B177" s="101">
        <f t="shared" si="42"/>
        <v>160</v>
      </c>
      <c r="C177" s="101" t="s">
        <v>399</v>
      </c>
      <c r="D177" s="101" t="s">
        <v>400</v>
      </c>
      <c r="E177" s="102">
        <v>1986</v>
      </c>
      <c r="F177" s="102">
        <v>1986</v>
      </c>
      <c r="G177" s="102" t="s">
        <v>3</v>
      </c>
      <c r="H177" s="102">
        <v>2</v>
      </c>
      <c r="I177" s="102">
        <v>3</v>
      </c>
      <c r="J177" s="62">
        <v>946.5</v>
      </c>
      <c r="K177" s="62">
        <v>797.7</v>
      </c>
      <c r="L177" s="62">
        <v>0</v>
      </c>
      <c r="M177" s="103">
        <v>25</v>
      </c>
      <c r="N177" s="28">
        <f t="shared" si="39"/>
        <v>3997136.3000000003</v>
      </c>
      <c r="O177" s="62"/>
      <c r="P177" s="30">
        <v>1957073.09333333</v>
      </c>
      <c r="Q177" s="31"/>
      <c r="R177" s="31"/>
      <c r="S177" s="30"/>
      <c r="T177" s="31"/>
      <c r="U177" s="31"/>
      <c r="V177" s="30">
        <v>202536.72</v>
      </c>
      <c r="W177" s="31"/>
      <c r="X177" s="31"/>
      <c r="Y177" s="30">
        <v>1050861.08</v>
      </c>
      <c r="Z177" s="31"/>
      <c r="AA177" s="31"/>
      <c r="AB177" s="62">
        <v>786665.40666666999</v>
      </c>
      <c r="AC177" s="106"/>
      <c r="AD177" s="106"/>
      <c r="AE177" s="30">
        <v>5198.8362113852299</v>
      </c>
      <c r="AF177" s="30">
        <v>5198.8362113852299</v>
      </c>
      <c r="AG177" s="33">
        <v>2022</v>
      </c>
      <c r="AH177" s="1">
        <f>309904.68-196260.96</f>
        <v>113643.72</v>
      </c>
      <c r="AI177" s="5">
        <f t="shared" si="44"/>
        <v>81365.399999999994</v>
      </c>
      <c r="AJ177" s="5">
        <f>+(K177*10+L177*20)*12*30-2086538.92</f>
        <v>785181.08000000007</v>
      </c>
      <c r="AL177" s="37">
        <f t="shared" si="40"/>
        <v>0</v>
      </c>
      <c r="AM177" s="62">
        <v>0</v>
      </c>
      <c r="AN177" s="62">
        <v>0</v>
      </c>
      <c r="AO177" s="162">
        <v>0</v>
      </c>
      <c r="AP177" s="62">
        <v>0</v>
      </c>
      <c r="AQ177" s="62">
        <v>0</v>
      </c>
      <c r="AR177" s="62"/>
      <c r="AS177" s="62"/>
      <c r="AT177" s="62">
        <v>0</v>
      </c>
      <c r="AU177" s="62">
        <v>0</v>
      </c>
      <c r="AV177" s="62">
        <v>0</v>
      </c>
      <c r="AW177" s="62">
        <v>0</v>
      </c>
      <c r="AX177" s="62">
        <v>3880712.95</v>
      </c>
      <c r="AY177" s="62">
        <v>63874.52</v>
      </c>
      <c r="AZ177" s="30">
        <v>52548.83</v>
      </c>
      <c r="BA177" s="40"/>
      <c r="BB177" s="5">
        <f t="shared" si="43"/>
        <v>3997136.3000000003</v>
      </c>
    </row>
    <row r="178" spans="1:54" hidden="1">
      <c r="A178" s="104">
        <f t="shared" si="41"/>
        <v>161</v>
      </c>
      <c r="B178" s="101">
        <f t="shared" si="42"/>
        <v>161</v>
      </c>
      <c r="C178" s="101" t="s">
        <v>399</v>
      </c>
      <c r="D178" s="101" t="s">
        <v>402</v>
      </c>
      <c r="E178" s="102">
        <v>1986</v>
      </c>
      <c r="F178" s="102">
        <v>1986</v>
      </c>
      <c r="G178" s="102" t="s">
        <v>3</v>
      </c>
      <c r="H178" s="102">
        <v>4</v>
      </c>
      <c r="I178" s="102">
        <v>4</v>
      </c>
      <c r="J178" s="62">
        <v>3420.4</v>
      </c>
      <c r="K178" s="62">
        <v>2641.9</v>
      </c>
      <c r="L178" s="62">
        <v>0</v>
      </c>
      <c r="M178" s="103">
        <v>102</v>
      </c>
      <c r="N178" s="28">
        <f t="shared" si="39"/>
        <v>6696808.9699999997</v>
      </c>
      <c r="O178" s="62"/>
      <c r="P178" s="30"/>
      <c r="Q178" s="31"/>
      <c r="R178" s="31"/>
      <c r="S178" s="30"/>
      <c r="T178" s="31"/>
      <c r="U178" s="31"/>
      <c r="V178" s="30">
        <v>1164386.93</v>
      </c>
      <c r="W178" s="31"/>
      <c r="X178" s="31"/>
      <c r="Y178" s="30">
        <v>5532422.04</v>
      </c>
      <c r="Z178" s="31"/>
      <c r="AA178" s="31"/>
      <c r="AB178" s="62"/>
      <c r="AC178" s="106"/>
      <c r="AD178" s="106"/>
      <c r="AE178" s="30">
        <v>2710.4489851235799</v>
      </c>
      <c r="AF178" s="30">
        <v>2710.4489851235799</v>
      </c>
      <c r="AG178" s="33">
        <v>2022</v>
      </c>
      <c r="AH178" s="1">
        <v>1184809.02</v>
      </c>
      <c r="AI178" s="5">
        <f t="shared" si="44"/>
        <v>269473.8</v>
      </c>
      <c r="AJ178" s="5">
        <f>+(K178*10+L178*20)*12*30</f>
        <v>9510840</v>
      </c>
      <c r="AL178" s="37">
        <f t="shared" ref="AL178:AL205" si="46">SUBTOTAL(9, AM178:BA178)</f>
        <v>0</v>
      </c>
      <c r="AM178" s="62">
        <v>0</v>
      </c>
      <c r="AN178" s="62">
        <v>0</v>
      </c>
      <c r="AO178" s="162">
        <v>0</v>
      </c>
      <c r="AP178" s="62">
        <v>0</v>
      </c>
      <c r="AQ178" s="62">
        <v>0</v>
      </c>
      <c r="AR178" s="62"/>
      <c r="AS178" s="62"/>
      <c r="AT178" s="62">
        <v>0</v>
      </c>
      <c r="AU178" s="62">
        <v>6406790.6799999997</v>
      </c>
      <c r="AV178" s="62">
        <v>0</v>
      </c>
      <c r="AW178" s="62">
        <v>0</v>
      </c>
      <c r="AX178" s="62"/>
      <c r="AY178" s="62">
        <v>228114.94</v>
      </c>
      <c r="AZ178" s="30">
        <v>61903.35</v>
      </c>
      <c r="BA178" s="40"/>
      <c r="BB178" s="5">
        <f t="shared" si="43"/>
        <v>6696808.9699999997</v>
      </c>
    </row>
    <row r="179" spans="1:54" hidden="1">
      <c r="A179" s="104">
        <f t="shared" ref="A179:A205" si="47">+A178+1</f>
        <v>162</v>
      </c>
      <c r="B179" s="101">
        <f t="shared" ref="B179:B205" si="48">+B178+1</f>
        <v>162</v>
      </c>
      <c r="C179" s="101" t="s">
        <v>399</v>
      </c>
      <c r="D179" s="101" t="s">
        <v>404</v>
      </c>
      <c r="E179" s="102">
        <v>1974</v>
      </c>
      <c r="F179" s="102">
        <v>1974</v>
      </c>
      <c r="G179" s="102" t="s">
        <v>3</v>
      </c>
      <c r="H179" s="102">
        <v>4</v>
      </c>
      <c r="I179" s="102">
        <v>4</v>
      </c>
      <c r="J179" s="62">
        <v>1999.2</v>
      </c>
      <c r="K179" s="62">
        <v>1458.9</v>
      </c>
      <c r="L179" s="62">
        <v>314.60000000000002</v>
      </c>
      <c r="M179" s="103">
        <v>57</v>
      </c>
      <c r="N179" s="28">
        <f t="shared" si="39"/>
        <v>4893604.3600000003</v>
      </c>
      <c r="O179" s="62"/>
      <c r="P179" s="30"/>
      <c r="Q179" s="31"/>
      <c r="R179" s="31"/>
      <c r="S179" s="30"/>
      <c r="T179" s="31"/>
      <c r="U179" s="31"/>
      <c r="V179" s="30">
        <v>1064233.07</v>
      </c>
      <c r="W179" s="31"/>
      <c r="X179" s="31"/>
      <c r="Y179" s="30">
        <v>3829371.29</v>
      </c>
      <c r="Z179" s="31"/>
      <c r="AA179" s="31"/>
      <c r="AB179" s="62"/>
      <c r="AC179" s="106"/>
      <c r="AD179" s="106"/>
      <c r="AE179" s="30">
        <v>2873.3330788790499</v>
      </c>
      <c r="AF179" s="30">
        <v>2873.3330788790499</v>
      </c>
      <c r="AG179" s="33">
        <v>2022</v>
      </c>
      <c r="AH179" s="1">
        <v>851246.87</v>
      </c>
      <c r="AI179" s="5">
        <f t="shared" si="44"/>
        <v>212986.19999999998</v>
      </c>
      <c r="AJ179" s="5">
        <f>+(K179*10+L179*20)*12*30</f>
        <v>7517160</v>
      </c>
      <c r="AL179" s="37">
        <f t="shared" si="46"/>
        <v>0</v>
      </c>
      <c r="AM179" s="62">
        <v>0</v>
      </c>
      <c r="AN179" s="62">
        <v>0</v>
      </c>
      <c r="AO179" s="162">
        <v>0</v>
      </c>
      <c r="AP179" s="62">
        <v>0</v>
      </c>
      <c r="AQ179" s="62">
        <v>0</v>
      </c>
      <c r="AR179" s="62"/>
      <c r="AS179" s="62"/>
      <c r="AT179" s="62">
        <v>0</v>
      </c>
      <c r="AU179" s="62">
        <v>4786076.9400000004</v>
      </c>
      <c r="AV179" s="62">
        <v>0</v>
      </c>
      <c r="AW179" s="62">
        <v>0</v>
      </c>
      <c r="AX179" s="62">
        <v>0</v>
      </c>
      <c r="AY179" s="62">
        <v>92267.42</v>
      </c>
      <c r="AZ179" s="30">
        <v>15260</v>
      </c>
      <c r="BA179" s="40"/>
      <c r="BB179" s="5">
        <f t="shared" si="43"/>
        <v>4893604.3600000003</v>
      </c>
    </row>
    <row r="180" spans="1:54" hidden="1">
      <c r="A180" s="104">
        <f t="shared" si="47"/>
        <v>163</v>
      </c>
      <c r="B180" s="101">
        <f t="shared" si="48"/>
        <v>163</v>
      </c>
      <c r="C180" s="101" t="s">
        <v>405</v>
      </c>
      <c r="D180" s="101" t="s">
        <v>406</v>
      </c>
      <c r="E180" s="102">
        <v>1988</v>
      </c>
      <c r="F180" s="102">
        <v>2011</v>
      </c>
      <c r="G180" s="102" t="s">
        <v>3</v>
      </c>
      <c r="H180" s="102">
        <v>4</v>
      </c>
      <c r="I180" s="102">
        <v>4</v>
      </c>
      <c r="J180" s="62">
        <v>4417.0200000000004</v>
      </c>
      <c r="K180" s="62">
        <v>3086.82</v>
      </c>
      <c r="L180" s="62">
        <v>1330.2</v>
      </c>
      <c r="M180" s="103">
        <v>138</v>
      </c>
      <c r="N180" s="28">
        <f t="shared" si="39"/>
        <v>5464157.29</v>
      </c>
      <c r="O180" s="62"/>
      <c r="P180" s="30">
        <v>4957331.04</v>
      </c>
      <c r="Q180" s="31"/>
      <c r="R180" s="31"/>
      <c r="S180" s="30"/>
      <c r="T180" s="31"/>
      <c r="U180" s="31"/>
      <c r="V180" s="30">
        <v>506826.25</v>
      </c>
      <c r="W180" s="31"/>
      <c r="X180" s="31"/>
      <c r="Y180" s="30"/>
      <c r="Z180" s="31"/>
      <c r="AA180" s="31"/>
      <c r="AB180" s="62"/>
      <c r="AC180" s="106"/>
      <c r="AD180" s="106"/>
      <c r="AE180" s="30">
        <v>1287.57496909681</v>
      </c>
      <c r="AF180" s="30">
        <v>1287.57496909681</v>
      </c>
      <c r="AG180" s="33">
        <v>2022</v>
      </c>
      <c r="AH180" s="1">
        <v>1145113.48</v>
      </c>
      <c r="AI180" s="5">
        <f t="shared" si="44"/>
        <v>586216.43999999994</v>
      </c>
      <c r="AL180" s="37">
        <f t="shared" si="46"/>
        <v>0</v>
      </c>
      <c r="AM180" s="62">
        <v>5464157.29</v>
      </c>
      <c r="AN180" s="62">
        <v>0</v>
      </c>
      <c r="AO180" s="162"/>
      <c r="AP180" s="62"/>
      <c r="AQ180" s="62">
        <v>0</v>
      </c>
      <c r="AR180" s="62"/>
      <c r="AS180" s="62"/>
      <c r="AT180" s="62">
        <v>0</v>
      </c>
      <c r="AU180" s="62">
        <v>0</v>
      </c>
      <c r="AV180" s="62">
        <v>0</v>
      </c>
      <c r="AW180" s="62">
        <v>0</v>
      </c>
      <c r="AX180" s="62">
        <v>0</v>
      </c>
      <c r="AY180" s="62"/>
      <c r="AZ180" s="30"/>
      <c r="BA180" s="109"/>
      <c r="BB180" s="5">
        <f t="shared" si="43"/>
        <v>5464157.29</v>
      </c>
    </row>
    <row r="181" spans="1:54" s="142" customFormat="1" hidden="1">
      <c r="A181" s="104">
        <f t="shared" si="47"/>
        <v>164</v>
      </c>
      <c r="B181" s="101">
        <f t="shared" si="48"/>
        <v>164</v>
      </c>
      <c r="C181" s="101" t="s">
        <v>405</v>
      </c>
      <c r="D181" s="101" t="s">
        <v>408</v>
      </c>
      <c r="E181" s="102" t="s">
        <v>214</v>
      </c>
      <c r="F181" s="102"/>
      <c r="G181" s="102" t="s">
        <v>3</v>
      </c>
      <c r="H181" s="102" t="s">
        <v>183</v>
      </c>
      <c r="I181" s="102" t="s">
        <v>183</v>
      </c>
      <c r="J181" s="62">
        <v>4395.8500000000004</v>
      </c>
      <c r="K181" s="62">
        <v>3069.35</v>
      </c>
      <c r="L181" s="62">
        <v>1326.5</v>
      </c>
      <c r="M181" s="103">
        <v>146</v>
      </c>
      <c r="N181" s="28">
        <f t="shared" si="39"/>
        <v>28411164.879999999</v>
      </c>
      <c r="O181" s="62">
        <v>0</v>
      </c>
      <c r="P181" s="30">
        <v>26747489.989999998</v>
      </c>
      <c r="Q181" s="31"/>
      <c r="R181" s="31"/>
      <c r="S181" s="30">
        <v>0</v>
      </c>
      <c r="T181" s="31"/>
      <c r="U181" s="31"/>
      <c r="V181" s="30">
        <v>1552787.89</v>
      </c>
      <c r="W181" s="31"/>
      <c r="X181" s="31"/>
      <c r="Y181" s="30">
        <v>0</v>
      </c>
      <c r="Z181" s="31"/>
      <c r="AA181" s="31"/>
      <c r="AB181" s="62">
        <v>110887</v>
      </c>
      <c r="AC181" s="106"/>
      <c r="AD181" s="106"/>
      <c r="AE181" s="30">
        <v>6486.13</v>
      </c>
      <c r="AF181" s="30">
        <v>6486.13</v>
      </c>
      <c r="AG181" s="33">
        <v>2022</v>
      </c>
      <c r="AH181" s="142">
        <v>1313500.1499999999</v>
      </c>
      <c r="AI181" s="5">
        <f t="shared" si="44"/>
        <v>583679.69999999995</v>
      </c>
      <c r="AJ181" s="5"/>
      <c r="AK181" s="5"/>
      <c r="AL181" s="37">
        <f t="shared" si="46"/>
        <v>0</v>
      </c>
      <c r="AM181" s="62">
        <v>8079212.4000000004</v>
      </c>
      <c r="AN181" s="62"/>
      <c r="AO181" s="162">
        <v>3039831.6</v>
      </c>
      <c r="AP181" s="62">
        <v>2344507</v>
      </c>
      <c r="AQ181" s="62"/>
      <c r="AR181" s="62"/>
      <c r="AS181" s="62"/>
      <c r="AT181" s="62"/>
      <c r="AU181" s="62">
        <v>14009282.4</v>
      </c>
      <c r="AV181" s="62"/>
      <c r="AW181" s="62"/>
      <c r="AX181" s="62"/>
      <c r="AY181" s="62">
        <v>700984.03</v>
      </c>
      <c r="AZ181" s="30">
        <v>24000</v>
      </c>
      <c r="BA181" s="109">
        <v>213347.45</v>
      </c>
      <c r="BB181" s="5">
        <f t="shared" si="43"/>
        <v>28411164.879999999</v>
      </c>
    </row>
    <row r="182" spans="1:54" s="142" customFormat="1" hidden="1">
      <c r="A182" s="104">
        <f t="shared" si="47"/>
        <v>165</v>
      </c>
      <c r="B182" s="101">
        <f t="shared" si="48"/>
        <v>165</v>
      </c>
      <c r="C182" s="101" t="s">
        <v>405</v>
      </c>
      <c r="D182" s="101" t="s">
        <v>410</v>
      </c>
      <c r="E182" s="102" t="s">
        <v>411</v>
      </c>
      <c r="F182" s="102"/>
      <c r="G182" s="102" t="s">
        <v>3</v>
      </c>
      <c r="H182" s="102" t="s">
        <v>183</v>
      </c>
      <c r="I182" s="102" t="s">
        <v>183</v>
      </c>
      <c r="J182" s="62">
        <v>4423.49</v>
      </c>
      <c r="K182" s="62">
        <v>3088.29</v>
      </c>
      <c r="L182" s="62">
        <v>1335.2</v>
      </c>
      <c r="M182" s="103">
        <v>130</v>
      </c>
      <c r="N182" s="28">
        <f t="shared" si="39"/>
        <v>19924186.370000001</v>
      </c>
      <c r="O182" s="62">
        <v>0</v>
      </c>
      <c r="P182" s="30">
        <v>18274358.620000001</v>
      </c>
      <c r="Q182" s="31"/>
      <c r="R182" s="31"/>
      <c r="S182" s="30">
        <v>0</v>
      </c>
      <c r="T182" s="31"/>
      <c r="U182" s="31"/>
      <c r="V182" s="30">
        <v>1539785.1562634399</v>
      </c>
      <c r="W182" s="31"/>
      <c r="X182" s="31"/>
      <c r="Y182" s="30">
        <v>0</v>
      </c>
      <c r="Z182" s="31"/>
      <c r="AA182" s="31"/>
      <c r="AB182" s="62">
        <v>110042.59373655901</v>
      </c>
      <c r="AC182" s="106"/>
      <c r="AD182" s="106"/>
      <c r="AE182" s="30">
        <v>3634.91</v>
      </c>
      <c r="AF182" s="30">
        <v>3634.91</v>
      </c>
      <c r="AG182" s="33">
        <v>2022</v>
      </c>
      <c r="AH182" s="142">
        <v>1347428.17</v>
      </c>
      <c r="AI182" s="5">
        <f t="shared" si="44"/>
        <v>587386.38</v>
      </c>
      <c r="AJ182" s="5"/>
      <c r="AK182" s="5"/>
      <c r="AL182" s="37">
        <f t="shared" si="46"/>
        <v>0</v>
      </c>
      <c r="AM182" s="62"/>
      <c r="AN182" s="62"/>
      <c r="AO182" s="162">
        <v>3153436.8</v>
      </c>
      <c r="AP182" s="62">
        <v>2158646.4</v>
      </c>
      <c r="AQ182" s="62"/>
      <c r="AR182" s="62"/>
      <c r="AS182" s="62"/>
      <c r="AT182" s="62"/>
      <c r="AU182" s="62">
        <v>13939516.800000001</v>
      </c>
      <c r="AV182" s="62"/>
      <c r="AW182" s="62"/>
      <c r="AX182" s="62"/>
      <c r="AY182" s="62">
        <v>495096.03</v>
      </c>
      <c r="AZ182" s="30">
        <v>24000</v>
      </c>
      <c r="BA182" s="109">
        <v>153490.34</v>
      </c>
      <c r="BB182" s="5">
        <f t="shared" si="43"/>
        <v>19924186.370000001</v>
      </c>
    </row>
    <row r="183" spans="1:54" hidden="1">
      <c r="A183" s="104">
        <f t="shared" si="47"/>
        <v>166</v>
      </c>
      <c r="B183" s="101">
        <f t="shared" si="48"/>
        <v>166</v>
      </c>
      <c r="C183" s="101" t="s">
        <v>405</v>
      </c>
      <c r="D183" s="101" t="s">
        <v>413</v>
      </c>
      <c r="E183" s="102">
        <v>1985</v>
      </c>
      <c r="F183" s="102">
        <v>2011</v>
      </c>
      <c r="G183" s="102" t="s">
        <v>3</v>
      </c>
      <c r="H183" s="102">
        <v>4</v>
      </c>
      <c r="I183" s="102">
        <v>4</v>
      </c>
      <c r="J183" s="62">
        <v>4469.6400000000003</v>
      </c>
      <c r="K183" s="62">
        <v>3113.04</v>
      </c>
      <c r="L183" s="62">
        <v>1356.6</v>
      </c>
      <c r="M183" s="103">
        <v>164</v>
      </c>
      <c r="N183" s="28">
        <f t="shared" si="39"/>
        <v>9802331.1099999994</v>
      </c>
      <c r="O183" s="62"/>
      <c r="P183" s="30">
        <v>9504817.1999999993</v>
      </c>
      <c r="Q183" s="31"/>
      <c r="R183" s="31"/>
      <c r="S183" s="30"/>
      <c r="T183" s="31"/>
      <c r="U183" s="31"/>
      <c r="V183" s="30">
        <v>297513.90999999997</v>
      </c>
      <c r="W183" s="31"/>
      <c r="X183" s="31"/>
      <c r="Y183" s="30">
        <v>0</v>
      </c>
      <c r="Z183" s="31"/>
      <c r="AA183" s="31"/>
      <c r="AB183" s="62">
        <v>0</v>
      </c>
      <c r="AC183" s="106"/>
      <c r="AD183" s="106"/>
      <c r="AE183" s="30">
        <v>2193.0918619844101</v>
      </c>
      <c r="AF183" s="30">
        <v>2193.0918619844101</v>
      </c>
      <c r="AG183" s="33">
        <v>2022</v>
      </c>
      <c r="AH183" s="1">
        <v>1300474.5900000001</v>
      </c>
      <c r="AI183" s="5">
        <f t="shared" si="44"/>
        <v>594276.48</v>
      </c>
      <c r="AL183" s="37">
        <f t="shared" si="46"/>
        <v>0</v>
      </c>
      <c r="AM183" s="62">
        <v>0</v>
      </c>
      <c r="AN183" s="62">
        <v>0</v>
      </c>
      <c r="AO183" s="162">
        <v>0</v>
      </c>
      <c r="AP183" s="62">
        <v>0</v>
      </c>
      <c r="AQ183" s="62">
        <v>0</v>
      </c>
      <c r="AR183" s="62"/>
      <c r="AS183" s="62"/>
      <c r="AT183" s="62">
        <v>0</v>
      </c>
      <c r="AU183" s="62">
        <v>9802331.1099999994</v>
      </c>
      <c r="AV183" s="62">
        <v>0</v>
      </c>
      <c r="AW183" s="62">
        <v>0</v>
      </c>
      <c r="AX183" s="62">
        <v>0</v>
      </c>
      <c r="AY183" s="62"/>
      <c r="AZ183" s="30"/>
      <c r="BA183" s="156"/>
      <c r="BB183" s="5">
        <f t="shared" si="43"/>
        <v>9802331.1099999994</v>
      </c>
    </row>
    <row r="184" spans="1:54" s="142" customFormat="1" hidden="1">
      <c r="A184" s="104">
        <f t="shared" si="47"/>
        <v>167</v>
      </c>
      <c r="B184" s="101">
        <f t="shared" si="48"/>
        <v>167</v>
      </c>
      <c r="C184" s="101" t="s">
        <v>405</v>
      </c>
      <c r="D184" s="101" t="s">
        <v>415</v>
      </c>
      <c r="E184" s="102" t="s">
        <v>218</v>
      </c>
      <c r="F184" s="102"/>
      <c r="G184" s="102" t="s">
        <v>3</v>
      </c>
      <c r="H184" s="102" t="s">
        <v>169</v>
      </c>
      <c r="I184" s="102" t="s">
        <v>316</v>
      </c>
      <c r="J184" s="62">
        <v>8240.9</v>
      </c>
      <c r="K184" s="62">
        <v>5786.7</v>
      </c>
      <c r="L184" s="62">
        <v>2454.1999999999998</v>
      </c>
      <c r="M184" s="103">
        <v>268</v>
      </c>
      <c r="N184" s="28">
        <f t="shared" si="39"/>
        <v>16952691.300000001</v>
      </c>
      <c r="O184" s="62">
        <v>0</v>
      </c>
      <c r="P184" s="30">
        <v>14417927.800000001</v>
      </c>
      <c r="Q184" s="31"/>
      <c r="R184" s="31"/>
      <c r="S184" s="30">
        <v>0</v>
      </c>
      <c r="T184" s="31"/>
      <c r="U184" s="31"/>
      <c r="V184" s="30">
        <v>2534763.5</v>
      </c>
      <c r="W184" s="31"/>
      <c r="X184" s="31"/>
      <c r="Y184" s="30">
        <v>0</v>
      </c>
      <c r="Z184" s="31"/>
      <c r="AA184" s="31"/>
      <c r="AB184" s="62">
        <v>0</v>
      </c>
      <c r="AC184" s="106"/>
      <c r="AD184" s="106"/>
      <c r="AE184" s="30">
        <v>4392.93</v>
      </c>
      <c r="AF184" s="30">
        <v>4392.93</v>
      </c>
      <c r="AG184" s="33">
        <v>2022</v>
      </c>
      <c r="AH184" s="142">
        <v>2221538.7000000002</v>
      </c>
      <c r="AI184" s="5">
        <f t="shared" si="44"/>
        <v>1090900.2</v>
      </c>
      <c r="AJ184" s="5"/>
      <c r="AK184" s="5"/>
      <c r="AL184" s="37">
        <f t="shared" si="46"/>
        <v>0</v>
      </c>
      <c r="AM184" s="62">
        <v>7939864.5</v>
      </c>
      <c r="AN184" s="62"/>
      <c r="AO184" s="162">
        <v>4681160.4000000004</v>
      </c>
      <c r="AP184" s="62">
        <v>3537004.8</v>
      </c>
      <c r="AQ184" s="62"/>
      <c r="AR184" s="62"/>
      <c r="AS184" s="62"/>
      <c r="AT184" s="62"/>
      <c r="AU184" s="62"/>
      <c r="AV184" s="62"/>
      <c r="AW184" s="62"/>
      <c r="AX184" s="62"/>
      <c r="AY184" s="62">
        <v>634398.13</v>
      </c>
      <c r="AZ184" s="30">
        <v>24000</v>
      </c>
      <c r="BA184" s="109">
        <v>136263.47</v>
      </c>
      <c r="BB184" s="5">
        <f t="shared" si="43"/>
        <v>16952691.300000001</v>
      </c>
    </row>
    <row r="185" spans="1:54" s="142" customFormat="1" hidden="1">
      <c r="A185" s="104">
        <f t="shared" si="47"/>
        <v>168</v>
      </c>
      <c r="B185" s="101">
        <f t="shared" si="48"/>
        <v>168</v>
      </c>
      <c r="C185" s="101" t="s">
        <v>405</v>
      </c>
      <c r="D185" s="101" t="s">
        <v>416</v>
      </c>
      <c r="E185" s="102" t="s">
        <v>214</v>
      </c>
      <c r="F185" s="102"/>
      <c r="G185" s="102" t="s">
        <v>3</v>
      </c>
      <c r="H185" s="102" t="s">
        <v>169</v>
      </c>
      <c r="I185" s="102" t="s">
        <v>175</v>
      </c>
      <c r="J185" s="62">
        <v>3960.6</v>
      </c>
      <c r="K185" s="62">
        <v>2780.6</v>
      </c>
      <c r="L185" s="62">
        <v>1180</v>
      </c>
      <c r="M185" s="103">
        <v>132</v>
      </c>
      <c r="N185" s="28">
        <f t="shared" si="39"/>
        <v>11455370.01</v>
      </c>
      <c r="O185" s="62">
        <v>0</v>
      </c>
      <c r="P185" s="30">
        <v>10200845.67</v>
      </c>
      <c r="Q185" s="31"/>
      <c r="R185" s="31"/>
      <c r="S185" s="30">
        <v>0</v>
      </c>
      <c r="T185" s="31"/>
      <c r="U185" s="31"/>
      <c r="V185" s="30">
        <v>1254524.3400000001</v>
      </c>
      <c r="W185" s="31"/>
      <c r="X185" s="31"/>
      <c r="Y185" s="30">
        <v>0</v>
      </c>
      <c r="Z185" s="31"/>
      <c r="AA185" s="31"/>
      <c r="AB185" s="62">
        <v>0</v>
      </c>
      <c r="AC185" s="106"/>
      <c r="AD185" s="106"/>
      <c r="AE185" s="30">
        <v>4392.93</v>
      </c>
      <c r="AF185" s="30">
        <v>4392.93</v>
      </c>
      <c r="AG185" s="33">
        <v>2022</v>
      </c>
      <c r="AH185" s="142">
        <v>1131381.5</v>
      </c>
      <c r="AI185" s="5">
        <f t="shared" si="44"/>
        <v>524341.19999999995</v>
      </c>
      <c r="AJ185" s="5"/>
      <c r="AK185" s="5"/>
      <c r="AL185" s="37">
        <f t="shared" si="46"/>
        <v>0</v>
      </c>
      <c r="AM185" s="62">
        <v>5903245.2000000002</v>
      </c>
      <c r="AN185" s="62"/>
      <c r="AO185" s="162">
        <v>3002210.4</v>
      </c>
      <c r="AP185" s="62">
        <v>1923324</v>
      </c>
      <c r="AQ185" s="62"/>
      <c r="AR185" s="62"/>
      <c r="AS185" s="62"/>
      <c r="AT185" s="62"/>
      <c r="AU185" s="62"/>
      <c r="AV185" s="62"/>
      <c r="AW185" s="62"/>
      <c r="AX185" s="62"/>
      <c r="AY185" s="62">
        <v>516618.54</v>
      </c>
      <c r="AZ185" s="30">
        <v>24000</v>
      </c>
      <c r="BA185" s="109">
        <v>85971.87</v>
      </c>
      <c r="BB185" s="5">
        <f t="shared" si="43"/>
        <v>11455370.01</v>
      </c>
    </row>
    <row r="186" spans="1:54" s="142" customFormat="1" hidden="1">
      <c r="A186" s="104">
        <f t="shared" si="47"/>
        <v>169</v>
      </c>
      <c r="B186" s="101">
        <f t="shared" si="48"/>
        <v>169</v>
      </c>
      <c r="C186" s="101" t="s">
        <v>405</v>
      </c>
      <c r="D186" s="101" t="s">
        <v>418</v>
      </c>
      <c r="E186" s="102" t="s">
        <v>218</v>
      </c>
      <c r="F186" s="102"/>
      <c r="G186" s="102" t="s">
        <v>3</v>
      </c>
      <c r="H186" s="102" t="s">
        <v>169</v>
      </c>
      <c r="I186" s="102" t="s">
        <v>316</v>
      </c>
      <c r="J186" s="62">
        <v>8244.17</v>
      </c>
      <c r="K186" s="62">
        <v>5789.27</v>
      </c>
      <c r="L186" s="62">
        <v>2454.9</v>
      </c>
      <c r="M186" s="103">
        <v>264</v>
      </c>
      <c r="N186" s="28">
        <f t="shared" si="39"/>
        <v>21555121.629999999</v>
      </c>
      <c r="O186" s="62">
        <v>0</v>
      </c>
      <c r="P186" s="30">
        <v>18789721.559999999</v>
      </c>
      <c r="Q186" s="31"/>
      <c r="R186" s="31"/>
      <c r="S186" s="30">
        <v>0</v>
      </c>
      <c r="T186" s="31"/>
      <c r="U186" s="31"/>
      <c r="V186" s="30">
        <v>2765400.07</v>
      </c>
      <c r="W186" s="31"/>
      <c r="X186" s="31"/>
      <c r="Y186" s="30">
        <v>0</v>
      </c>
      <c r="Z186" s="31"/>
      <c r="AA186" s="31"/>
      <c r="AB186" s="62">
        <v>0</v>
      </c>
      <c r="AC186" s="106"/>
      <c r="AD186" s="106"/>
      <c r="AE186" s="30">
        <v>4392.93</v>
      </c>
      <c r="AF186" s="30">
        <v>4392.93</v>
      </c>
      <c r="AG186" s="33">
        <v>2022</v>
      </c>
      <c r="AH186" s="142">
        <v>2343373.81</v>
      </c>
      <c r="AI186" s="5">
        <f t="shared" si="44"/>
        <v>1091305.1400000001</v>
      </c>
      <c r="AJ186" s="5"/>
      <c r="AK186" s="5"/>
      <c r="AL186" s="37">
        <f t="shared" si="46"/>
        <v>0</v>
      </c>
      <c r="AM186" s="62">
        <v>11356723.199999999</v>
      </c>
      <c r="AN186" s="62"/>
      <c r="AO186" s="162">
        <v>5611190.4000000004</v>
      </c>
      <c r="AP186" s="62">
        <v>3761995.2</v>
      </c>
      <c r="AQ186" s="62"/>
      <c r="AR186" s="62"/>
      <c r="AS186" s="62"/>
      <c r="AT186" s="62"/>
      <c r="AU186" s="62"/>
      <c r="AV186" s="62"/>
      <c r="AW186" s="62"/>
      <c r="AX186" s="62"/>
      <c r="AY186" s="62">
        <v>634436.54</v>
      </c>
      <c r="AZ186" s="30">
        <v>24000</v>
      </c>
      <c r="BA186" s="109">
        <v>166776.29</v>
      </c>
      <c r="BB186" s="5">
        <f t="shared" ref="BB186:BB205" si="49">N186-AL186</f>
        <v>21555121.629999999</v>
      </c>
    </row>
    <row r="187" spans="1:54" s="142" customFormat="1" hidden="1">
      <c r="A187" s="104">
        <f t="shared" si="47"/>
        <v>170</v>
      </c>
      <c r="B187" s="101">
        <f t="shared" si="48"/>
        <v>170</v>
      </c>
      <c r="C187" s="101" t="s">
        <v>405</v>
      </c>
      <c r="D187" s="101" t="s">
        <v>421</v>
      </c>
      <c r="E187" s="102" t="s">
        <v>214</v>
      </c>
      <c r="F187" s="102"/>
      <c r="G187" s="102" t="s">
        <v>3</v>
      </c>
      <c r="H187" s="102" t="s">
        <v>169</v>
      </c>
      <c r="I187" s="102" t="s">
        <v>316</v>
      </c>
      <c r="J187" s="62">
        <v>8245.7000000000007</v>
      </c>
      <c r="K187" s="62">
        <v>5795.3</v>
      </c>
      <c r="L187" s="62">
        <v>2450.4</v>
      </c>
      <c r="M187" s="103">
        <v>271</v>
      </c>
      <c r="N187" s="28">
        <f t="shared" si="39"/>
        <v>21555080.009999998</v>
      </c>
      <c r="O187" s="62">
        <v>0</v>
      </c>
      <c r="P187" s="30">
        <v>18913345.629999999</v>
      </c>
      <c r="Q187" s="31"/>
      <c r="R187" s="31"/>
      <c r="S187" s="30">
        <v>0</v>
      </c>
      <c r="T187" s="31"/>
      <c r="U187" s="31"/>
      <c r="V187" s="30">
        <v>2641734.38</v>
      </c>
      <c r="W187" s="31"/>
      <c r="X187" s="31"/>
      <c r="Y187" s="30">
        <v>0</v>
      </c>
      <c r="Z187" s="31"/>
      <c r="AA187" s="31"/>
      <c r="AB187" s="62">
        <v>0</v>
      </c>
      <c r="AC187" s="106"/>
      <c r="AD187" s="106"/>
      <c r="AE187" s="30">
        <v>4392.93</v>
      </c>
      <c r="AF187" s="30">
        <v>4392.93</v>
      </c>
      <c r="AG187" s="33">
        <v>2022</v>
      </c>
      <c r="AH187" s="142">
        <v>2258124.61</v>
      </c>
      <c r="AI187" s="5">
        <f t="shared" si="44"/>
        <v>1091002.2</v>
      </c>
      <c r="AJ187" s="5"/>
      <c r="AK187" s="5"/>
      <c r="AL187" s="37">
        <f t="shared" si="46"/>
        <v>0</v>
      </c>
      <c r="AM187" s="62">
        <v>11356723.199999999</v>
      </c>
      <c r="AN187" s="62"/>
      <c r="AO187" s="162">
        <v>5611190.4000000004</v>
      </c>
      <c r="AP187" s="62">
        <v>3761995.2</v>
      </c>
      <c r="AQ187" s="62"/>
      <c r="AR187" s="62"/>
      <c r="AS187" s="62"/>
      <c r="AT187" s="62"/>
      <c r="AU187" s="62"/>
      <c r="AV187" s="62"/>
      <c r="AW187" s="62"/>
      <c r="AX187" s="62"/>
      <c r="AY187" s="62">
        <v>634394.92000000004</v>
      </c>
      <c r="AZ187" s="30">
        <v>24000</v>
      </c>
      <c r="BA187" s="109">
        <v>166776.29</v>
      </c>
      <c r="BB187" s="5">
        <f t="shared" si="49"/>
        <v>21555080.009999998</v>
      </c>
    </row>
    <row r="188" spans="1:54" hidden="1">
      <c r="A188" s="104">
        <f t="shared" si="47"/>
        <v>171</v>
      </c>
      <c r="B188" s="101">
        <f t="shared" si="48"/>
        <v>171</v>
      </c>
      <c r="C188" s="101" t="s">
        <v>405</v>
      </c>
      <c r="D188" s="101" t="s">
        <v>423</v>
      </c>
      <c r="E188" s="102">
        <v>1989</v>
      </c>
      <c r="F188" s="102">
        <v>2011</v>
      </c>
      <c r="G188" s="102" t="s">
        <v>3</v>
      </c>
      <c r="H188" s="102">
        <v>5</v>
      </c>
      <c r="I188" s="102">
        <v>3</v>
      </c>
      <c r="J188" s="62">
        <v>4149.8500000000004</v>
      </c>
      <c r="K188" s="62">
        <v>2952.15</v>
      </c>
      <c r="L188" s="62">
        <v>1197.7</v>
      </c>
      <c r="M188" s="103">
        <v>135</v>
      </c>
      <c r="N188" s="28">
        <f t="shared" si="39"/>
        <v>3733979.02</v>
      </c>
      <c r="O188" s="62"/>
      <c r="P188" s="30">
        <v>2786045.63</v>
      </c>
      <c r="Q188" s="31"/>
      <c r="R188" s="31"/>
      <c r="S188" s="30"/>
      <c r="T188" s="31"/>
      <c r="U188" s="31"/>
      <c r="V188" s="30">
        <v>947933.39</v>
      </c>
      <c r="W188" s="31"/>
      <c r="X188" s="31"/>
      <c r="Y188" s="30"/>
      <c r="Z188" s="31"/>
      <c r="AA188" s="31"/>
      <c r="AB188" s="62"/>
      <c r="AC188" s="106"/>
      <c r="AD188" s="106"/>
      <c r="AE188" s="30">
        <v>915.32347434244605</v>
      </c>
      <c r="AF188" s="30">
        <v>915.32347434244605</v>
      </c>
      <c r="AG188" s="33">
        <v>2022</v>
      </c>
      <c r="AH188" s="1">
        <v>1238172.51</v>
      </c>
      <c r="AI188" s="5">
        <f t="shared" si="44"/>
        <v>545450.1</v>
      </c>
      <c r="AL188" s="37">
        <f t="shared" si="46"/>
        <v>0</v>
      </c>
      <c r="AM188" s="62">
        <v>3733979.02</v>
      </c>
      <c r="AN188" s="62">
        <v>0</v>
      </c>
      <c r="AO188" s="162">
        <v>0</v>
      </c>
      <c r="AP188" s="62">
        <v>0</v>
      </c>
      <c r="AQ188" s="62">
        <v>0</v>
      </c>
      <c r="AR188" s="62"/>
      <c r="AS188" s="62"/>
      <c r="AT188" s="62">
        <v>0</v>
      </c>
      <c r="AU188" s="62">
        <v>0</v>
      </c>
      <c r="AV188" s="62">
        <v>0</v>
      </c>
      <c r="AW188" s="62">
        <v>0</v>
      </c>
      <c r="AX188" s="62">
        <v>0</v>
      </c>
      <c r="AY188" s="62"/>
      <c r="AZ188" s="30"/>
      <c r="BA188" s="109">
        <v>0</v>
      </c>
      <c r="BB188" s="5">
        <f t="shared" si="49"/>
        <v>3733979.02</v>
      </c>
    </row>
    <row r="189" spans="1:54" hidden="1">
      <c r="A189" s="104">
        <f t="shared" si="47"/>
        <v>172</v>
      </c>
      <c r="B189" s="101">
        <f t="shared" si="48"/>
        <v>172</v>
      </c>
      <c r="C189" s="101" t="s">
        <v>405</v>
      </c>
      <c r="D189" s="101" t="s">
        <v>424</v>
      </c>
      <c r="E189" s="102">
        <v>1986</v>
      </c>
      <c r="F189" s="102">
        <v>2011</v>
      </c>
      <c r="G189" s="102" t="s">
        <v>3</v>
      </c>
      <c r="H189" s="102">
        <v>4</v>
      </c>
      <c r="I189" s="102">
        <v>2</v>
      </c>
      <c r="J189" s="62">
        <v>2202.6</v>
      </c>
      <c r="K189" s="62">
        <v>1541.4</v>
      </c>
      <c r="L189" s="62">
        <v>661.2</v>
      </c>
      <c r="M189" s="103">
        <v>88</v>
      </c>
      <c r="N189" s="28">
        <f t="shared" si="39"/>
        <v>5044368.49</v>
      </c>
      <c r="O189" s="62"/>
      <c r="P189" s="30">
        <v>4921136.82</v>
      </c>
      <c r="Q189" s="31"/>
      <c r="R189" s="31"/>
      <c r="S189" s="30"/>
      <c r="T189" s="31"/>
      <c r="U189" s="31"/>
      <c r="V189" s="30">
        <v>123231.67</v>
      </c>
      <c r="W189" s="31"/>
      <c r="X189" s="31"/>
      <c r="Y189" s="30"/>
      <c r="Z189" s="31"/>
      <c r="AA189" s="31"/>
      <c r="AB189" s="62"/>
      <c r="AC189" s="106"/>
      <c r="AD189" s="106"/>
      <c r="AE189" s="30">
        <v>2306.7559293562199</v>
      </c>
      <c r="AF189" s="30">
        <v>2306.7559293562199</v>
      </c>
      <c r="AG189" s="33">
        <v>2022</v>
      </c>
      <c r="AH189" s="1">
        <v>658488.62</v>
      </c>
      <c r="AI189" s="5">
        <f t="shared" si="44"/>
        <v>292107.59999999998</v>
      </c>
      <c r="AL189" s="37">
        <f t="shared" si="46"/>
        <v>0</v>
      </c>
      <c r="AM189" s="62">
        <v>0</v>
      </c>
      <c r="AN189" s="62">
        <v>0</v>
      </c>
      <c r="AO189" s="162">
        <v>0</v>
      </c>
      <c r="AP189" s="62">
        <v>0</v>
      </c>
      <c r="AQ189" s="62">
        <v>0</v>
      </c>
      <c r="AR189" s="62"/>
      <c r="AS189" s="62"/>
      <c r="AT189" s="62">
        <v>0</v>
      </c>
      <c r="AU189" s="62">
        <v>5044368.49</v>
      </c>
      <c r="AV189" s="62">
        <v>0</v>
      </c>
      <c r="AW189" s="62">
        <v>0</v>
      </c>
      <c r="AX189" s="62">
        <v>0</v>
      </c>
      <c r="AY189" s="62"/>
      <c r="AZ189" s="30"/>
      <c r="BA189" s="40"/>
      <c r="BB189" s="5">
        <f t="shared" si="49"/>
        <v>5044368.49</v>
      </c>
    </row>
    <row r="190" spans="1:54" hidden="1">
      <c r="A190" s="104">
        <f t="shared" si="47"/>
        <v>173</v>
      </c>
      <c r="B190" s="101">
        <f t="shared" si="48"/>
        <v>173</v>
      </c>
      <c r="C190" s="101" t="s">
        <v>159</v>
      </c>
      <c r="D190" s="101" t="s">
        <v>425</v>
      </c>
      <c r="E190" s="102">
        <v>1975</v>
      </c>
      <c r="F190" s="102">
        <v>2010</v>
      </c>
      <c r="G190" s="102" t="s">
        <v>3</v>
      </c>
      <c r="H190" s="102">
        <v>4</v>
      </c>
      <c r="I190" s="102">
        <v>3</v>
      </c>
      <c r="J190" s="62">
        <v>2207.3000000000002</v>
      </c>
      <c r="K190" s="62">
        <v>1539.8</v>
      </c>
      <c r="L190" s="62">
        <v>72.900000000000006</v>
      </c>
      <c r="M190" s="103">
        <v>60</v>
      </c>
      <c r="N190" s="28">
        <f t="shared" si="39"/>
        <v>8528765.6400000006</v>
      </c>
      <c r="O190" s="62"/>
      <c r="P190" s="30">
        <v>305015.03999999998</v>
      </c>
      <c r="Q190" s="31"/>
      <c r="R190" s="31"/>
      <c r="S190" s="30"/>
      <c r="T190" s="31"/>
      <c r="U190" s="31"/>
      <c r="V190" s="30">
        <v>1072056.31</v>
      </c>
      <c r="W190" s="31"/>
      <c r="X190" s="31"/>
      <c r="Y190" s="30">
        <v>7151694.29</v>
      </c>
      <c r="Z190" s="31"/>
      <c r="AA190" s="31"/>
      <c r="AB190" s="62"/>
      <c r="AC190" s="106"/>
      <c r="AD190" s="106"/>
      <c r="AE190" s="30">
        <v>5428.8845968401602</v>
      </c>
      <c r="AF190" s="30">
        <v>5428.8845968401602</v>
      </c>
      <c r="AG190" s="33">
        <v>2022</v>
      </c>
      <c r="AH190" s="1">
        <v>817698.89</v>
      </c>
      <c r="AI190" s="5">
        <f t="shared" si="44"/>
        <v>171931.19999999998</v>
      </c>
      <c r="AJ190" s="5">
        <f>+(K190*10+L190*20)*12*30</f>
        <v>6068160</v>
      </c>
      <c r="AL190" s="37">
        <f t="shared" si="46"/>
        <v>0</v>
      </c>
      <c r="AM190" s="62">
        <v>0</v>
      </c>
      <c r="AN190" s="62">
        <v>0</v>
      </c>
      <c r="AO190" s="162">
        <v>1011024.23</v>
      </c>
      <c r="AP190" s="62">
        <v>0</v>
      </c>
      <c r="AQ190" s="62"/>
      <c r="AR190" s="62"/>
      <c r="AS190" s="62"/>
      <c r="AT190" s="62">
        <v>0</v>
      </c>
      <c r="AU190" s="62">
        <v>0</v>
      </c>
      <c r="AV190" s="62">
        <v>0</v>
      </c>
      <c r="AW190" s="62">
        <v>4376437.43</v>
      </c>
      <c r="AX190" s="62">
        <v>3141303.98</v>
      </c>
      <c r="AY190" s="62"/>
      <c r="AZ190" s="30"/>
      <c r="BA190" s="40"/>
      <c r="BB190" s="5">
        <f t="shared" si="49"/>
        <v>8528765.6400000006</v>
      </c>
    </row>
    <row r="191" spans="1:54" hidden="1">
      <c r="A191" s="104">
        <f t="shared" si="47"/>
        <v>174</v>
      </c>
      <c r="B191" s="101">
        <f t="shared" si="48"/>
        <v>174</v>
      </c>
      <c r="C191" s="101" t="s">
        <v>159</v>
      </c>
      <c r="D191" s="101" t="s">
        <v>427</v>
      </c>
      <c r="E191" s="102">
        <v>1968</v>
      </c>
      <c r="F191" s="102">
        <v>2010</v>
      </c>
      <c r="G191" s="102" t="s">
        <v>3</v>
      </c>
      <c r="H191" s="102">
        <v>2</v>
      </c>
      <c r="I191" s="102">
        <v>1</v>
      </c>
      <c r="J191" s="62">
        <v>395.2</v>
      </c>
      <c r="K191" s="62">
        <v>370.7</v>
      </c>
      <c r="L191" s="62">
        <v>0</v>
      </c>
      <c r="M191" s="103">
        <v>21</v>
      </c>
      <c r="N191" s="28">
        <f t="shared" si="39"/>
        <v>1463481.27</v>
      </c>
      <c r="O191" s="62"/>
      <c r="P191" s="30">
        <v>463367.23</v>
      </c>
      <c r="Q191" s="31"/>
      <c r="R191" s="31"/>
      <c r="S191" s="30"/>
      <c r="T191" s="31"/>
      <c r="U191" s="31"/>
      <c r="V191" s="30">
        <v>167186.07</v>
      </c>
      <c r="W191" s="31"/>
      <c r="X191" s="31"/>
      <c r="Y191" s="30">
        <v>832927.97</v>
      </c>
      <c r="Z191" s="31"/>
      <c r="AA191" s="31"/>
      <c r="AB191" s="62"/>
      <c r="AC191" s="106"/>
      <c r="AD191" s="106"/>
      <c r="AE191" s="30">
        <v>4103.6331896253596</v>
      </c>
      <c r="AF191" s="30">
        <v>4103.6331896253596</v>
      </c>
      <c r="AG191" s="33">
        <v>2022</v>
      </c>
      <c r="AH191" s="1">
        <v>177132.32</v>
      </c>
      <c r="AI191" s="5">
        <f t="shared" si="44"/>
        <v>37811.4</v>
      </c>
      <c r="AJ191" s="5">
        <f>+(K191*10+L191*20)*12*30</f>
        <v>1334520</v>
      </c>
      <c r="AL191" s="37">
        <f t="shared" si="46"/>
        <v>0</v>
      </c>
      <c r="AM191" s="62">
        <v>0</v>
      </c>
      <c r="AN191" s="62">
        <v>0</v>
      </c>
      <c r="AO191" s="162">
        <v>256799.44</v>
      </c>
      <c r="AP191" s="62">
        <v>0</v>
      </c>
      <c r="AQ191" s="62">
        <v>0</v>
      </c>
      <c r="AR191" s="62"/>
      <c r="AS191" s="62"/>
      <c r="AT191" s="62">
        <v>0</v>
      </c>
      <c r="AU191" s="62">
        <v>0</v>
      </c>
      <c r="AV191" s="62">
        <v>0</v>
      </c>
      <c r="AW191" s="62">
        <v>0</v>
      </c>
      <c r="AX191" s="62">
        <v>1206681.83</v>
      </c>
      <c r="AY191" s="62"/>
      <c r="AZ191" s="30"/>
      <c r="BA191" s="40"/>
      <c r="BB191" s="5">
        <f t="shared" si="49"/>
        <v>1463481.27</v>
      </c>
    </row>
    <row r="192" spans="1:54" hidden="1">
      <c r="A192" s="104">
        <f t="shared" si="47"/>
        <v>175</v>
      </c>
      <c r="B192" s="101">
        <f t="shared" si="48"/>
        <v>175</v>
      </c>
      <c r="C192" s="101" t="s">
        <v>162</v>
      </c>
      <c r="D192" s="101" t="s">
        <v>429</v>
      </c>
      <c r="E192" s="102">
        <v>1987</v>
      </c>
      <c r="F192" s="102">
        <v>1987</v>
      </c>
      <c r="G192" s="102" t="s">
        <v>3</v>
      </c>
      <c r="H192" s="102">
        <v>2</v>
      </c>
      <c r="I192" s="102">
        <v>2</v>
      </c>
      <c r="J192" s="62">
        <v>910.2</v>
      </c>
      <c r="K192" s="62">
        <v>783.4</v>
      </c>
      <c r="L192" s="62">
        <v>0</v>
      </c>
      <c r="M192" s="103">
        <v>32</v>
      </c>
      <c r="N192" s="28">
        <f t="shared" si="39"/>
        <v>749666.39409999992</v>
      </c>
      <c r="O192" s="62"/>
      <c r="P192" s="30"/>
      <c r="Q192" s="31"/>
      <c r="R192" s="31"/>
      <c r="S192" s="30"/>
      <c r="T192" s="31"/>
      <c r="U192" s="31"/>
      <c r="V192" s="30">
        <v>398689.43</v>
      </c>
      <c r="W192" s="31"/>
      <c r="X192" s="31"/>
      <c r="Y192" s="30">
        <v>350976.96409999998</v>
      </c>
      <c r="Z192" s="31"/>
      <c r="AA192" s="31"/>
      <c r="AB192" s="62"/>
      <c r="AC192" s="106"/>
      <c r="AD192" s="106"/>
      <c r="AE192" s="30">
        <v>975.70685498884302</v>
      </c>
      <c r="AF192" s="30">
        <v>975.70685498884302</v>
      </c>
      <c r="AG192" s="33">
        <v>2022</v>
      </c>
      <c r="AH192" s="1">
        <v>318782.63</v>
      </c>
      <c r="AI192" s="5">
        <f t="shared" si="44"/>
        <v>79906.8</v>
      </c>
      <c r="AJ192" s="5">
        <f>+(K192*10+L192*20)*12*30</f>
        <v>2820240</v>
      </c>
      <c r="AL192" s="37">
        <f t="shared" si="46"/>
        <v>0</v>
      </c>
      <c r="AM192" s="62">
        <v>0</v>
      </c>
      <c r="AN192" s="62">
        <v>0</v>
      </c>
      <c r="AO192" s="162">
        <v>664753.06999999995</v>
      </c>
      <c r="AP192" s="62"/>
      <c r="AQ192" s="62">
        <v>0</v>
      </c>
      <c r="AR192" s="62"/>
      <c r="AS192" s="62"/>
      <c r="AT192" s="62">
        <v>0</v>
      </c>
      <c r="AU192" s="62">
        <v>0</v>
      </c>
      <c r="AV192" s="62">
        <v>0</v>
      </c>
      <c r="AW192" s="62">
        <v>0</v>
      </c>
      <c r="AX192" s="62">
        <v>0</v>
      </c>
      <c r="AY192" s="62">
        <v>77193.930999999997</v>
      </c>
      <c r="AZ192" s="30">
        <v>7719.3931000000002</v>
      </c>
      <c r="BA192" s="40"/>
      <c r="BB192" s="5">
        <f t="shared" si="49"/>
        <v>749666.39409999992</v>
      </c>
    </row>
    <row r="193" spans="1:54" hidden="1">
      <c r="A193" s="104">
        <f t="shared" si="47"/>
        <v>176</v>
      </c>
      <c r="B193" s="101">
        <f t="shared" si="48"/>
        <v>176</v>
      </c>
      <c r="C193" s="101" t="s">
        <v>162</v>
      </c>
      <c r="D193" s="101" t="s">
        <v>431</v>
      </c>
      <c r="E193" s="102">
        <v>1979</v>
      </c>
      <c r="F193" s="102">
        <v>2010</v>
      </c>
      <c r="G193" s="102" t="s">
        <v>3</v>
      </c>
      <c r="H193" s="102">
        <v>5</v>
      </c>
      <c r="I193" s="102">
        <v>2</v>
      </c>
      <c r="J193" s="62">
        <v>1745.5</v>
      </c>
      <c r="K193" s="62">
        <v>1575.1</v>
      </c>
      <c r="L193" s="62">
        <v>0</v>
      </c>
      <c r="M193" s="103">
        <v>61</v>
      </c>
      <c r="N193" s="28">
        <f t="shared" si="39"/>
        <v>346555.42</v>
      </c>
      <c r="O193" s="62"/>
      <c r="P193" s="30"/>
      <c r="Q193" s="31"/>
      <c r="R193" s="31"/>
      <c r="S193" s="30"/>
      <c r="T193" s="31"/>
      <c r="U193" s="31"/>
      <c r="V193" s="30">
        <v>346555.42</v>
      </c>
      <c r="W193" s="31"/>
      <c r="X193" s="31"/>
      <c r="Y193" s="30"/>
      <c r="Z193" s="31"/>
      <c r="AA193" s="31"/>
      <c r="AB193" s="62"/>
      <c r="AC193" s="106"/>
      <c r="AD193" s="106"/>
      <c r="AE193" s="30">
        <v>231.787346733795</v>
      </c>
      <c r="AF193" s="30">
        <v>231.787346733795</v>
      </c>
      <c r="AG193" s="33">
        <v>2022</v>
      </c>
      <c r="AH193" s="1">
        <f>667423.91-106073.7</f>
        <v>561350.21000000008</v>
      </c>
      <c r="AI193" s="5">
        <f t="shared" si="44"/>
        <v>160660.19999999998</v>
      </c>
      <c r="AJ193" s="5">
        <f>+(K193*10+L193*20)*12*30</f>
        <v>5670360</v>
      </c>
      <c r="AL193" s="37">
        <f t="shared" si="46"/>
        <v>0</v>
      </c>
      <c r="AM193" s="62">
        <v>0</v>
      </c>
      <c r="AN193" s="62">
        <v>0</v>
      </c>
      <c r="AO193" s="162">
        <v>0</v>
      </c>
      <c r="AP193" s="62">
        <v>346555.42</v>
      </c>
      <c r="AQ193" s="62"/>
      <c r="AR193" s="62"/>
      <c r="AS193" s="62"/>
      <c r="AT193" s="62">
        <v>0</v>
      </c>
      <c r="AU193" s="62">
        <v>0</v>
      </c>
      <c r="AV193" s="62">
        <v>0</v>
      </c>
      <c r="AW193" s="62">
        <v>0</v>
      </c>
      <c r="AX193" s="62">
        <v>0</v>
      </c>
      <c r="AY193" s="62"/>
      <c r="AZ193" s="30"/>
      <c r="BA193" s="40"/>
      <c r="BB193" s="5">
        <f t="shared" si="49"/>
        <v>346555.42</v>
      </c>
    </row>
    <row r="194" spans="1:54" hidden="1">
      <c r="A194" s="104">
        <f t="shared" si="47"/>
        <v>177</v>
      </c>
      <c r="B194" s="101">
        <f t="shared" si="48"/>
        <v>177</v>
      </c>
      <c r="C194" s="101" t="s">
        <v>162</v>
      </c>
      <c r="D194" s="101" t="s">
        <v>432</v>
      </c>
      <c r="E194" s="102">
        <v>1979</v>
      </c>
      <c r="F194" s="102">
        <v>1979</v>
      </c>
      <c r="G194" s="102" t="s">
        <v>3</v>
      </c>
      <c r="H194" s="102">
        <v>5</v>
      </c>
      <c r="I194" s="102">
        <v>3</v>
      </c>
      <c r="J194" s="62">
        <v>4465.2700000000004</v>
      </c>
      <c r="K194" s="62">
        <v>4027.37</v>
      </c>
      <c r="L194" s="62">
        <v>437.9</v>
      </c>
      <c r="M194" s="103">
        <v>123</v>
      </c>
      <c r="N194" s="28">
        <f t="shared" si="39"/>
        <v>8345806.4000000004</v>
      </c>
      <c r="O194" s="62"/>
      <c r="P194" s="30"/>
      <c r="Q194" s="31"/>
      <c r="R194" s="31"/>
      <c r="S194" s="30"/>
      <c r="T194" s="31"/>
      <c r="U194" s="31"/>
      <c r="V194" s="30">
        <v>1518552.78</v>
      </c>
      <c r="W194" s="31"/>
      <c r="X194" s="31"/>
      <c r="Y194" s="30">
        <v>6827253.6200000001</v>
      </c>
      <c r="Z194" s="31"/>
      <c r="AA194" s="31"/>
      <c r="AB194" s="62"/>
      <c r="AC194" s="106"/>
      <c r="AD194" s="106"/>
      <c r="AE194" s="30">
        <v>1927.34626571526</v>
      </c>
      <c r="AF194" s="30">
        <v>1927.34626571526</v>
      </c>
      <c r="AG194" s="33">
        <v>2022</v>
      </c>
      <c r="AH194" s="1">
        <f>2029381.74-810307.04</f>
        <v>1219074.7</v>
      </c>
      <c r="AI194" s="5">
        <f t="shared" si="44"/>
        <v>500123.33999999991</v>
      </c>
      <c r="AJ194" s="5">
        <f>+(K194*10+L194*20)*12*30-25438.56</f>
        <v>17625973.439999998</v>
      </c>
      <c r="AL194" s="37">
        <f t="shared" si="46"/>
        <v>0</v>
      </c>
      <c r="AM194" s="62">
        <v>0</v>
      </c>
      <c r="AN194" s="62">
        <v>0</v>
      </c>
      <c r="AO194" s="162">
        <v>0</v>
      </c>
      <c r="AP194" s="62"/>
      <c r="AQ194" s="62">
        <v>0</v>
      </c>
      <c r="AR194" s="62"/>
      <c r="AS194" s="62"/>
      <c r="AT194" s="62">
        <v>0</v>
      </c>
      <c r="AU194" s="62">
        <v>8345806.4000000004</v>
      </c>
      <c r="AV194" s="62">
        <v>0</v>
      </c>
      <c r="AW194" s="62">
        <v>0</v>
      </c>
      <c r="AX194" s="62">
        <v>0</v>
      </c>
      <c r="AY194" s="62"/>
      <c r="AZ194" s="30"/>
      <c r="BA194" s="40"/>
      <c r="BB194" s="5">
        <f t="shared" si="49"/>
        <v>8345806.4000000004</v>
      </c>
    </row>
    <row r="195" spans="1:54" hidden="1">
      <c r="A195" s="104">
        <f t="shared" si="47"/>
        <v>178</v>
      </c>
      <c r="B195" s="101">
        <f t="shared" si="48"/>
        <v>178</v>
      </c>
      <c r="C195" s="101" t="s">
        <v>162</v>
      </c>
      <c r="D195" s="101" t="s">
        <v>433</v>
      </c>
      <c r="E195" s="102">
        <v>1994</v>
      </c>
      <c r="F195" s="102">
        <v>2011</v>
      </c>
      <c r="G195" s="102" t="s">
        <v>3</v>
      </c>
      <c r="H195" s="102">
        <v>5</v>
      </c>
      <c r="I195" s="102">
        <v>2</v>
      </c>
      <c r="J195" s="62">
        <v>1801.3</v>
      </c>
      <c r="K195" s="62">
        <v>1628.1</v>
      </c>
      <c r="L195" s="62">
        <v>0</v>
      </c>
      <c r="M195" s="103">
        <v>70</v>
      </c>
      <c r="N195" s="28">
        <f t="shared" si="39"/>
        <v>363946.04</v>
      </c>
      <c r="O195" s="62"/>
      <c r="P195" s="30"/>
      <c r="Q195" s="31"/>
      <c r="R195" s="31"/>
      <c r="S195" s="30"/>
      <c r="T195" s="31"/>
      <c r="U195" s="31"/>
      <c r="V195" s="30">
        <v>363946.04</v>
      </c>
      <c r="W195" s="31"/>
      <c r="X195" s="31"/>
      <c r="Y195" s="30"/>
      <c r="Z195" s="31"/>
      <c r="AA195" s="31"/>
      <c r="AB195" s="62"/>
      <c r="AC195" s="106"/>
      <c r="AD195" s="106"/>
      <c r="AE195" s="30">
        <v>295.92407118292499</v>
      </c>
      <c r="AF195" s="30">
        <v>295.92407118292499</v>
      </c>
      <c r="AG195" s="33">
        <v>2022</v>
      </c>
      <c r="AH195" s="1">
        <v>668373.47</v>
      </c>
      <c r="AI195" s="5">
        <f t="shared" si="44"/>
        <v>166066.19999999998</v>
      </c>
      <c r="AJ195" s="5">
        <f>+(K195*10+L195*20)*12*30</f>
        <v>5861160</v>
      </c>
      <c r="AL195" s="37">
        <f t="shared" si="46"/>
        <v>0</v>
      </c>
      <c r="AM195" s="62"/>
      <c r="AN195" s="62">
        <v>0</v>
      </c>
      <c r="AO195" s="162"/>
      <c r="AP195" s="62">
        <v>363946.04</v>
      </c>
      <c r="AQ195" s="62">
        <v>0</v>
      </c>
      <c r="AR195" s="62"/>
      <c r="AS195" s="62"/>
      <c r="AT195" s="62">
        <v>0</v>
      </c>
      <c r="AU195" s="62">
        <v>0</v>
      </c>
      <c r="AV195" s="62">
        <v>0</v>
      </c>
      <c r="AW195" s="62">
        <v>0</v>
      </c>
      <c r="AX195" s="62">
        <v>0</v>
      </c>
      <c r="AY195" s="62"/>
      <c r="AZ195" s="30"/>
      <c r="BA195" s="40"/>
      <c r="BB195" s="5">
        <f t="shared" si="49"/>
        <v>363946.04</v>
      </c>
    </row>
    <row r="196" spans="1:54" hidden="1">
      <c r="A196" s="104">
        <f t="shared" si="47"/>
        <v>179</v>
      </c>
      <c r="B196" s="101">
        <f t="shared" si="48"/>
        <v>179</v>
      </c>
      <c r="C196" s="101" t="s">
        <v>162</v>
      </c>
      <c r="D196" s="101" t="s">
        <v>435</v>
      </c>
      <c r="E196" s="102">
        <v>1979</v>
      </c>
      <c r="F196" s="102">
        <v>2009</v>
      </c>
      <c r="G196" s="102" t="s">
        <v>3</v>
      </c>
      <c r="H196" s="102">
        <v>4</v>
      </c>
      <c r="I196" s="102">
        <v>4</v>
      </c>
      <c r="J196" s="62">
        <v>4071.8</v>
      </c>
      <c r="K196" s="62">
        <v>3488.7</v>
      </c>
      <c r="L196" s="62">
        <v>0</v>
      </c>
      <c r="M196" s="103">
        <v>160</v>
      </c>
      <c r="N196" s="28">
        <f t="shared" si="39"/>
        <v>1321350.8500000001</v>
      </c>
      <c r="O196" s="62"/>
      <c r="P196" s="30"/>
      <c r="Q196" s="31"/>
      <c r="R196" s="31"/>
      <c r="S196" s="30"/>
      <c r="T196" s="31"/>
      <c r="U196" s="31"/>
      <c r="V196" s="30">
        <v>1187619.0900000001</v>
      </c>
      <c r="W196" s="31"/>
      <c r="X196" s="31"/>
      <c r="Y196" s="30">
        <v>133731.76</v>
      </c>
      <c r="Z196" s="31"/>
      <c r="AA196" s="31"/>
      <c r="AB196" s="62"/>
      <c r="AC196" s="106"/>
      <c r="AD196" s="106"/>
      <c r="AE196" s="30">
        <v>395.519752673087</v>
      </c>
      <c r="AF196" s="30">
        <v>395.519752673087</v>
      </c>
      <c r="AG196" s="33">
        <v>2022</v>
      </c>
      <c r="AH196" s="1">
        <f>1427606.19-595834.5</f>
        <v>831771.69</v>
      </c>
      <c r="AI196" s="5">
        <f t="shared" si="44"/>
        <v>355847.39999999997</v>
      </c>
      <c r="AJ196" s="5">
        <f>+(K196*10+L196*20)*12*30-93757.36-12468</f>
        <v>12453094.640000001</v>
      </c>
      <c r="AL196" s="37">
        <f t="shared" si="46"/>
        <v>0</v>
      </c>
      <c r="AM196" s="62">
        <v>0</v>
      </c>
      <c r="AN196" s="62">
        <v>0</v>
      </c>
      <c r="AO196" s="162">
        <v>0</v>
      </c>
      <c r="AP196" s="62">
        <v>1321350.8500000001</v>
      </c>
      <c r="AQ196" s="62"/>
      <c r="AR196" s="62"/>
      <c r="AS196" s="62"/>
      <c r="AT196" s="62">
        <v>0</v>
      </c>
      <c r="AU196" s="62">
        <v>0</v>
      </c>
      <c r="AV196" s="62">
        <v>0</v>
      </c>
      <c r="AW196" s="62">
        <v>0</v>
      </c>
      <c r="AX196" s="62">
        <v>0</v>
      </c>
      <c r="AY196" s="62"/>
      <c r="AZ196" s="30"/>
      <c r="BA196" s="40"/>
      <c r="BB196" s="5">
        <f t="shared" si="49"/>
        <v>1321350.8500000001</v>
      </c>
    </row>
    <row r="197" spans="1:54" hidden="1">
      <c r="A197" s="104">
        <f t="shared" si="47"/>
        <v>180</v>
      </c>
      <c r="B197" s="101">
        <f t="shared" si="48"/>
        <v>180</v>
      </c>
      <c r="C197" s="101" t="s">
        <v>162</v>
      </c>
      <c r="D197" s="101" t="s">
        <v>437</v>
      </c>
      <c r="E197" s="102">
        <v>1973</v>
      </c>
      <c r="F197" s="102">
        <v>2010</v>
      </c>
      <c r="G197" s="102" t="s">
        <v>3</v>
      </c>
      <c r="H197" s="102">
        <v>5</v>
      </c>
      <c r="I197" s="102">
        <v>4</v>
      </c>
      <c r="J197" s="62">
        <v>3449.3</v>
      </c>
      <c r="K197" s="62">
        <v>3117.4</v>
      </c>
      <c r="L197" s="62">
        <v>171.7</v>
      </c>
      <c r="M197" s="103">
        <v>147</v>
      </c>
      <c r="N197" s="28">
        <f t="shared" si="39"/>
        <v>3253286.4499999979</v>
      </c>
      <c r="O197" s="62"/>
      <c r="P197" s="30">
        <v>731499.76793584798</v>
      </c>
      <c r="Q197" s="31"/>
      <c r="R197" s="31"/>
      <c r="S197" s="30"/>
      <c r="T197" s="31"/>
      <c r="U197" s="31"/>
      <c r="V197" s="30">
        <v>299122.24749524001</v>
      </c>
      <c r="W197" s="31"/>
      <c r="X197" s="31"/>
      <c r="Y197" s="30">
        <v>2222664.4345689099</v>
      </c>
      <c r="Z197" s="31"/>
      <c r="AA197" s="31"/>
      <c r="AB197" s="62"/>
      <c r="AC197" s="106"/>
      <c r="AD197" s="106"/>
      <c r="AE197" s="30">
        <v>1080.05493827954</v>
      </c>
      <c r="AF197" s="30">
        <v>1080.05493827954</v>
      </c>
      <c r="AG197" s="33">
        <v>2022</v>
      </c>
      <c r="AH197" s="1">
        <f>1240910.11-689425.44-282620.64</f>
        <v>268864.03000000014</v>
      </c>
      <c r="AI197" s="5">
        <f t="shared" si="44"/>
        <v>353001.6</v>
      </c>
      <c r="AJ197" s="5">
        <f>+(K197*10+L197*20)*12*30-3027646.57-12468.88</f>
        <v>9418764.5499999989</v>
      </c>
      <c r="AL197" s="37">
        <f t="shared" si="46"/>
        <v>0</v>
      </c>
      <c r="AM197" s="62"/>
      <c r="AN197" s="62">
        <v>0</v>
      </c>
      <c r="AO197" s="162">
        <v>0</v>
      </c>
      <c r="AP197" s="62">
        <v>0</v>
      </c>
      <c r="AQ197" s="62"/>
      <c r="AR197" s="62"/>
      <c r="AS197" s="62"/>
      <c r="AT197" s="62">
        <v>0</v>
      </c>
      <c r="AU197" s="62">
        <v>0</v>
      </c>
      <c r="AV197" s="62">
        <v>0</v>
      </c>
      <c r="AW197" s="62"/>
      <c r="AX197" s="62">
        <v>3253286.45</v>
      </c>
      <c r="AY197" s="62"/>
      <c r="AZ197" s="30"/>
      <c r="BA197" s="40"/>
      <c r="BB197" s="5">
        <f t="shared" si="49"/>
        <v>3253286.4499999979</v>
      </c>
    </row>
    <row r="198" spans="1:54" hidden="1">
      <c r="A198" s="104">
        <f t="shared" si="47"/>
        <v>181</v>
      </c>
      <c r="B198" s="101">
        <f t="shared" si="48"/>
        <v>181</v>
      </c>
      <c r="C198" s="101" t="s">
        <v>162</v>
      </c>
      <c r="D198" s="101" t="s">
        <v>438</v>
      </c>
      <c r="E198" s="102">
        <v>1985</v>
      </c>
      <c r="F198" s="102">
        <v>2011</v>
      </c>
      <c r="G198" s="102" t="s">
        <v>3</v>
      </c>
      <c r="H198" s="102">
        <v>5</v>
      </c>
      <c r="I198" s="102">
        <v>2</v>
      </c>
      <c r="J198" s="62">
        <v>1696.6</v>
      </c>
      <c r="K198" s="62">
        <v>1532.2</v>
      </c>
      <c r="L198" s="62">
        <v>54.4</v>
      </c>
      <c r="M198" s="103">
        <v>58</v>
      </c>
      <c r="N198" s="28">
        <f t="shared" si="39"/>
        <v>1159407.5899999999</v>
      </c>
      <c r="O198" s="62"/>
      <c r="P198" s="30">
        <v>0</v>
      </c>
      <c r="Q198" s="31"/>
      <c r="R198" s="31"/>
      <c r="S198" s="30"/>
      <c r="T198" s="31"/>
      <c r="U198" s="31"/>
      <c r="V198" s="30">
        <v>827589.23</v>
      </c>
      <c r="W198" s="31"/>
      <c r="X198" s="31"/>
      <c r="Y198" s="30">
        <v>331818.36</v>
      </c>
      <c r="Z198" s="31"/>
      <c r="AA198" s="31"/>
      <c r="AB198" s="62"/>
      <c r="AC198" s="106"/>
      <c r="AD198" s="106"/>
      <c r="AE198" s="30">
        <v>743.07984842475696</v>
      </c>
      <c r="AF198" s="30">
        <v>743.07984842475696</v>
      </c>
      <c r="AG198" s="33">
        <v>2022</v>
      </c>
      <c r="AH198" s="1">
        <v>660207.23</v>
      </c>
      <c r="AI198" s="5">
        <f t="shared" si="44"/>
        <v>167382</v>
      </c>
      <c r="AJ198" s="5">
        <f>+(K198*10+L198*20)*12*30</f>
        <v>5907600</v>
      </c>
      <c r="AL198" s="37">
        <f t="shared" si="46"/>
        <v>0</v>
      </c>
      <c r="AM198" s="62"/>
      <c r="AN198" s="62"/>
      <c r="AO198" s="162">
        <v>667653.5</v>
      </c>
      <c r="AP198" s="62">
        <v>491754.09</v>
      </c>
      <c r="AQ198" s="62"/>
      <c r="AR198" s="62"/>
      <c r="AS198" s="62"/>
      <c r="AT198" s="62">
        <v>0</v>
      </c>
      <c r="AU198" s="62">
        <v>0</v>
      </c>
      <c r="AV198" s="62">
        <v>0</v>
      </c>
      <c r="AW198" s="62">
        <v>0</v>
      </c>
      <c r="AX198" s="62">
        <v>0</v>
      </c>
      <c r="AY198" s="62"/>
      <c r="AZ198" s="30"/>
      <c r="BA198" s="40"/>
      <c r="BB198" s="5">
        <f t="shared" si="49"/>
        <v>1159407.5899999999</v>
      </c>
    </row>
    <row r="199" spans="1:54" hidden="1">
      <c r="A199" s="104">
        <f t="shared" si="47"/>
        <v>182</v>
      </c>
      <c r="B199" s="101">
        <f t="shared" si="48"/>
        <v>182</v>
      </c>
      <c r="C199" s="101" t="s">
        <v>162</v>
      </c>
      <c r="D199" s="101" t="s">
        <v>439</v>
      </c>
      <c r="E199" s="102">
        <v>1983</v>
      </c>
      <c r="F199" s="102">
        <v>2012</v>
      </c>
      <c r="G199" s="102" t="s">
        <v>3</v>
      </c>
      <c r="H199" s="102">
        <v>4</v>
      </c>
      <c r="I199" s="102">
        <v>6</v>
      </c>
      <c r="J199" s="62">
        <v>5867</v>
      </c>
      <c r="K199" s="62">
        <v>4942.2</v>
      </c>
      <c r="L199" s="62">
        <v>35.200000000000003</v>
      </c>
      <c r="M199" s="103">
        <v>212</v>
      </c>
      <c r="N199" s="28">
        <f t="shared" si="39"/>
        <v>1990765.32</v>
      </c>
      <c r="O199" s="62"/>
      <c r="P199" s="30"/>
      <c r="Q199" s="31"/>
      <c r="R199" s="31"/>
      <c r="S199" s="30"/>
      <c r="T199" s="31"/>
      <c r="U199" s="31"/>
      <c r="V199" s="30">
        <v>1940839.38</v>
      </c>
      <c r="W199" s="31"/>
      <c r="X199" s="31"/>
      <c r="Y199" s="30">
        <v>49925.940000000199</v>
      </c>
      <c r="Z199" s="31"/>
      <c r="AA199" s="31"/>
      <c r="AB199" s="62"/>
      <c r="AC199" s="106"/>
      <c r="AD199" s="106"/>
      <c r="AE199" s="30">
        <v>411.76428081512398</v>
      </c>
      <c r="AF199" s="30">
        <v>411.76428081512398</v>
      </c>
      <c r="AG199" s="33">
        <v>2022</v>
      </c>
      <c r="AH199" s="1">
        <f>2070107.33-640553.15</f>
        <v>1429554.1800000002</v>
      </c>
      <c r="AI199" s="5">
        <f t="shared" si="44"/>
        <v>511285.2</v>
      </c>
      <c r="AJ199" s="5">
        <f>+(K199*10+L199*20)*12*30-929957.98</f>
        <v>17115402.02</v>
      </c>
      <c r="AL199" s="37">
        <f t="shared" si="46"/>
        <v>0</v>
      </c>
      <c r="AM199" s="62">
        <v>0</v>
      </c>
      <c r="AN199" s="62">
        <v>0</v>
      </c>
      <c r="AO199" s="162"/>
      <c r="AP199" s="62">
        <v>1990765.32</v>
      </c>
      <c r="AQ199" s="62"/>
      <c r="AR199" s="62"/>
      <c r="AS199" s="62"/>
      <c r="AT199" s="62">
        <v>0</v>
      </c>
      <c r="AU199" s="62">
        <v>0</v>
      </c>
      <c r="AV199" s="62">
        <v>0</v>
      </c>
      <c r="AW199" s="62">
        <v>0</v>
      </c>
      <c r="AX199" s="62">
        <v>0</v>
      </c>
      <c r="AY199" s="62"/>
      <c r="AZ199" s="30"/>
      <c r="BA199" s="40"/>
      <c r="BB199" s="5">
        <f t="shared" si="49"/>
        <v>1990765.32</v>
      </c>
    </row>
    <row r="200" spans="1:54" hidden="1">
      <c r="A200" s="104">
        <f t="shared" si="47"/>
        <v>183</v>
      </c>
      <c r="B200" s="101">
        <f t="shared" si="48"/>
        <v>183</v>
      </c>
      <c r="C200" s="101" t="s">
        <v>162</v>
      </c>
      <c r="D200" s="101" t="s">
        <v>442</v>
      </c>
      <c r="E200" s="102">
        <v>1969</v>
      </c>
      <c r="F200" s="102">
        <v>2009</v>
      </c>
      <c r="G200" s="102" t="s">
        <v>3</v>
      </c>
      <c r="H200" s="102">
        <v>4</v>
      </c>
      <c r="I200" s="102">
        <v>4</v>
      </c>
      <c r="J200" s="62">
        <v>2719.1</v>
      </c>
      <c r="K200" s="62">
        <v>2454</v>
      </c>
      <c r="L200" s="62">
        <v>66.5</v>
      </c>
      <c r="M200" s="103">
        <v>120</v>
      </c>
      <c r="N200" s="28">
        <f t="shared" si="39"/>
        <v>6113601.8799999999</v>
      </c>
      <c r="O200" s="62"/>
      <c r="P200" s="30"/>
      <c r="Q200" s="31"/>
      <c r="R200" s="31"/>
      <c r="S200" s="30"/>
      <c r="T200" s="31"/>
      <c r="U200" s="31"/>
      <c r="V200" s="30">
        <v>1163543.43</v>
      </c>
      <c r="W200" s="31"/>
      <c r="X200" s="31"/>
      <c r="Y200" s="30">
        <v>4950058.45</v>
      </c>
      <c r="Z200" s="31"/>
      <c r="AA200" s="31"/>
      <c r="AB200" s="62"/>
      <c r="AC200" s="106"/>
      <c r="AD200" s="106"/>
      <c r="AE200" s="30">
        <v>2486.0019882340798</v>
      </c>
      <c r="AF200" s="30">
        <v>2486.0019882340798</v>
      </c>
      <c r="AG200" s="33">
        <v>2022</v>
      </c>
      <c r="AH200" s="1">
        <v>882910.83</v>
      </c>
      <c r="AI200" s="5">
        <f t="shared" si="44"/>
        <v>263874</v>
      </c>
      <c r="AJ200" s="5">
        <f>+(K200*10+L200*20)*12*30</f>
        <v>9313200</v>
      </c>
      <c r="AL200" s="37">
        <f t="shared" si="46"/>
        <v>0</v>
      </c>
      <c r="AM200" s="62">
        <v>0</v>
      </c>
      <c r="AN200" s="62">
        <v>0</v>
      </c>
      <c r="AO200" s="162">
        <v>0</v>
      </c>
      <c r="AP200" s="62">
        <v>0</v>
      </c>
      <c r="AQ200" s="62"/>
      <c r="AR200" s="62"/>
      <c r="AS200" s="62"/>
      <c r="AT200" s="62">
        <v>0</v>
      </c>
      <c r="AU200" s="62">
        <v>0</v>
      </c>
      <c r="AV200" s="62">
        <v>0</v>
      </c>
      <c r="AW200" s="62">
        <v>6113601.8799999999</v>
      </c>
      <c r="AX200" s="62"/>
      <c r="AY200" s="62"/>
      <c r="AZ200" s="30"/>
      <c r="BA200" s="40"/>
      <c r="BB200" s="5">
        <f t="shared" si="49"/>
        <v>6113601.8799999999</v>
      </c>
    </row>
    <row r="201" spans="1:54" hidden="1">
      <c r="A201" s="104">
        <f t="shared" si="47"/>
        <v>184</v>
      </c>
      <c r="B201" s="101">
        <f t="shared" si="48"/>
        <v>184</v>
      </c>
      <c r="C201" s="101" t="s">
        <v>162</v>
      </c>
      <c r="D201" s="101" t="s">
        <v>444</v>
      </c>
      <c r="E201" s="102">
        <v>1967</v>
      </c>
      <c r="F201" s="102">
        <v>2008</v>
      </c>
      <c r="G201" s="102" t="s">
        <v>3</v>
      </c>
      <c r="H201" s="102">
        <v>4</v>
      </c>
      <c r="I201" s="102">
        <v>4</v>
      </c>
      <c r="J201" s="62">
        <v>2789.5</v>
      </c>
      <c r="K201" s="62">
        <v>2436</v>
      </c>
      <c r="L201" s="62">
        <v>98.5</v>
      </c>
      <c r="M201" s="103">
        <v>116</v>
      </c>
      <c r="N201" s="28">
        <f t="shared" si="39"/>
        <v>18044694.390000001</v>
      </c>
      <c r="O201" s="62"/>
      <c r="P201" s="30">
        <v>546289.42000000004</v>
      </c>
      <c r="Q201" s="31"/>
      <c r="R201" s="31"/>
      <c r="S201" s="30"/>
      <c r="T201" s="31"/>
      <c r="U201" s="31"/>
      <c r="V201" s="30">
        <v>1107518.53</v>
      </c>
      <c r="W201" s="31"/>
      <c r="X201" s="31"/>
      <c r="Y201" s="30">
        <v>9478800</v>
      </c>
      <c r="Z201" s="31"/>
      <c r="AA201" s="31"/>
      <c r="AB201" s="62">
        <v>6912086.4400000004</v>
      </c>
      <c r="AC201" s="106"/>
      <c r="AD201" s="106"/>
      <c r="AE201" s="30">
        <v>7203.4476670049298</v>
      </c>
      <c r="AF201" s="30">
        <v>7203.4476670049298</v>
      </c>
      <c r="AG201" s="33">
        <v>2022</v>
      </c>
      <c r="AH201" s="1">
        <v>996118.85</v>
      </c>
      <c r="AI201" s="5">
        <f t="shared" si="44"/>
        <v>268566</v>
      </c>
      <c r="AJ201" s="5">
        <f>+(K201*10+L201*20)*12*30</f>
        <v>9478800</v>
      </c>
      <c r="AL201" s="37">
        <f t="shared" si="46"/>
        <v>0</v>
      </c>
      <c r="AM201" s="62">
        <v>4878537.09</v>
      </c>
      <c r="AN201" s="62">
        <v>0</v>
      </c>
      <c r="AO201" s="162">
        <v>0</v>
      </c>
      <c r="AP201" s="62">
        <v>0</v>
      </c>
      <c r="AQ201" s="62"/>
      <c r="AR201" s="62"/>
      <c r="AS201" s="62"/>
      <c r="AT201" s="62">
        <v>0</v>
      </c>
      <c r="AU201" s="62">
        <v>0</v>
      </c>
      <c r="AV201" s="62">
        <v>0</v>
      </c>
      <c r="AW201" s="62">
        <v>5994057.4199999999</v>
      </c>
      <c r="AX201" s="62">
        <v>7172099.8799999999</v>
      </c>
      <c r="AY201" s="62"/>
      <c r="AZ201" s="30"/>
      <c r="BA201" s="40"/>
      <c r="BB201" s="5">
        <f t="shared" si="49"/>
        <v>18044694.390000001</v>
      </c>
    </row>
    <row r="202" spans="1:54" hidden="1">
      <c r="A202" s="104">
        <f t="shared" si="47"/>
        <v>185</v>
      </c>
      <c r="B202" s="101">
        <f t="shared" si="48"/>
        <v>185</v>
      </c>
      <c r="C202" s="101" t="s">
        <v>162</v>
      </c>
      <c r="D202" s="101" t="s">
        <v>446</v>
      </c>
      <c r="E202" s="102">
        <v>1975</v>
      </c>
      <c r="F202" s="102">
        <v>1985</v>
      </c>
      <c r="G202" s="102" t="s">
        <v>3</v>
      </c>
      <c r="H202" s="102">
        <v>4</v>
      </c>
      <c r="I202" s="102">
        <v>1</v>
      </c>
      <c r="J202" s="62">
        <v>2576.4</v>
      </c>
      <c r="K202" s="62">
        <v>1895.4</v>
      </c>
      <c r="L202" s="62">
        <v>169.5</v>
      </c>
      <c r="M202" s="103">
        <v>92</v>
      </c>
      <c r="N202" s="28">
        <f t="shared" si="39"/>
        <v>1207654.75</v>
      </c>
      <c r="O202" s="62"/>
      <c r="P202" s="30"/>
      <c r="Q202" s="31"/>
      <c r="R202" s="31"/>
      <c r="S202" s="30"/>
      <c r="T202" s="31"/>
      <c r="U202" s="31"/>
      <c r="V202" s="30">
        <v>1018495.61</v>
      </c>
      <c r="W202" s="31"/>
      <c r="X202" s="31"/>
      <c r="Y202" s="30">
        <v>189159.14</v>
      </c>
      <c r="Z202" s="31"/>
      <c r="AA202" s="31"/>
      <c r="AB202" s="62">
        <v>0</v>
      </c>
      <c r="AC202" s="106"/>
      <c r="AD202" s="106"/>
      <c r="AE202" s="30">
        <v>602.90690829610105</v>
      </c>
      <c r="AF202" s="30">
        <v>602.90690829610105</v>
      </c>
      <c r="AG202" s="33">
        <v>2022</v>
      </c>
      <c r="AH202" s="1">
        <v>790586.81</v>
      </c>
      <c r="AI202" s="5">
        <f t="shared" si="44"/>
        <v>227908.8</v>
      </c>
      <c r="AJ202" s="5">
        <f>+(K202*10+L202*20)*12*30</f>
        <v>8043840</v>
      </c>
      <c r="AL202" s="37">
        <f t="shared" si="46"/>
        <v>0</v>
      </c>
      <c r="AM202" s="62">
        <v>0</v>
      </c>
      <c r="AN202" s="62">
        <v>0</v>
      </c>
      <c r="AO202" s="162">
        <v>1207654.75</v>
      </c>
      <c r="AP202" s="62">
        <v>0</v>
      </c>
      <c r="AQ202" s="62">
        <v>0</v>
      </c>
      <c r="AR202" s="62"/>
      <c r="AS202" s="62"/>
      <c r="AT202" s="62">
        <v>0</v>
      </c>
      <c r="AU202" s="62">
        <v>0</v>
      </c>
      <c r="AV202" s="62">
        <v>0</v>
      </c>
      <c r="AW202" s="62">
        <v>0</v>
      </c>
      <c r="AX202" s="62">
        <v>0</v>
      </c>
      <c r="AY202" s="62"/>
      <c r="AZ202" s="30"/>
      <c r="BA202" s="40"/>
      <c r="BB202" s="5">
        <f t="shared" si="49"/>
        <v>1207654.75</v>
      </c>
    </row>
    <row r="203" spans="1:54" hidden="1">
      <c r="A203" s="104">
        <f t="shared" si="47"/>
        <v>186</v>
      </c>
      <c r="B203" s="101">
        <f t="shared" si="48"/>
        <v>186</v>
      </c>
      <c r="C203" s="101" t="s">
        <v>185</v>
      </c>
      <c r="D203" s="101" t="s">
        <v>447</v>
      </c>
      <c r="E203" s="102">
        <v>2005</v>
      </c>
      <c r="F203" s="102"/>
      <c r="G203" s="102" t="s">
        <v>3</v>
      </c>
      <c r="H203" s="102">
        <v>6</v>
      </c>
      <c r="I203" s="102">
        <v>1</v>
      </c>
      <c r="J203" s="62">
        <v>1214.0999999999999</v>
      </c>
      <c r="K203" s="62">
        <v>1104.5999999999999</v>
      </c>
      <c r="L203" s="62">
        <v>0</v>
      </c>
      <c r="M203" s="103">
        <v>41</v>
      </c>
      <c r="N203" s="28">
        <f t="shared" si="39"/>
        <v>4254086.16</v>
      </c>
      <c r="O203" s="62"/>
      <c r="P203" s="30"/>
      <c r="Q203" s="31"/>
      <c r="R203" s="31"/>
      <c r="S203" s="30"/>
      <c r="T203" s="31"/>
      <c r="U203" s="31"/>
      <c r="V203" s="30">
        <v>4254086.16</v>
      </c>
      <c r="W203" s="31"/>
      <c r="X203" s="31"/>
      <c r="Y203" s="30"/>
      <c r="Z203" s="31"/>
      <c r="AA203" s="31"/>
      <c r="AB203" s="30">
        <v>0</v>
      </c>
      <c r="AC203" s="32"/>
      <c r="AD203" s="32"/>
      <c r="AE203" s="30">
        <v>3851.2458446496498</v>
      </c>
      <c r="AF203" s="30">
        <v>3851.2458446496498</v>
      </c>
      <c r="AG203" s="33">
        <v>2022</v>
      </c>
      <c r="AH203" s="1">
        <v>547627.87</v>
      </c>
      <c r="AI203" s="5">
        <f t="shared" si="44"/>
        <v>112669.2</v>
      </c>
      <c r="AJ203" s="5">
        <f>+(K203*10+L203*20)*12*30</f>
        <v>3976560</v>
      </c>
      <c r="AL203" s="37">
        <f t="shared" si="46"/>
        <v>0</v>
      </c>
      <c r="AM203" s="62"/>
      <c r="AN203" s="62"/>
      <c r="AO203" s="162"/>
      <c r="AP203" s="62"/>
      <c r="AQ203" s="62"/>
      <c r="AR203" s="62"/>
      <c r="AS203" s="62"/>
      <c r="AT203" s="62"/>
      <c r="AU203" s="62">
        <v>4254086.16</v>
      </c>
      <c r="AV203" s="62"/>
      <c r="AW203" s="62"/>
      <c r="AX203" s="62"/>
      <c r="AY203" s="62"/>
      <c r="AZ203" s="62"/>
      <c r="BA203" s="62"/>
      <c r="BB203" s="5">
        <f t="shared" si="49"/>
        <v>4254086.16</v>
      </c>
    </row>
    <row r="204" spans="1:54" hidden="1">
      <c r="A204" s="104">
        <f t="shared" si="47"/>
        <v>187</v>
      </c>
      <c r="B204" s="101">
        <f t="shared" si="48"/>
        <v>187</v>
      </c>
      <c r="C204" s="1" t="s">
        <v>448</v>
      </c>
      <c r="D204" s="101" t="s">
        <v>449</v>
      </c>
      <c r="E204" s="102" t="s">
        <v>450</v>
      </c>
      <c r="F204" s="102"/>
      <c r="G204" s="102" t="s">
        <v>3</v>
      </c>
      <c r="H204" s="102" t="s">
        <v>175</v>
      </c>
      <c r="I204" s="102" t="s">
        <v>27</v>
      </c>
      <c r="J204" s="62">
        <v>1440.7</v>
      </c>
      <c r="K204" s="62">
        <v>820.56</v>
      </c>
      <c r="L204" s="62">
        <v>349.5</v>
      </c>
      <c r="M204" s="103">
        <v>48</v>
      </c>
      <c r="N204" s="28">
        <f t="shared" si="39"/>
        <v>566057.97</v>
      </c>
      <c r="O204" s="62">
        <v>0</v>
      </c>
      <c r="P204" s="30">
        <v>0</v>
      </c>
      <c r="Q204" s="31"/>
      <c r="R204" s="31"/>
      <c r="S204" s="30">
        <v>0</v>
      </c>
      <c r="T204" s="31"/>
      <c r="U204" s="31"/>
      <c r="V204" s="30">
        <v>566057.97</v>
      </c>
      <c r="W204" s="31"/>
      <c r="X204" s="31"/>
      <c r="Y204" s="30"/>
      <c r="Z204" s="31"/>
      <c r="AA204" s="31"/>
      <c r="AB204" s="30">
        <v>0</v>
      </c>
      <c r="AC204" s="32"/>
      <c r="AD204" s="32"/>
      <c r="AE204" s="30">
        <v>483.785421260448</v>
      </c>
      <c r="AF204" s="30">
        <v>483.785421260448</v>
      </c>
      <c r="AG204" s="33">
        <v>2022</v>
      </c>
      <c r="AL204" s="37">
        <f t="shared" si="46"/>
        <v>0</v>
      </c>
      <c r="AM204" s="62"/>
      <c r="AN204" s="62"/>
      <c r="AO204" s="162"/>
      <c r="AP204" s="62"/>
      <c r="AQ204" s="62"/>
      <c r="AR204" s="62"/>
      <c r="AS204" s="62"/>
      <c r="AT204" s="62"/>
      <c r="AU204" s="62">
        <v>194953.44</v>
      </c>
      <c r="AV204" s="62"/>
      <c r="AW204" s="62">
        <v>371104.53</v>
      </c>
      <c r="AX204" s="62"/>
      <c r="AY204" s="62"/>
      <c r="AZ204" s="62"/>
      <c r="BA204" s="62"/>
      <c r="BB204" s="5">
        <f t="shared" si="49"/>
        <v>566057.97</v>
      </c>
    </row>
    <row r="205" spans="1:54" hidden="1">
      <c r="A205" s="104">
        <f t="shared" si="47"/>
        <v>188</v>
      </c>
      <c r="B205" s="101">
        <f t="shared" si="48"/>
        <v>188</v>
      </c>
      <c r="C205" s="1" t="s">
        <v>448</v>
      </c>
      <c r="D205" s="101" t="s">
        <v>452</v>
      </c>
      <c r="E205" s="102" t="s">
        <v>453</v>
      </c>
      <c r="F205" s="102"/>
      <c r="G205" s="102" t="s">
        <v>3</v>
      </c>
      <c r="H205" s="102" t="s">
        <v>175</v>
      </c>
      <c r="I205" s="102" t="s">
        <v>244</v>
      </c>
      <c r="J205" s="62">
        <v>819.9</v>
      </c>
      <c r="K205" s="62">
        <v>649</v>
      </c>
      <c r="L205" s="62">
        <v>0</v>
      </c>
      <c r="M205" s="103">
        <v>30</v>
      </c>
      <c r="N205" s="28">
        <f t="shared" si="39"/>
        <v>10770762.300000001</v>
      </c>
      <c r="O205" s="62">
        <v>0</v>
      </c>
      <c r="P205" s="30">
        <v>0</v>
      </c>
      <c r="Q205" s="31"/>
      <c r="R205" s="31"/>
      <c r="S205" s="30">
        <v>0</v>
      </c>
      <c r="T205" s="31"/>
      <c r="U205" s="31"/>
      <c r="V205" s="30">
        <v>10770762.300000001</v>
      </c>
      <c r="W205" s="31"/>
      <c r="X205" s="31"/>
      <c r="Y205" s="30"/>
      <c r="Z205" s="31"/>
      <c r="AA205" s="31"/>
      <c r="AB205" s="30">
        <v>0</v>
      </c>
      <c r="AC205" s="32"/>
      <c r="AD205" s="32"/>
      <c r="AE205" s="30">
        <v>16595.935747303502</v>
      </c>
      <c r="AF205" s="30">
        <v>16595.935747303502</v>
      </c>
      <c r="AG205" s="33">
        <v>2022</v>
      </c>
      <c r="AL205" s="178">
        <f t="shared" si="46"/>
        <v>0</v>
      </c>
      <c r="AM205" s="179"/>
      <c r="AN205" s="179"/>
      <c r="AO205" s="180"/>
      <c r="AP205" s="179"/>
      <c r="AQ205" s="179"/>
      <c r="AR205" s="179"/>
      <c r="AS205" s="179"/>
      <c r="AT205" s="179"/>
      <c r="AU205" s="179">
        <v>5195058.41</v>
      </c>
      <c r="AV205" s="179"/>
      <c r="AW205" s="179">
        <v>5575703.8899999997</v>
      </c>
      <c r="AX205" s="179"/>
      <c r="AY205" s="179"/>
      <c r="AZ205" s="179"/>
      <c r="BA205" s="179"/>
      <c r="BB205" s="5">
        <f t="shared" si="49"/>
        <v>10770762.300000001</v>
      </c>
    </row>
    <row r="206" spans="1:54" hidden="1">
      <c r="A206" s="122"/>
      <c r="B206" s="122"/>
      <c r="C206" s="122"/>
      <c r="D206" s="71">
        <v>2023</v>
      </c>
      <c r="E206" s="124"/>
      <c r="F206" s="124"/>
      <c r="G206" s="124"/>
      <c r="H206" s="124"/>
      <c r="I206" s="124"/>
      <c r="J206" s="126">
        <f>SUM(J207:J478)</f>
        <v>1032349.4600000001</v>
      </c>
      <c r="K206" s="126">
        <f>SUM(K207:K478)</f>
        <v>859397.8</v>
      </c>
      <c r="L206" s="126">
        <f>SUM(L207:L478)</f>
        <v>53575.679999999993</v>
      </c>
      <c r="M206" s="126">
        <f>SUM(M207:M478)</f>
        <v>37246</v>
      </c>
      <c r="N206" s="126">
        <f t="shared" si="39"/>
        <v>2357254214.9056301</v>
      </c>
      <c r="O206" s="126"/>
      <c r="P206" s="126">
        <f>SUM(P207:P478)</f>
        <v>749983518.59795606</v>
      </c>
      <c r="Q206" s="181">
        <f>SUM(Q207:Q478)</f>
        <v>0</v>
      </c>
      <c r="R206" s="181">
        <f>SUM(R207:R478)</f>
        <v>0</v>
      </c>
      <c r="S206" s="126">
        <f>SUM(S207:S478)</f>
        <v>7110771.9999999981</v>
      </c>
      <c r="T206" s="182"/>
      <c r="U206" s="182"/>
      <c r="V206" s="126">
        <f>SUM(V207:V478)</f>
        <v>372427855.38736665</v>
      </c>
      <c r="W206" s="182"/>
      <c r="X206" s="182"/>
      <c r="Y206" s="126">
        <f>SUM(Y207:Y478)</f>
        <v>1156207386.1924965</v>
      </c>
      <c r="Z206" s="182"/>
      <c r="AA206" s="182"/>
      <c r="AB206" s="126">
        <f>SUM(AB207:AB478)</f>
        <v>71524682.727810621</v>
      </c>
      <c r="AC206" s="181"/>
      <c r="AD206" s="181"/>
      <c r="AE206" s="183"/>
      <c r="AF206" s="183"/>
      <c r="AG206" s="129"/>
      <c r="AL206" s="184" t="e">
        <f>#REF!+#REF!</f>
        <v>#REF!</v>
      </c>
      <c r="AM206" s="185" t="e">
        <f>#REF!+#REF!</f>
        <v>#REF!</v>
      </c>
      <c r="AN206" s="185" t="e">
        <f>#REF!+#REF!</f>
        <v>#REF!</v>
      </c>
      <c r="AO206" s="185" t="e">
        <f>#REF!+#REF!</f>
        <v>#REF!</v>
      </c>
      <c r="AP206" s="185" t="e">
        <f>#REF!+#REF!</f>
        <v>#REF!</v>
      </c>
      <c r="AQ206" s="185" t="e">
        <f>#REF!+#REF!</f>
        <v>#REF!</v>
      </c>
      <c r="AR206" s="185" t="e">
        <f>#REF!+#REF!</f>
        <v>#REF!</v>
      </c>
      <c r="AS206" s="185" t="e">
        <f>#REF!+#REF!</f>
        <v>#REF!</v>
      </c>
      <c r="AT206" s="185" t="e">
        <f>#REF!+#REF!</f>
        <v>#REF!</v>
      </c>
      <c r="AU206" s="185" t="e">
        <f>#REF!+#REF!</f>
        <v>#REF!</v>
      </c>
      <c r="AV206" s="185" t="e">
        <f>#REF!+#REF!</f>
        <v>#REF!</v>
      </c>
      <c r="AW206" s="185" t="e">
        <f>#REF!+#REF!</f>
        <v>#REF!</v>
      </c>
      <c r="AX206" s="185" t="e">
        <f>#REF!+#REF!</f>
        <v>#REF!</v>
      </c>
      <c r="AY206" s="185" t="e">
        <f>#REF!+#REF!</f>
        <v>#REF!</v>
      </c>
      <c r="AZ206" s="185" t="e">
        <f>#REF!+#REF!</f>
        <v>#REF!</v>
      </c>
      <c r="BA206" s="185" t="e">
        <f>#REF!+#REF!</f>
        <v>#REF!</v>
      </c>
      <c r="BB206" s="5"/>
    </row>
    <row r="207" spans="1:54" hidden="1">
      <c r="A207" s="10">
        <f>+A205+1</f>
        <v>189</v>
      </c>
      <c r="B207" s="113">
        <v>1</v>
      </c>
      <c r="C207" s="12" t="s">
        <v>171</v>
      </c>
      <c r="D207" s="12" t="s">
        <v>455</v>
      </c>
      <c r="E207" s="102">
        <v>1993</v>
      </c>
      <c r="F207" s="102">
        <v>2013</v>
      </c>
      <c r="G207" s="102" t="s">
        <v>3</v>
      </c>
      <c r="H207" s="102">
        <v>9</v>
      </c>
      <c r="I207" s="102">
        <v>1</v>
      </c>
      <c r="J207" s="62">
        <v>4027.7</v>
      </c>
      <c r="K207" s="62">
        <v>2671.9</v>
      </c>
      <c r="L207" s="62">
        <v>0</v>
      </c>
      <c r="M207" s="103">
        <v>88</v>
      </c>
      <c r="N207" s="28">
        <f t="shared" si="39"/>
        <v>5403128.5</v>
      </c>
      <c r="O207" s="30"/>
      <c r="P207" s="30">
        <v>951459.54</v>
      </c>
      <c r="Q207" s="31"/>
      <c r="R207" s="31"/>
      <c r="S207" s="30"/>
      <c r="T207" s="31"/>
      <c r="U207" s="31"/>
      <c r="V207" s="30">
        <v>1171287.68</v>
      </c>
      <c r="W207" s="31"/>
      <c r="X207" s="31"/>
      <c r="Y207" s="30">
        <v>3280381.28</v>
      </c>
      <c r="Z207" s="31"/>
      <c r="AA207" s="31"/>
      <c r="AB207" s="30">
        <v>0</v>
      </c>
      <c r="AC207" s="32"/>
      <c r="AD207" s="32"/>
      <c r="AE207" s="30">
        <v>2058.6389775380198</v>
      </c>
      <c r="AF207" s="30">
        <v>1174.2830200640001</v>
      </c>
      <c r="AG207" s="186">
        <v>2023</v>
      </c>
      <c r="AH207" s="1">
        <f>1985654.28-830510.88</f>
        <v>1155143.3999999999</v>
      </c>
      <c r="AI207" s="5">
        <f>+(K207*13.95+L207*23.65)*12*0.85</f>
        <v>380184.65099999995</v>
      </c>
      <c r="AJ207" s="5">
        <f>+(K207*13.95+L207*23.65)*12*30-2624808.09</f>
        <v>10793473.709999999</v>
      </c>
      <c r="AL207" s="112">
        <f t="shared" ref="AL207:AL238" si="50">SUBTOTAL(9, AM207:BA207)</f>
        <v>0</v>
      </c>
      <c r="AM207" s="30">
        <v>0</v>
      </c>
      <c r="AN207" s="30">
        <v>0</v>
      </c>
      <c r="AO207" s="30">
        <v>0</v>
      </c>
      <c r="AP207" s="30">
        <v>0</v>
      </c>
      <c r="AQ207" s="30">
        <v>0</v>
      </c>
      <c r="AR207" s="30"/>
      <c r="AS207" s="30"/>
      <c r="AT207" s="30">
        <v>0</v>
      </c>
      <c r="AU207" s="30"/>
      <c r="AV207" s="30">
        <v>5403128.5</v>
      </c>
      <c r="AW207" s="30">
        <v>0</v>
      </c>
      <c r="AX207" s="30">
        <v>0</v>
      </c>
      <c r="AY207" s="30"/>
      <c r="AZ207" s="30"/>
      <c r="BA207" s="40"/>
      <c r="BB207" s="5">
        <f t="shared" ref="BB207:BB238" si="51">N207-AL207</f>
        <v>5403128.5</v>
      </c>
    </row>
    <row r="208" spans="1:54" hidden="1">
      <c r="A208" s="10">
        <v>190</v>
      </c>
      <c r="B208" s="113">
        <v>2</v>
      </c>
      <c r="C208" s="12" t="s">
        <v>171</v>
      </c>
      <c r="D208" s="12" t="s">
        <v>456</v>
      </c>
      <c r="E208" s="102">
        <v>1993</v>
      </c>
      <c r="F208" s="102">
        <v>2013</v>
      </c>
      <c r="G208" s="102" t="s">
        <v>3</v>
      </c>
      <c r="H208" s="102">
        <v>9</v>
      </c>
      <c r="I208" s="102">
        <v>1</v>
      </c>
      <c r="J208" s="62">
        <v>4065.2</v>
      </c>
      <c r="K208" s="62">
        <v>2714.9</v>
      </c>
      <c r="L208" s="62">
        <v>0</v>
      </c>
      <c r="M208" s="103">
        <v>97</v>
      </c>
      <c r="N208" s="28">
        <f t="shared" si="39"/>
        <v>5976346.2899999991</v>
      </c>
      <c r="O208" s="30"/>
      <c r="P208" s="30">
        <v>1451368.66</v>
      </c>
      <c r="Q208" s="31"/>
      <c r="R208" s="31"/>
      <c r="S208" s="30"/>
      <c r="T208" s="31"/>
      <c r="U208" s="31"/>
      <c r="V208" s="30">
        <v>589325.32999999996</v>
      </c>
      <c r="W208" s="31"/>
      <c r="X208" s="31"/>
      <c r="Y208" s="30">
        <v>3935652.3</v>
      </c>
      <c r="Z208" s="31"/>
      <c r="AA208" s="31"/>
      <c r="AB208" s="30">
        <v>0</v>
      </c>
      <c r="AC208" s="32"/>
      <c r="AD208" s="32"/>
      <c r="AE208" s="30">
        <v>2372.2839868690298</v>
      </c>
      <c r="AF208" s="30">
        <v>1175.2830200640001</v>
      </c>
      <c r="AG208" s="186">
        <v>2023</v>
      </c>
      <c r="AH208" s="1">
        <f>2036159.03-955818.8-238954.7-238954.7008</f>
        <v>602430.82920000004</v>
      </c>
      <c r="AI208" s="5">
        <f>+(K208*13.95+L208*23.65)*12*0.85</f>
        <v>386303.12099999993</v>
      </c>
      <c r="AJ208" s="5">
        <f>+(K208*13.95+L208*23.65)*12*30-785411.714-946514.09-915077.42</f>
        <v>10987224.575999999</v>
      </c>
      <c r="AL208" s="112">
        <f t="shared" si="50"/>
        <v>0</v>
      </c>
      <c r="AM208" s="30">
        <v>0</v>
      </c>
      <c r="AN208" s="30">
        <v>0</v>
      </c>
      <c r="AO208" s="30">
        <v>0</v>
      </c>
      <c r="AP208" s="30">
        <v>0</v>
      </c>
      <c r="AQ208" s="30">
        <v>0</v>
      </c>
      <c r="AR208" s="30"/>
      <c r="AS208" s="30"/>
      <c r="AT208" s="30">
        <v>0</v>
      </c>
      <c r="AU208" s="30">
        <v>0</v>
      </c>
      <c r="AV208" s="30">
        <v>5976346.29</v>
      </c>
      <c r="AW208" s="30"/>
      <c r="AX208" s="30">
        <v>0</v>
      </c>
      <c r="AY208" s="30"/>
      <c r="AZ208" s="30"/>
      <c r="BA208" s="40"/>
      <c r="BB208" s="5">
        <f t="shared" si="51"/>
        <v>5976346.2899999991</v>
      </c>
    </row>
    <row r="209" spans="1:54" hidden="1">
      <c r="A209" s="10">
        <v>191</v>
      </c>
      <c r="B209" s="113">
        <v>3</v>
      </c>
      <c r="C209" s="101" t="s">
        <v>171</v>
      </c>
      <c r="D209" s="101" t="s">
        <v>179</v>
      </c>
      <c r="E209" s="102">
        <v>1997</v>
      </c>
      <c r="F209" s="102">
        <v>2013</v>
      </c>
      <c r="G209" s="102" t="s">
        <v>3</v>
      </c>
      <c r="H209" s="102">
        <v>3</v>
      </c>
      <c r="I209" s="102">
        <v>3</v>
      </c>
      <c r="J209" s="62">
        <v>2554.6999999999998</v>
      </c>
      <c r="K209" s="62">
        <v>1158.4000000000001</v>
      </c>
      <c r="L209" s="62">
        <v>157.9</v>
      </c>
      <c r="M209" s="103">
        <v>40</v>
      </c>
      <c r="N209" s="28">
        <f t="shared" si="39"/>
        <v>442092.5</v>
      </c>
      <c r="O209" s="62"/>
      <c r="P209" s="62"/>
      <c r="Q209" s="29"/>
      <c r="R209" s="29"/>
      <c r="S209" s="62"/>
      <c r="T209" s="29"/>
      <c r="U209" s="29"/>
      <c r="V209" s="62">
        <v>442092.5</v>
      </c>
      <c r="W209" s="29"/>
      <c r="X209" s="29"/>
      <c r="Y209" s="62"/>
      <c r="Z209" s="29"/>
      <c r="AA209" s="29"/>
      <c r="AB209" s="62">
        <v>0</v>
      </c>
      <c r="AC209" s="106"/>
      <c r="AD209" s="106"/>
      <c r="AE209" s="62">
        <v>9006.8294081896202</v>
      </c>
      <c r="AF209" s="62">
        <v>9006.8294081896202</v>
      </c>
      <c r="AG209" s="186">
        <v>2023</v>
      </c>
      <c r="AH209" s="1">
        <v>739157.71</v>
      </c>
      <c r="AI209" s="5">
        <f>+(K209*10+L209*20)*12*0.85</f>
        <v>150368.4</v>
      </c>
      <c r="AJ209" s="5">
        <f>+(K209*10+L209*20)*12*30</f>
        <v>5307120</v>
      </c>
      <c r="AL209" s="37">
        <f t="shared" si="50"/>
        <v>0</v>
      </c>
      <c r="AM209" s="30"/>
      <c r="AN209" s="30"/>
      <c r="AO209" s="30">
        <v>442092.5</v>
      </c>
      <c r="AP209" s="30"/>
      <c r="AQ209" s="30">
        <v>0</v>
      </c>
      <c r="AR209" s="30"/>
      <c r="AS209" s="30"/>
      <c r="AT209" s="30">
        <v>0</v>
      </c>
      <c r="AU209" s="30"/>
      <c r="AV209" s="62"/>
      <c r="AW209" s="30"/>
      <c r="AX209" s="30"/>
      <c r="AY209" s="30"/>
      <c r="AZ209" s="30"/>
      <c r="BA209" s="40"/>
      <c r="BB209" s="5">
        <f t="shared" si="51"/>
        <v>442092.5</v>
      </c>
    </row>
    <row r="210" spans="1:54" s="142" customFormat="1" hidden="1">
      <c r="A210" s="10">
        <f t="shared" ref="A210:A241" si="52">+A209+1</f>
        <v>192</v>
      </c>
      <c r="B210" s="113">
        <v>4</v>
      </c>
      <c r="C210" s="12" t="s">
        <v>90</v>
      </c>
      <c r="D210" s="12" t="s">
        <v>91</v>
      </c>
      <c r="E210" s="102" t="s">
        <v>458</v>
      </c>
      <c r="F210" s="102"/>
      <c r="G210" s="102" t="s">
        <v>3</v>
      </c>
      <c r="H210" s="102" t="s">
        <v>169</v>
      </c>
      <c r="I210" s="102" t="s">
        <v>316</v>
      </c>
      <c r="J210" s="62">
        <v>5474.4</v>
      </c>
      <c r="K210" s="62">
        <v>4591</v>
      </c>
      <c r="L210" s="62">
        <v>74.8</v>
      </c>
      <c r="M210" s="103">
        <v>142</v>
      </c>
      <c r="N210" s="28">
        <f t="shared" ref="N210:N273" si="53">SUM(P210:AB210)</f>
        <v>4023991.379999999</v>
      </c>
      <c r="O210" s="30">
        <v>0</v>
      </c>
      <c r="P210" s="30">
        <v>3054635.8</v>
      </c>
      <c r="Q210" s="31"/>
      <c r="R210" s="31"/>
      <c r="S210" s="30">
        <v>0</v>
      </c>
      <c r="T210" s="31"/>
      <c r="U210" s="31"/>
      <c r="V210" s="30">
        <v>732511.62</v>
      </c>
      <c r="W210" s="31"/>
      <c r="X210" s="31"/>
      <c r="Y210" s="30">
        <v>236843.959999999</v>
      </c>
      <c r="Z210" s="31"/>
      <c r="AA210" s="31"/>
      <c r="AB210" s="107">
        <v>0</v>
      </c>
      <c r="AC210" s="108"/>
      <c r="AD210" s="108"/>
      <c r="AE210" s="62">
        <v>1076.31151479542</v>
      </c>
      <c r="AF210" s="62">
        <v>1076.31151479542</v>
      </c>
      <c r="AG210" s="186">
        <v>2023</v>
      </c>
      <c r="AH210" s="157">
        <f>2359832.72-V18</f>
        <v>-343147.54946667003</v>
      </c>
      <c r="AI210" s="5">
        <f>+(K210*10+L210*20)*12*0.85</f>
        <v>483541.2</v>
      </c>
      <c r="AJ210" s="5">
        <f>+(K210*10+L210*20)*12*30-Y18</f>
        <v>-4053688.4800000004</v>
      </c>
      <c r="AK210" s="5"/>
      <c r="AL210" s="37">
        <f t="shared" si="50"/>
        <v>0</v>
      </c>
      <c r="AM210" s="30"/>
      <c r="AN210" s="30"/>
      <c r="AO210" s="30">
        <v>3762253.56</v>
      </c>
      <c r="AP210" s="30">
        <v>0</v>
      </c>
      <c r="AQ210" s="30">
        <v>0</v>
      </c>
      <c r="AR210" s="30"/>
      <c r="AS210" s="30"/>
      <c r="AT210" s="30">
        <v>0</v>
      </c>
      <c r="AU210" s="30">
        <v>0</v>
      </c>
      <c r="AV210" s="30">
        <v>0</v>
      </c>
      <c r="AW210" s="62"/>
      <c r="AX210" s="30"/>
      <c r="AY210" s="30">
        <v>257737.82</v>
      </c>
      <c r="AZ210" s="30">
        <v>4000</v>
      </c>
      <c r="BA210" s="40"/>
      <c r="BB210" s="5">
        <f t="shared" si="51"/>
        <v>4023991.379999999</v>
      </c>
    </row>
    <row r="211" spans="1:54" s="142" customFormat="1" ht="15" hidden="1" customHeight="1">
      <c r="A211" s="10">
        <f t="shared" si="52"/>
        <v>193</v>
      </c>
      <c r="B211" s="113">
        <v>5</v>
      </c>
      <c r="C211" s="12" t="s">
        <v>90</v>
      </c>
      <c r="D211" s="12" t="s">
        <v>93</v>
      </c>
      <c r="E211" s="102" t="s">
        <v>168</v>
      </c>
      <c r="F211" s="102"/>
      <c r="G211" s="102" t="s">
        <v>3</v>
      </c>
      <c r="H211" s="102" t="s">
        <v>169</v>
      </c>
      <c r="I211" s="102" t="s">
        <v>316</v>
      </c>
      <c r="J211" s="62">
        <v>4657</v>
      </c>
      <c r="K211" s="62">
        <v>4657</v>
      </c>
      <c r="L211" s="62">
        <v>0</v>
      </c>
      <c r="M211" s="103">
        <v>172</v>
      </c>
      <c r="N211" s="28">
        <f t="shared" si="53"/>
        <v>21777938.175000001</v>
      </c>
      <c r="O211" s="30">
        <v>0</v>
      </c>
      <c r="P211" s="30">
        <v>5312507.8</v>
      </c>
      <c r="Q211" s="31"/>
      <c r="R211" s="31"/>
      <c r="S211" s="30">
        <v>0</v>
      </c>
      <c r="T211" s="31"/>
      <c r="U211" s="31"/>
      <c r="V211" s="30">
        <v>1314330.07</v>
      </c>
      <c r="W211" s="31"/>
      <c r="X211" s="31"/>
      <c r="Y211" s="30">
        <v>15151100.305</v>
      </c>
      <c r="Z211" s="31"/>
      <c r="AA211" s="31"/>
      <c r="AB211" s="30">
        <v>0</v>
      </c>
      <c r="AC211" s="32"/>
      <c r="AD211" s="32"/>
      <c r="AE211" s="62">
        <v>5218.0874569860098</v>
      </c>
      <c r="AF211" s="62">
        <v>5218.0874569860098</v>
      </c>
      <c r="AG211" s="186">
        <v>2023</v>
      </c>
      <c r="AH211" s="157">
        <f>2457007.84-V19</f>
        <v>-475014</v>
      </c>
      <c r="AI211" s="5">
        <f>+(K211*10+L211*20)*12*0.85</f>
        <v>475014</v>
      </c>
      <c r="AJ211" s="5">
        <f>+(K211*10+L211*20)*12*30-Y19</f>
        <v>0</v>
      </c>
      <c r="AK211" s="5"/>
      <c r="AL211" s="37">
        <f t="shared" si="50"/>
        <v>0</v>
      </c>
      <c r="AM211" s="30"/>
      <c r="AN211" s="30"/>
      <c r="AO211" s="30">
        <v>3766305.47</v>
      </c>
      <c r="AP211" s="30">
        <v>0</v>
      </c>
      <c r="AQ211" s="30">
        <v>0</v>
      </c>
      <c r="AR211" s="30"/>
      <c r="AS211" s="30"/>
      <c r="AT211" s="30">
        <v>0</v>
      </c>
      <c r="AU211" s="30">
        <v>0</v>
      </c>
      <c r="AV211" s="30">
        <v>0</v>
      </c>
      <c r="AW211" s="30">
        <v>17283832.800000001</v>
      </c>
      <c r="AX211" s="30"/>
      <c r="AY211" s="30">
        <v>711799.9</v>
      </c>
      <c r="AZ211" s="30">
        <v>16000</v>
      </c>
      <c r="BA211" s="40"/>
      <c r="BB211" s="5">
        <f t="shared" si="51"/>
        <v>21777938.175000001</v>
      </c>
    </row>
    <row r="212" spans="1:54" s="142" customFormat="1" hidden="1">
      <c r="A212" s="10">
        <f t="shared" si="52"/>
        <v>194</v>
      </c>
      <c r="B212" s="113">
        <v>6</v>
      </c>
      <c r="C212" s="12" t="s">
        <v>90</v>
      </c>
      <c r="D212" s="12" t="s">
        <v>95</v>
      </c>
      <c r="E212" s="102" t="s">
        <v>462</v>
      </c>
      <c r="F212" s="102"/>
      <c r="G212" s="102" t="s">
        <v>3</v>
      </c>
      <c r="H212" s="102" t="s">
        <v>169</v>
      </c>
      <c r="I212" s="102" t="s">
        <v>183</v>
      </c>
      <c r="J212" s="62">
        <v>3725.7</v>
      </c>
      <c r="K212" s="62">
        <v>3170.6</v>
      </c>
      <c r="L212" s="62">
        <v>0</v>
      </c>
      <c r="M212" s="103">
        <v>120</v>
      </c>
      <c r="N212" s="28">
        <f t="shared" si="53"/>
        <v>15325690.4</v>
      </c>
      <c r="O212" s="30">
        <v>0</v>
      </c>
      <c r="P212" s="30">
        <v>12324543.109999999</v>
      </c>
      <c r="Q212" s="31"/>
      <c r="R212" s="31"/>
      <c r="S212" s="30">
        <v>0</v>
      </c>
      <c r="T212" s="31"/>
      <c r="U212" s="31"/>
      <c r="V212" s="30"/>
      <c r="W212" s="31"/>
      <c r="X212" s="31"/>
      <c r="Y212" s="30">
        <v>1538172.706</v>
      </c>
      <c r="Z212" s="31"/>
      <c r="AA212" s="31"/>
      <c r="AB212" s="30">
        <v>1462974.584</v>
      </c>
      <c r="AC212" s="32"/>
      <c r="AD212" s="32"/>
      <c r="AE212" s="62">
        <v>5293.1862307167903</v>
      </c>
      <c r="AF212" s="62">
        <v>5293.1862307167903</v>
      </c>
      <c r="AG212" s="186">
        <v>2023</v>
      </c>
      <c r="AH212" s="157">
        <f>1554485.44-V20</f>
        <v>-323401.19999999995</v>
      </c>
      <c r="AI212" s="5">
        <f>+(K212*10+L212*20)*12*0.85</f>
        <v>323401.2</v>
      </c>
      <c r="AJ212" s="5">
        <f>+(K212*10+L212*20)*12*30-Y20</f>
        <v>0</v>
      </c>
      <c r="AK212" s="5"/>
      <c r="AL212" s="37">
        <f t="shared" si="50"/>
        <v>0</v>
      </c>
      <c r="AM212" s="30"/>
      <c r="AN212" s="188"/>
      <c r="AO212" s="30">
        <v>2589897.61</v>
      </c>
      <c r="AP212" s="188">
        <v>0</v>
      </c>
      <c r="AQ212" s="30">
        <v>0</v>
      </c>
      <c r="AR212" s="30"/>
      <c r="AS212" s="30"/>
      <c r="AT212" s="30">
        <v>0</v>
      </c>
      <c r="AU212" s="188">
        <v>0</v>
      </c>
      <c r="AV212" s="188">
        <v>0</v>
      </c>
      <c r="AW212" s="30">
        <v>12127268.4</v>
      </c>
      <c r="AX212" s="30"/>
      <c r="AY212" s="30">
        <v>594524.39</v>
      </c>
      <c r="AZ212" s="30">
        <v>14000</v>
      </c>
      <c r="BA212" s="40"/>
      <c r="BB212" s="5">
        <f t="shared" si="51"/>
        <v>15325690.4</v>
      </c>
    </row>
    <row r="213" spans="1:54" hidden="1">
      <c r="A213" s="10">
        <f t="shared" si="52"/>
        <v>195</v>
      </c>
      <c r="B213" s="113">
        <v>7</v>
      </c>
      <c r="C213" s="12" t="s">
        <v>106</v>
      </c>
      <c r="D213" s="12" t="s">
        <v>193</v>
      </c>
      <c r="E213" s="102">
        <v>1989</v>
      </c>
      <c r="F213" s="102">
        <v>2012</v>
      </c>
      <c r="G213" s="102" t="s">
        <v>3</v>
      </c>
      <c r="H213" s="102">
        <v>5</v>
      </c>
      <c r="I213" s="102">
        <v>4</v>
      </c>
      <c r="J213" s="62">
        <v>5759.5</v>
      </c>
      <c r="K213" s="62">
        <v>4823.5</v>
      </c>
      <c r="L213" s="62">
        <v>45.7</v>
      </c>
      <c r="M213" s="103">
        <v>161</v>
      </c>
      <c r="N213" s="28">
        <f t="shared" si="53"/>
        <v>10867243.93</v>
      </c>
      <c r="O213" s="30"/>
      <c r="P213" s="30">
        <v>2183252.61</v>
      </c>
      <c r="Q213" s="31"/>
      <c r="R213" s="31"/>
      <c r="S213" s="30"/>
      <c r="T213" s="31"/>
      <c r="U213" s="31"/>
      <c r="V213" s="30">
        <v>835185.52500000002</v>
      </c>
      <c r="W213" s="31"/>
      <c r="X213" s="31"/>
      <c r="Y213" s="30">
        <v>7848805.7949999999</v>
      </c>
      <c r="Z213" s="31"/>
      <c r="AA213" s="31"/>
      <c r="AB213" s="30"/>
      <c r="AC213" s="32"/>
      <c r="AD213" s="32"/>
      <c r="AE213" s="62">
        <v>3631.3565411908598</v>
      </c>
      <c r="AF213" s="62">
        <v>3631.3565411908598</v>
      </c>
      <c r="AG213" s="186">
        <v>2023</v>
      </c>
      <c r="AH213" s="1">
        <v>2384141.34</v>
      </c>
      <c r="AI213" s="5">
        <f>+(K213*10+L213*20)*12*0.85</f>
        <v>501319.8</v>
      </c>
      <c r="AJ213" s="5">
        <f>+(K213*10+L213*20)*12*30</f>
        <v>17693640</v>
      </c>
      <c r="AL213" s="37">
        <f t="shared" si="50"/>
        <v>0</v>
      </c>
      <c r="AM213" s="30">
        <v>0</v>
      </c>
      <c r="AN213" s="30">
        <v>0</v>
      </c>
      <c r="AO213" s="30">
        <v>1953253.18</v>
      </c>
      <c r="AP213" s="30">
        <v>1982667.17</v>
      </c>
      <c r="AQ213" s="30">
        <v>0</v>
      </c>
      <c r="AR213" s="30"/>
      <c r="AS213" s="30"/>
      <c r="AT213" s="30">
        <v>0</v>
      </c>
      <c r="AU213" s="30">
        <v>0</v>
      </c>
      <c r="AV213" s="30">
        <v>6881364.6500000004</v>
      </c>
      <c r="AW213" s="30"/>
      <c r="AX213" s="30"/>
      <c r="AY213" s="30"/>
      <c r="AZ213" s="30"/>
      <c r="BA213" s="109">
        <f>32043.58+17915.35</f>
        <v>49958.93</v>
      </c>
      <c r="BB213" s="5">
        <f t="shared" si="51"/>
        <v>10867243.93</v>
      </c>
    </row>
    <row r="214" spans="1:54" hidden="1">
      <c r="A214" s="10">
        <f t="shared" si="52"/>
        <v>196</v>
      </c>
      <c r="B214" s="113">
        <v>8</v>
      </c>
      <c r="C214" s="101" t="s">
        <v>114</v>
      </c>
      <c r="D214" s="101" t="s">
        <v>464</v>
      </c>
      <c r="E214" s="102">
        <v>1987</v>
      </c>
      <c r="F214" s="102">
        <v>2017</v>
      </c>
      <c r="G214" s="102" t="s">
        <v>3</v>
      </c>
      <c r="H214" s="102">
        <v>9</v>
      </c>
      <c r="I214" s="102">
        <v>5</v>
      </c>
      <c r="J214" s="62">
        <v>12266.2</v>
      </c>
      <c r="K214" s="62">
        <v>9496.7999999999993</v>
      </c>
      <c r="L214" s="62">
        <v>175.7</v>
      </c>
      <c r="M214" s="103">
        <v>406</v>
      </c>
      <c r="N214" s="28">
        <f t="shared" si="53"/>
        <v>6651944.4400000004</v>
      </c>
      <c r="O214" s="62"/>
      <c r="P214" s="30"/>
      <c r="Q214" s="31"/>
      <c r="R214" s="31"/>
      <c r="S214" s="30"/>
      <c r="T214" s="31"/>
      <c r="U214" s="31"/>
      <c r="V214" s="30">
        <v>6651944.4400000004</v>
      </c>
      <c r="W214" s="31"/>
      <c r="X214" s="31"/>
      <c r="Y214" s="30"/>
      <c r="Z214" s="31"/>
      <c r="AA214" s="31"/>
      <c r="AB214" s="107"/>
      <c r="AC214" s="108"/>
      <c r="AD214" s="108"/>
      <c r="AE214" s="30">
        <v>2594.5512519494</v>
      </c>
      <c r="AF214" s="30">
        <v>1199.2830200640001</v>
      </c>
      <c r="AG214" s="186">
        <v>2023</v>
      </c>
      <c r="AH214" s="1">
        <v>7111161.1600000001</v>
      </c>
      <c r="AI214" s="5">
        <f>+(K214*13.95+L214*23.65)*12*0.85</f>
        <v>1393683.7829999998</v>
      </c>
      <c r="AJ214" s="5">
        <f>+(K214*13.95+L214*23.65)*12*30</f>
        <v>49188839.399999991</v>
      </c>
      <c r="AL214" s="112">
        <f t="shared" si="50"/>
        <v>0</v>
      </c>
      <c r="AM214" s="30">
        <v>6547103.7400000002</v>
      </c>
      <c r="AN214" s="30">
        <v>0</v>
      </c>
      <c r="AO214" s="30"/>
      <c r="AP214" s="30">
        <v>0</v>
      </c>
      <c r="AQ214" s="30">
        <v>0</v>
      </c>
      <c r="AR214" s="30"/>
      <c r="AS214" s="30"/>
      <c r="AT214" s="30">
        <v>0</v>
      </c>
      <c r="AU214" s="30">
        <v>0</v>
      </c>
      <c r="AV214" s="30">
        <v>0</v>
      </c>
      <c r="AW214" s="30">
        <v>0</v>
      </c>
      <c r="AX214" s="30">
        <v>0</v>
      </c>
      <c r="AY214" s="30"/>
      <c r="AZ214" s="30"/>
      <c r="BA214" s="109">
        <v>104840.7</v>
      </c>
      <c r="BB214" s="5">
        <f t="shared" si="51"/>
        <v>6651944.4400000004</v>
      </c>
    </row>
    <row r="215" spans="1:54" hidden="1">
      <c r="A215" s="10">
        <f t="shared" si="52"/>
        <v>197</v>
      </c>
      <c r="B215" s="113">
        <v>9</v>
      </c>
      <c r="C215" s="101" t="s">
        <v>114</v>
      </c>
      <c r="D215" s="101" t="s">
        <v>128</v>
      </c>
      <c r="E215" s="102">
        <v>1988</v>
      </c>
      <c r="F215" s="102">
        <v>2016</v>
      </c>
      <c r="G215" s="102" t="s">
        <v>3</v>
      </c>
      <c r="H215" s="102">
        <v>5</v>
      </c>
      <c r="I215" s="102">
        <v>2</v>
      </c>
      <c r="J215" s="62">
        <v>4465.5</v>
      </c>
      <c r="K215" s="62">
        <v>2945.85</v>
      </c>
      <c r="L215" s="62">
        <v>451.6</v>
      </c>
      <c r="M215" s="103">
        <v>169</v>
      </c>
      <c r="N215" s="28">
        <f t="shared" si="53"/>
        <v>4115348.42</v>
      </c>
      <c r="O215" s="62"/>
      <c r="P215" s="30"/>
      <c r="Q215" s="31"/>
      <c r="R215" s="31"/>
      <c r="S215" s="30"/>
      <c r="T215" s="31"/>
      <c r="U215" s="31"/>
      <c r="V215" s="30"/>
      <c r="W215" s="31"/>
      <c r="X215" s="31"/>
      <c r="Y215" s="30">
        <v>4115348.42</v>
      </c>
      <c r="Z215" s="31"/>
      <c r="AA215" s="31"/>
      <c r="AB215" s="30"/>
      <c r="AC215" s="32"/>
      <c r="AD215" s="32"/>
      <c r="AE215" s="30">
        <v>5457.1562858424804</v>
      </c>
      <c r="AF215" s="30">
        <v>1193.2830200640001</v>
      </c>
      <c r="AG215" s="186">
        <v>2023</v>
      </c>
      <c r="AH215" s="18">
        <f>2191563.13-V32</f>
        <v>54528.879999999888</v>
      </c>
      <c r="AI215" s="5">
        <f>+(K215*10.5+L215*21)*12*0.85</f>
        <v>412233.255</v>
      </c>
      <c r="AJ215" s="5">
        <f>+(K215*10.5+L215*21)*12*30-Y32</f>
        <v>10699675.590000002</v>
      </c>
      <c r="AL215" s="112">
        <f t="shared" si="50"/>
        <v>0</v>
      </c>
      <c r="AM215" s="30"/>
      <c r="AN215" s="30"/>
      <c r="AO215" s="30">
        <v>0</v>
      </c>
      <c r="AP215" s="30"/>
      <c r="AQ215" s="30">
        <v>0</v>
      </c>
      <c r="AR215" s="30"/>
      <c r="AS215" s="30"/>
      <c r="AT215" s="30">
        <v>0</v>
      </c>
      <c r="AU215" s="30">
        <v>0</v>
      </c>
      <c r="AV215" s="30"/>
      <c r="AW215" s="30">
        <v>4078338.76</v>
      </c>
      <c r="AX215" s="30">
        <v>0</v>
      </c>
      <c r="AY215" s="30"/>
      <c r="AZ215" s="30"/>
      <c r="BA215" s="109">
        <v>37009.660000000003</v>
      </c>
      <c r="BB215" s="5">
        <f t="shared" si="51"/>
        <v>4115348.42</v>
      </c>
    </row>
    <row r="216" spans="1:54" hidden="1">
      <c r="A216" s="10">
        <f t="shared" si="52"/>
        <v>198</v>
      </c>
      <c r="B216" s="113">
        <v>10</v>
      </c>
      <c r="C216" s="101" t="s">
        <v>114</v>
      </c>
      <c r="D216" s="101" t="s">
        <v>468</v>
      </c>
      <c r="E216" s="102">
        <v>1997</v>
      </c>
      <c r="F216" s="102">
        <v>1997</v>
      </c>
      <c r="G216" s="102" t="s">
        <v>3</v>
      </c>
      <c r="H216" s="102">
        <v>9</v>
      </c>
      <c r="I216" s="102">
        <v>1</v>
      </c>
      <c r="J216" s="62">
        <v>2892.9</v>
      </c>
      <c r="K216" s="62">
        <v>2475.6999999999998</v>
      </c>
      <c r="L216" s="62">
        <v>0</v>
      </c>
      <c r="M216" s="103">
        <v>81</v>
      </c>
      <c r="N216" s="28">
        <f t="shared" si="53"/>
        <v>4652447.5599999996</v>
      </c>
      <c r="O216" s="62"/>
      <c r="P216" s="30">
        <v>0</v>
      </c>
      <c r="Q216" s="31"/>
      <c r="R216" s="31"/>
      <c r="S216" s="30"/>
      <c r="T216" s="31"/>
      <c r="U216" s="31"/>
      <c r="V216" s="30">
        <v>2270366.7429999998</v>
      </c>
      <c r="W216" s="31"/>
      <c r="X216" s="31"/>
      <c r="Y216" s="30">
        <v>2382080.8169999998</v>
      </c>
      <c r="Z216" s="31"/>
      <c r="AA216" s="31"/>
      <c r="AB216" s="30"/>
      <c r="AC216" s="32"/>
      <c r="AD216" s="32"/>
      <c r="AE216" s="30">
        <v>5499.6590123012802</v>
      </c>
      <c r="AF216" s="30">
        <v>1200.2830200640001</v>
      </c>
      <c r="AG216" s="186">
        <v>2023</v>
      </c>
      <c r="AH216" s="98">
        <v>1918099.39</v>
      </c>
      <c r="AI216" s="5">
        <f>+(K216*13.95+L216*23.65)*12*0.85</f>
        <v>352267.35299999994</v>
      </c>
      <c r="AJ216" s="5">
        <f>+(K216*13.95+L216*23.65)*12*30</f>
        <v>12432965.399999999</v>
      </c>
      <c r="AL216" s="112">
        <f t="shared" si="50"/>
        <v>0</v>
      </c>
      <c r="AM216" s="30">
        <v>1431154.42</v>
      </c>
      <c r="AN216" s="30">
        <v>676787.87</v>
      </c>
      <c r="AO216" s="30"/>
      <c r="AP216" s="30">
        <v>524666.75</v>
      </c>
      <c r="AQ216" s="30">
        <v>0</v>
      </c>
      <c r="AR216" s="30"/>
      <c r="AS216" s="30"/>
      <c r="AT216" s="30">
        <v>0</v>
      </c>
      <c r="AU216" s="30">
        <v>2019838.52</v>
      </c>
      <c r="AV216" s="30">
        <v>0</v>
      </c>
      <c r="AW216" s="30">
        <v>0</v>
      </c>
      <c r="AX216" s="30">
        <v>0</v>
      </c>
      <c r="AY216" s="30"/>
      <c r="AZ216" s="30"/>
      <c r="BA216" s="40"/>
      <c r="BB216" s="5">
        <f t="shared" si="51"/>
        <v>4652447.5599999996</v>
      </c>
    </row>
    <row r="217" spans="1:54" hidden="1">
      <c r="A217" s="10">
        <f t="shared" si="52"/>
        <v>199</v>
      </c>
      <c r="B217" s="113">
        <f t="shared" ref="B217:B248" si="54">+B216+1</f>
        <v>11</v>
      </c>
      <c r="C217" s="101" t="s">
        <v>114</v>
      </c>
      <c r="D217" s="101" t="s">
        <v>132</v>
      </c>
      <c r="E217" s="102">
        <v>1981</v>
      </c>
      <c r="F217" s="102">
        <v>2016</v>
      </c>
      <c r="G217" s="102" t="s">
        <v>3</v>
      </c>
      <c r="H217" s="102">
        <v>4</v>
      </c>
      <c r="I217" s="102">
        <v>3</v>
      </c>
      <c r="J217" s="62">
        <v>3910.2</v>
      </c>
      <c r="K217" s="62">
        <v>2017.9</v>
      </c>
      <c r="L217" s="62">
        <v>997.9</v>
      </c>
      <c r="M217" s="103">
        <v>113</v>
      </c>
      <c r="N217" s="28">
        <f t="shared" si="53"/>
        <v>1472824.81</v>
      </c>
      <c r="O217" s="62"/>
      <c r="P217" s="30"/>
      <c r="Q217" s="31"/>
      <c r="R217" s="31"/>
      <c r="S217" s="30"/>
      <c r="T217" s="31"/>
      <c r="U217" s="31"/>
      <c r="V217" s="30">
        <v>806677.1</v>
      </c>
      <c r="W217" s="31"/>
      <c r="X217" s="31"/>
      <c r="Y217" s="30">
        <v>666147.71</v>
      </c>
      <c r="Z217" s="31"/>
      <c r="AA217" s="31"/>
      <c r="AB217" s="107"/>
      <c r="AC217" s="108"/>
      <c r="AD217" s="108"/>
      <c r="AE217" s="62">
        <v>1444.6865164984899</v>
      </c>
      <c r="AF217" s="62">
        <v>1444.6865164984899</v>
      </c>
      <c r="AG217" s="186">
        <v>2023</v>
      </c>
      <c r="AH217" s="1">
        <v>954415.48</v>
      </c>
      <c r="AI217" s="5">
        <f>+(K217*10+L217*20)*12*0.85</f>
        <v>409397.39999999997</v>
      </c>
      <c r="AJ217" s="5">
        <f>+(K217*10+L217*20)*12*30</f>
        <v>14449320</v>
      </c>
      <c r="AL217" s="37">
        <f t="shared" si="50"/>
        <v>0</v>
      </c>
      <c r="AM217" s="30">
        <v>1440738</v>
      </c>
      <c r="AN217" s="30"/>
      <c r="AO217" s="30"/>
      <c r="AP217" s="30">
        <v>0</v>
      </c>
      <c r="AQ217" s="30">
        <v>0</v>
      </c>
      <c r="AR217" s="30"/>
      <c r="AS217" s="30"/>
      <c r="AT217" s="30"/>
      <c r="AU217" s="30"/>
      <c r="AV217" s="30">
        <v>0</v>
      </c>
      <c r="AW217" s="30">
        <v>0</v>
      </c>
      <c r="AX217" s="30">
        <v>0</v>
      </c>
      <c r="AY217" s="30"/>
      <c r="AZ217" s="30"/>
      <c r="BA217" s="109">
        <v>32086.81</v>
      </c>
      <c r="BB217" s="5">
        <f t="shared" si="51"/>
        <v>1472824.81</v>
      </c>
    </row>
    <row r="218" spans="1:54" hidden="1">
      <c r="A218" s="10">
        <f t="shared" si="52"/>
        <v>200</v>
      </c>
      <c r="B218" s="113">
        <f t="shared" si="54"/>
        <v>12</v>
      </c>
      <c r="C218" s="101" t="s">
        <v>114</v>
      </c>
      <c r="D218" s="101" t="s">
        <v>469</v>
      </c>
      <c r="E218" s="102">
        <v>1990</v>
      </c>
      <c r="F218" s="102">
        <v>2017</v>
      </c>
      <c r="G218" s="102" t="s">
        <v>3</v>
      </c>
      <c r="H218" s="102">
        <v>9</v>
      </c>
      <c r="I218" s="102">
        <v>1</v>
      </c>
      <c r="J218" s="62">
        <v>3216.7</v>
      </c>
      <c r="K218" s="62">
        <v>2758.3</v>
      </c>
      <c r="L218" s="62">
        <v>0</v>
      </c>
      <c r="M218" s="103">
        <v>101</v>
      </c>
      <c r="N218" s="28">
        <f t="shared" si="53"/>
        <v>1265002.8899999999</v>
      </c>
      <c r="O218" s="62"/>
      <c r="P218" s="62"/>
      <c r="Q218" s="29"/>
      <c r="R218" s="29"/>
      <c r="S218" s="62"/>
      <c r="T218" s="29"/>
      <c r="U218" s="29"/>
      <c r="V218" s="62"/>
      <c r="W218" s="29"/>
      <c r="X218" s="29"/>
      <c r="Y218" s="62">
        <v>1265002.8899999999</v>
      </c>
      <c r="Z218" s="29"/>
      <c r="AA218" s="29"/>
      <c r="AB218" s="62"/>
      <c r="AC218" s="106"/>
      <c r="AD218" s="106"/>
      <c r="AE218" s="62">
        <v>989.54346283019595</v>
      </c>
      <c r="AF218" s="30">
        <v>989.54346283019595</v>
      </c>
      <c r="AG218" s="186">
        <v>2023</v>
      </c>
      <c r="AH218" s="1">
        <v>1661335.31</v>
      </c>
      <c r="AI218" s="5">
        <f>+(K218*13.29+L218*22.52)*12*0.85</f>
        <v>373909.63140000001</v>
      </c>
      <c r="AJ218" s="5">
        <f>+(K218*13.29+L218*22.52)*12*30</f>
        <v>13196810.52</v>
      </c>
      <c r="AL218" s="37">
        <f t="shared" si="50"/>
        <v>0</v>
      </c>
      <c r="AM218" s="30"/>
      <c r="AN218" s="30">
        <v>598205.16</v>
      </c>
      <c r="AO218" s="30">
        <v>0</v>
      </c>
      <c r="AP218" s="30">
        <v>649302.38</v>
      </c>
      <c r="AQ218" s="30">
        <v>0</v>
      </c>
      <c r="AR218" s="30"/>
      <c r="AS218" s="30"/>
      <c r="AT218" s="30">
        <v>0</v>
      </c>
      <c r="AU218" s="30">
        <v>0</v>
      </c>
      <c r="AV218" s="30">
        <v>0</v>
      </c>
      <c r="AW218" s="30">
        <v>0</v>
      </c>
      <c r="AX218" s="30">
        <v>0</v>
      </c>
      <c r="AY218" s="30"/>
      <c r="AZ218" s="30"/>
      <c r="BA218" s="109">
        <v>17495.349999999999</v>
      </c>
      <c r="BB218" s="5">
        <f t="shared" si="51"/>
        <v>1265002.8899999999</v>
      </c>
    </row>
    <row r="219" spans="1:54" hidden="1">
      <c r="A219" s="10">
        <f t="shared" si="52"/>
        <v>201</v>
      </c>
      <c r="B219" s="113">
        <f t="shared" si="54"/>
        <v>13</v>
      </c>
      <c r="C219" s="101" t="s">
        <v>114</v>
      </c>
      <c r="D219" s="101" t="s">
        <v>151</v>
      </c>
      <c r="E219" s="102">
        <v>1991</v>
      </c>
      <c r="F219" s="102">
        <v>1991</v>
      </c>
      <c r="G219" s="102" t="s">
        <v>3</v>
      </c>
      <c r="H219" s="102">
        <v>5</v>
      </c>
      <c r="I219" s="102">
        <v>8</v>
      </c>
      <c r="J219" s="62">
        <v>7532.7</v>
      </c>
      <c r="K219" s="62">
        <v>6513.5</v>
      </c>
      <c r="L219" s="62">
        <v>98.2</v>
      </c>
      <c r="M219" s="103">
        <v>288</v>
      </c>
      <c r="N219" s="28">
        <f t="shared" si="53"/>
        <v>4657286.09</v>
      </c>
      <c r="O219" s="105"/>
      <c r="P219" s="30"/>
      <c r="Q219" s="31"/>
      <c r="R219" s="31"/>
      <c r="S219" s="30"/>
      <c r="T219" s="31"/>
      <c r="U219" s="31"/>
      <c r="V219" s="30">
        <v>2140753.46</v>
      </c>
      <c r="W219" s="31"/>
      <c r="X219" s="31"/>
      <c r="Y219" s="30">
        <v>2516532.63</v>
      </c>
      <c r="Z219" s="31"/>
      <c r="AA219" s="31"/>
      <c r="AB219" s="30"/>
      <c r="AC219" s="32"/>
      <c r="AD219" s="32"/>
      <c r="AE219" s="30">
        <v>795.49916798020695</v>
      </c>
      <c r="AF219" s="30">
        <v>795.49916798020695</v>
      </c>
      <c r="AG219" s="186">
        <v>2023</v>
      </c>
      <c r="AH219" s="1">
        <f>3159895.02-'[2]Приложение №1'!$R$23-542094.29</f>
        <v>2617800.73</v>
      </c>
      <c r="AI219" s="5">
        <f>+(K219*10+L219*20)*12*0.85</f>
        <v>684409.79999999993</v>
      </c>
      <c r="AJ219" s="5">
        <f>+(K219*10+L219*20)*12*30-'[2]Приложение №1'!$S$23-4668048.56</f>
        <v>19487591.440000001</v>
      </c>
      <c r="AL219" s="37">
        <f t="shared" si="50"/>
        <v>0</v>
      </c>
      <c r="AM219" s="30">
        <v>2785412.36</v>
      </c>
      <c r="AN219" s="30"/>
      <c r="AO219" s="30"/>
      <c r="AP219" s="30">
        <v>1797583.57</v>
      </c>
      <c r="AQ219" s="30">
        <v>0</v>
      </c>
      <c r="AR219" s="30"/>
      <c r="AS219" s="30"/>
      <c r="AT219" s="30">
        <v>0</v>
      </c>
      <c r="AU219" s="30">
        <v>0</v>
      </c>
      <c r="AV219" s="30">
        <v>0</v>
      </c>
      <c r="AW219" s="30">
        <v>0</v>
      </c>
      <c r="AX219" s="30">
        <v>0</v>
      </c>
      <c r="AY219" s="30"/>
      <c r="AZ219" s="30"/>
      <c r="BA219" s="109">
        <f>47685.81+26604.35</f>
        <v>74290.16</v>
      </c>
      <c r="BB219" s="5">
        <f t="shared" si="51"/>
        <v>4657286.09</v>
      </c>
    </row>
    <row r="220" spans="1:54" hidden="1">
      <c r="A220" s="10">
        <f t="shared" si="52"/>
        <v>202</v>
      </c>
      <c r="B220" s="113">
        <f t="shared" si="54"/>
        <v>14</v>
      </c>
      <c r="C220" s="101" t="s">
        <v>114</v>
      </c>
      <c r="D220" s="101" t="s">
        <v>158</v>
      </c>
      <c r="E220" s="102">
        <v>1986</v>
      </c>
      <c r="F220" s="102">
        <v>2013</v>
      </c>
      <c r="G220" s="102" t="s">
        <v>3</v>
      </c>
      <c r="H220" s="102">
        <v>5</v>
      </c>
      <c r="I220" s="102">
        <v>3</v>
      </c>
      <c r="J220" s="62">
        <v>4428.3999999999996</v>
      </c>
      <c r="K220" s="62">
        <v>3725.8</v>
      </c>
      <c r="L220" s="62">
        <v>0</v>
      </c>
      <c r="M220" s="103">
        <v>153</v>
      </c>
      <c r="N220" s="28">
        <f t="shared" si="53"/>
        <v>998067.65</v>
      </c>
      <c r="O220" s="62"/>
      <c r="P220" s="30"/>
      <c r="Q220" s="31"/>
      <c r="R220" s="31"/>
      <c r="S220" s="30"/>
      <c r="T220" s="31"/>
      <c r="U220" s="31"/>
      <c r="V220" s="30"/>
      <c r="W220" s="31"/>
      <c r="X220" s="31"/>
      <c r="Y220" s="30">
        <v>998067.65</v>
      </c>
      <c r="Z220" s="31"/>
      <c r="AA220" s="31"/>
      <c r="AB220" s="30"/>
      <c r="AC220" s="32"/>
      <c r="AD220" s="32"/>
      <c r="AE220" s="30">
        <v>318.12660674988598</v>
      </c>
      <c r="AF220" s="30">
        <v>318.12660674988598</v>
      </c>
      <c r="AG220" s="186">
        <v>2023</v>
      </c>
      <c r="AH220" s="18">
        <f>1864228.53-V45</f>
        <v>-380031.59999999986</v>
      </c>
      <c r="AI220" s="5">
        <f>+(K220*10+L220*20)*12*0.85</f>
        <v>380031.6</v>
      </c>
      <c r="AJ220" s="5">
        <f>+(K220*10+L220*20)*12*30-Y45</f>
        <v>10541912.960000001</v>
      </c>
      <c r="AL220" s="37">
        <f t="shared" si="50"/>
        <v>0</v>
      </c>
      <c r="AM220" s="30"/>
      <c r="AN220" s="30">
        <v>0</v>
      </c>
      <c r="AO220" s="30">
        <v>0</v>
      </c>
      <c r="AP220" s="30">
        <v>998067.65</v>
      </c>
      <c r="AQ220" s="30">
        <v>0</v>
      </c>
      <c r="AR220" s="30"/>
      <c r="AS220" s="30"/>
      <c r="AT220" s="30">
        <v>0</v>
      </c>
      <c r="AU220" s="30">
        <v>0</v>
      </c>
      <c r="AV220" s="30"/>
      <c r="AW220" s="30">
        <v>0</v>
      </c>
      <c r="AX220" s="30">
        <v>0</v>
      </c>
      <c r="AY220" s="30"/>
      <c r="AZ220" s="30"/>
      <c r="BA220" s="40"/>
      <c r="BB220" s="5">
        <f t="shared" si="51"/>
        <v>998067.65</v>
      </c>
    </row>
    <row r="221" spans="1:54" hidden="1">
      <c r="A221" s="10">
        <f t="shared" si="52"/>
        <v>203</v>
      </c>
      <c r="B221" s="113">
        <f t="shared" si="54"/>
        <v>15</v>
      </c>
      <c r="C221" s="12" t="s">
        <v>114</v>
      </c>
      <c r="D221" s="12" t="s">
        <v>176</v>
      </c>
      <c r="E221" s="102">
        <v>1992</v>
      </c>
      <c r="F221" s="102">
        <v>2001</v>
      </c>
      <c r="G221" s="102" t="s">
        <v>3</v>
      </c>
      <c r="H221" s="102">
        <v>3</v>
      </c>
      <c r="I221" s="102">
        <v>5</v>
      </c>
      <c r="J221" s="62">
        <v>2965.1</v>
      </c>
      <c r="K221" s="62">
        <v>2484</v>
      </c>
      <c r="L221" s="62">
        <v>87.5</v>
      </c>
      <c r="M221" s="103">
        <v>91</v>
      </c>
      <c r="N221" s="28">
        <f t="shared" si="53"/>
        <v>8234860.9760000007</v>
      </c>
      <c r="O221" s="30"/>
      <c r="P221" s="30">
        <v>5985386.1600000001</v>
      </c>
      <c r="Q221" s="31"/>
      <c r="R221" s="31"/>
      <c r="S221" s="30"/>
      <c r="T221" s="31"/>
      <c r="U221" s="31"/>
      <c r="V221" s="30">
        <v>213532.98</v>
      </c>
      <c r="W221" s="31"/>
      <c r="X221" s="31"/>
      <c r="Y221" s="30">
        <v>2035941.8359999999</v>
      </c>
      <c r="Z221" s="31"/>
      <c r="AA221" s="31"/>
      <c r="AB221" s="30"/>
      <c r="AC221" s="32"/>
      <c r="AD221" s="32"/>
      <c r="AE221" s="30">
        <v>3616.1097528190098</v>
      </c>
      <c r="AF221" s="30">
        <v>3616.1097528190098</v>
      </c>
      <c r="AG221" s="186">
        <v>2023</v>
      </c>
      <c r="AH221" s="18">
        <f>1173019.05-V51</f>
        <v>-13985.589374080068</v>
      </c>
      <c r="AI221" s="5">
        <f>+(K221*10+L221*20)*12*0.85</f>
        <v>271218</v>
      </c>
      <c r="AJ221" s="5">
        <f>+(K221*10+L221*20)*12*30-Y51</f>
        <v>3099907.0893740803</v>
      </c>
      <c r="AL221" s="37">
        <f t="shared" si="50"/>
        <v>0</v>
      </c>
      <c r="AM221" s="30">
        <v>0</v>
      </c>
      <c r="AN221" s="30">
        <v>0</v>
      </c>
      <c r="AO221" s="30">
        <v>0</v>
      </c>
      <c r="AP221" s="30">
        <v>0</v>
      </c>
      <c r="AQ221" s="30">
        <v>0</v>
      </c>
      <c r="AR221" s="30"/>
      <c r="AS221" s="30"/>
      <c r="AT221" s="30">
        <v>0</v>
      </c>
      <c r="AU221" s="30">
        <v>8234860.9800000004</v>
      </c>
      <c r="AV221" s="30">
        <v>0</v>
      </c>
      <c r="AW221" s="30"/>
      <c r="AX221" s="30">
        <v>0</v>
      </c>
      <c r="AY221" s="30"/>
      <c r="AZ221" s="30"/>
      <c r="BA221" s="40"/>
      <c r="BB221" s="5">
        <f t="shared" si="51"/>
        <v>8234860.9760000007</v>
      </c>
    </row>
    <row r="222" spans="1:54" hidden="1">
      <c r="A222" s="10">
        <f t="shared" si="52"/>
        <v>204</v>
      </c>
      <c r="B222" s="113">
        <f t="shared" si="54"/>
        <v>16</v>
      </c>
      <c r="C222" s="101" t="s">
        <v>114</v>
      </c>
      <c r="D222" s="101" t="s">
        <v>321</v>
      </c>
      <c r="E222" s="102">
        <v>1987</v>
      </c>
      <c r="F222" s="102">
        <v>2016</v>
      </c>
      <c r="G222" s="102" t="s">
        <v>3</v>
      </c>
      <c r="H222" s="102">
        <v>5</v>
      </c>
      <c r="I222" s="102">
        <v>5</v>
      </c>
      <c r="J222" s="62">
        <v>7155.6</v>
      </c>
      <c r="K222" s="62">
        <v>5789.5</v>
      </c>
      <c r="L222" s="62">
        <v>194.7</v>
      </c>
      <c r="M222" s="103">
        <v>243</v>
      </c>
      <c r="N222" s="28">
        <f t="shared" si="53"/>
        <v>8726659.4299999997</v>
      </c>
      <c r="O222" s="62"/>
      <c r="P222" s="62"/>
      <c r="Q222" s="29"/>
      <c r="R222" s="29"/>
      <c r="S222" s="62"/>
      <c r="T222" s="29"/>
      <c r="U222" s="29"/>
      <c r="V222" s="62">
        <v>2256212.41</v>
      </c>
      <c r="W222" s="29"/>
      <c r="X222" s="29"/>
      <c r="Y222" s="62">
        <v>6470447.0199999996</v>
      </c>
      <c r="Z222" s="29"/>
      <c r="AA222" s="29"/>
      <c r="AB222" s="62"/>
      <c r="AC222" s="106"/>
      <c r="AD222" s="106"/>
      <c r="AE222" s="62">
        <v>5709.58601666298</v>
      </c>
      <c r="AF222" s="30">
        <v>1235.2830200640001</v>
      </c>
      <c r="AG222" s="186">
        <v>2023</v>
      </c>
      <c r="AH222" s="98">
        <v>3643194.21</v>
      </c>
      <c r="AI222" s="5">
        <f>+(K222*10.5+L222*21)*12*0.85</f>
        <v>661760.18999999994</v>
      </c>
      <c r="AJ222" s="5">
        <f>+(K222*10.5+L222*21)*12*30</f>
        <v>23356241.999999996</v>
      </c>
      <c r="AL222" s="112">
        <f t="shared" si="50"/>
        <v>0</v>
      </c>
      <c r="AM222" s="30"/>
      <c r="AN222" s="30">
        <v>0</v>
      </c>
      <c r="AO222" s="30">
        <v>0</v>
      </c>
      <c r="AP222" s="30"/>
      <c r="AQ222" s="30">
        <v>0</v>
      </c>
      <c r="AR222" s="30"/>
      <c r="AT222" s="30">
        <v>0</v>
      </c>
      <c r="AU222" s="30">
        <v>8726659.4299999997</v>
      </c>
      <c r="AV222" s="30"/>
      <c r="AW222" s="30">
        <v>0</v>
      </c>
      <c r="AX222" s="30">
        <v>0</v>
      </c>
      <c r="AY222" s="30"/>
      <c r="AZ222" s="30"/>
      <c r="BA222" s="40"/>
      <c r="BB222" s="5">
        <f t="shared" si="51"/>
        <v>8726659.4299999997</v>
      </c>
    </row>
    <row r="223" spans="1:54" hidden="1">
      <c r="A223" s="10">
        <f t="shared" si="52"/>
        <v>205</v>
      </c>
      <c r="B223" s="113">
        <f t="shared" si="54"/>
        <v>17</v>
      </c>
      <c r="C223" s="30" t="s">
        <v>114</v>
      </c>
      <c r="D223" s="62" t="s">
        <v>473</v>
      </c>
      <c r="E223" s="102">
        <v>1988</v>
      </c>
      <c r="F223" s="102">
        <v>2016</v>
      </c>
      <c r="G223" s="102" t="s">
        <v>3</v>
      </c>
      <c r="H223" s="102">
        <v>5</v>
      </c>
      <c r="I223" s="102">
        <v>4</v>
      </c>
      <c r="J223" s="62">
        <v>5772.8</v>
      </c>
      <c r="K223" s="30">
        <v>4849.63</v>
      </c>
      <c r="L223" s="30">
        <v>82.5</v>
      </c>
      <c r="M223" s="62">
        <v>180</v>
      </c>
      <c r="N223" s="28">
        <f t="shared" si="53"/>
        <v>25012527.400000002</v>
      </c>
      <c r="O223" s="30"/>
      <c r="P223" s="30">
        <v>5645681.8499999996</v>
      </c>
      <c r="Q223" s="31"/>
      <c r="R223" s="31"/>
      <c r="S223" s="30"/>
      <c r="T223" s="31"/>
      <c r="U223" s="31"/>
      <c r="V223" s="30">
        <v>2069358.88</v>
      </c>
      <c r="W223" s="31"/>
      <c r="X223" s="31"/>
      <c r="Y223" s="30">
        <v>16566112.4</v>
      </c>
      <c r="Z223" s="31"/>
      <c r="AA223" s="31"/>
      <c r="AB223" s="30">
        <v>731374.27000000398</v>
      </c>
      <c r="AC223" s="32"/>
      <c r="AD223" s="32"/>
      <c r="AE223" s="30">
        <v>6311.2653924369397</v>
      </c>
      <c r="AF223" s="62">
        <v>6311.2653924369397</v>
      </c>
      <c r="AG223" s="186">
        <v>2023</v>
      </c>
      <c r="AH223" s="1">
        <v>1557866.62</v>
      </c>
      <c r="AI223" s="5">
        <f>+(K223*10+L223*20)*12*0.85</f>
        <v>511492.26000000007</v>
      </c>
      <c r="AJ223" s="5">
        <f>+(K223*10+L223*20)*12*30</f>
        <v>18052668.000000004</v>
      </c>
      <c r="AL223" s="37">
        <f t="shared" si="50"/>
        <v>0</v>
      </c>
      <c r="AM223" s="30">
        <v>5599179.5899999999</v>
      </c>
      <c r="AN223" s="30">
        <v>4577737.76</v>
      </c>
      <c r="AO223" s="30">
        <v>0</v>
      </c>
      <c r="AP223" s="30">
        <v>0</v>
      </c>
      <c r="AQ223" s="30">
        <v>0</v>
      </c>
      <c r="AR223" s="30"/>
      <c r="AS223" s="30"/>
      <c r="AT223" s="30">
        <v>0</v>
      </c>
      <c r="AU223" s="30">
        <v>7920633.25</v>
      </c>
      <c r="AV223" s="30">
        <v>6914976.7999999998</v>
      </c>
      <c r="AW223" s="30">
        <v>0</v>
      </c>
      <c r="AX223" s="30">
        <v>0</v>
      </c>
      <c r="AY223" s="30"/>
      <c r="AZ223" s="30"/>
      <c r="BA223" s="40"/>
      <c r="BB223" s="5">
        <f t="shared" si="51"/>
        <v>25012527.400000002</v>
      </c>
    </row>
    <row r="224" spans="1:54" hidden="1">
      <c r="A224" s="10">
        <f t="shared" si="52"/>
        <v>206</v>
      </c>
      <c r="B224" s="113">
        <f t="shared" si="54"/>
        <v>18</v>
      </c>
      <c r="C224" s="30" t="s">
        <v>114</v>
      </c>
      <c r="D224" s="62" t="s">
        <v>323</v>
      </c>
      <c r="E224" s="102">
        <v>1993</v>
      </c>
      <c r="F224" s="102">
        <v>1993</v>
      </c>
      <c r="G224" s="102" t="s">
        <v>3</v>
      </c>
      <c r="H224" s="102">
        <v>5</v>
      </c>
      <c r="I224" s="102">
        <v>3</v>
      </c>
      <c r="J224" s="62">
        <v>2627.7</v>
      </c>
      <c r="K224" s="30">
        <v>2328</v>
      </c>
      <c r="L224" s="30">
        <v>0</v>
      </c>
      <c r="M224" s="62">
        <v>101</v>
      </c>
      <c r="N224" s="28">
        <f t="shared" si="53"/>
        <v>4321774.3499999996</v>
      </c>
      <c r="O224" s="30"/>
      <c r="P224" s="62">
        <v>1052139.8500000001</v>
      </c>
      <c r="Q224" s="29"/>
      <c r="R224" s="29"/>
      <c r="S224" s="30"/>
      <c r="T224" s="31"/>
      <c r="U224" s="31"/>
      <c r="V224" s="30">
        <v>3269634.5</v>
      </c>
      <c r="W224" s="31"/>
      <c r="X224" s="31"/>
      <c r="Y224" s="62"/>
      <c r="Z224" s="29"/>
      <c r="AA224" s="29"/>
      <c r="AB224" s="30"/>
      <c r="AC224" s="32"/>
      <c r="AD224" s="32"/>
      <c r="AE224" s="30">
        <v>2251.35944975759</v>
      </c>
      <c r="AF224" s="62">
        <v>2251.35944975759</v>
      </c>
      <c r="AG224" s="186">
        <v>2023</v>
      </c>
      <c r="AH224" s="1">
        <v>1113195.26</v>
      </c>
      <c r="AI224" s="5">
        <f>+(K224*10+L224*20)*12*0.85</f>
        <v>237456</v>
      </c>
      <c r="AJ224" s="5">
        <f>+(K224*10+L224*20)*12*30</f>
        <v>8380800</v>
      </c>
      <c r="AL224" s="37">
        <f t="shared" si="50"/>
        <v>0</v>
      </c>
      <c r="AM224" s="30">
        <v>0</v>
      </c>
      <c r="AN224" s="30">
        <v>0</v>
      </c>
      <c r="AO224" s="30"/>
      <c r="AP224" s="30">
        <v>0</v>
      </c>
      <c r="AQ224" s="30">
        <v>0</v>
      </c>
      <c r="AR224" s="30"/>
      <c r="AS224" s="30"/>
      <c r="AT224" s="30">
        <v>0</v>
      </c>
      <c r="AU224" s="30">
        <v>0</v>
      </c>
      <c r="AV224" s="30">
        <v>4285501.51</v>
      </c>
      <c r="AW224" s="30">
        <v>0</v>
      </c>
      <c r="AX224" s="30">
        <v>0</v>
      </c>
      <c r="AY224" s="30"/>
      <c r="AZ224" s="30"/>
      <c r="BA224" s="109">
        <v>36272.839999999997</v>
      </c>
      <c r="BB224" s="5">
        <f t="shared" si="51"/>
        <v>4321774.3499999996</v>
      </c>
    </row>
    <row r="225" spans="1:54" hidden="1">
      <c r="A225" s="10">
        <f t="shared" si="52"/>
        <v>207</v>
      </c>
      <c r="B225" s="113">
        <f t="shared" si="54"/>
        <v>19</v>
      </c>
      <c r="C225" s="30" t="s">
        <v>114</v>
      </c>
      <c r="D225" s="62" t="s">
        <v>326</v>
      </c>
      <c r="E225" s="102">
        <v>1987</v>
      </c>
      <c r="F225" s="102">
        <v>2013</v>
      </c>
      <c r="G225" s="102" t="s">
        <v>3</v>
      </c>
      <c r="H225" s="102">
        <v>5</v>
      </c>
      <c r="I225" s="102">
        <v>6</v>
      </c>
      <c r="J225" s="62">
        <v>5156.5</v>
      </c>
      <c r="K225" s="30">
        <v>4643.1499999999996</v>
      </c>
      <c r="L225" s="30">
        <v>0</v>
      </c>
      <c r="M225" s="62">
        <v>198</v>
      </c>
      <c r="N225" s="28">
        <f t="shared" si="53"/>
        <v>9852311.0800000001</v>
      </c>
      <c r="O225" s="30"/>
      <c r="P225" s="62"/>
      <c r="Q225" s="29"/>
      <c r="R225" s="29"/>
      <c r="S225" s="30"/>
      <c r="T225" s="31"/>
      <c r="U225" s="31"/>
      <c r="V225" s="30"/>
      <c r="W225" s="31"/>
      <c r="X225" s="31"/>
      <c r="Y225" s="62">
        <v>9852311.0800000001</v>
      </c>
      <c r="Z225" s="29"/>
      <c r="AA225" s="29"/>
      <c r="AB225" s="30"/>
      <c r="AC225" s="32"/>
      <c r="AD225" s="32"/>
      <c r="AE225" s="30">
        <v>3983.9674421835298</v>
      </c>
      <c r="AF225" s="62">
        <v>3983.9674421835298</v>
      </c>
      <c r="AG225" s="186">
        <v>2023</v>
      </c>
      <c r="AH225" s="1">
        <v>2116377.04</v>
      </c>
      <c r="AI225" s="5">
        <f>+(K225*10+L225*20)*12*0.85</f>
        <v>473601.3</v>
      </c>
      <c r="AJ225" s="5">
        <f>+(K225*10+L225*20)*12*30</f>
        <v>16715340</v>
      </c>
      <c r="AL225" s="37">
        <f t="shared" si="50"/>
        <v>0</v>
      </c>
      <c r="AM225" s="30">
        <v>6213317.0199999996</v>
      </c>
      <c r="AN225" s="30">
        <v>0</v>
      </c>
      <c r="AO225" s="30"/>
      <c r="AP225" s="30">
        <v>3638994.06</v>
      </c>
      <c r="AQ225" s="30">
        <v>0</v>
      </c>
      <c r="AR225" s="30"/>
      <c r="AS225" s="30"/>
      <c r="AT225" s="30">
        <v>0</v>
      </c>
      <c r="AU225" s="30">
        <v>0</v>
      </c>
      <c r="AV225" s="30">
        <v>0</v>
      </c>
      <c r="AW225" s="30">
        <v>0</v>
      </c>
      <c r="AX225" s="30">
        <v>0</v>
      </c>
      <c r="AY225" s="30"/>
      <c r="AZ225" s="30"/>
      <c r="BA225" s="40"/>
      <c r="BB225" s="5">
        <f t="shared" si="51"/>
        <v>9852311.0800000001</v>
      </c>
    </row>
    <row r="226" spans="1:54" hidden="1">
      <c r="A226" s="10">
        <f t="shared" si="52"/>
        <v>208</v>
      </c>
      <c r="B226" s="113">
        <f t="shared" si="54"/>
        <v>20</v>
      </c>
      <c r="C226" s="101" t="s">
        <v>114</v>
      </c>
      <c r="D226" s="101" t="s">
        <v>330</v>
      </c>
      <c r="E226" s="102">
        <v>1987</v>
      </c>
      <c r="F226" s="102">
        <v>2008</v>
      </c>
      <c r="G226" s="102" t="s">
        <v>3</v>
      </c>
      <c r="H226" s="102">
        <v>5</v>
      </c>
      <c r="I226" s="102">
        <v>6</v>
      </c>
      <c r="J226" s="62">
        <v>5142.3999999999996</v>
      </c>
      <c r="K226" s="62">
        <v>4585</v>
      </c>
      <c r="L226" s="62">
        <v>0</v>
      </c>
      <c r="M226" s="103">
        <v>184</v>
      </c>
      <c r="N226" s="28">
        <f t="shared" si="53"/>
        <v>9748997.290000001</v>
      </c>
      <c r="O226" s="62"/>
      <c r="P226" s="30"/>
      <c r="Q226" s="31"/>
      <c r="R226" s="31"/>
      <c r="S226" s="30"/>
      <c r="T226" s="31"/>
      <c r="U226" s="31"/>
      <c r="V226" s="30">
        <v>1178120.58</v>
      </c>
      <c r="W226" s="31"/>
      <c r="X226" s="31"/>
      <c r="Y226" s="30">
        <v>8570876.7100000009</v>
      </c>
      <c r="Z226" s="31"/>
      <c r="AA226" s="31"/>
      <c r="AB226" s="30"/>
      <c r="AC226" s="32"/>
      <c r="AD226" s="32"/>
      <c r="AE226" s="62">
        <v>3099.1669824455098</v>
      </c>
      <c r="AF226" s="62">
        <v>3099.1669824455098</v>
      </c>
      <c r="AG226" s="186">
        <v>2023</v>
      </c>
      <c r="AH226" s="1">
        <v>2190820.19</v>
      </c>
      <c r="AI226" s="5">
        <f>+(K226*10+L226*20)*12*0.85</f>
        <v>467670</v>
      </c>
      <c r="AJ226" s="5">
        <f>+(K226*10+L226*20)*12*30</f>
        <v>16506000</v>
      </c>
      <c r="AL226" s="37">
        <f t="shared" si="50"/>
        <v>0</v>
      </c>
      <c r="AM226" s="30">
        <v>6214077.5499999998</v>
      </c>
      <c r="AN226" s="30">
        <v>0</v>
      </c>
      <c r="AO226" s="30"/>
      <c r="AP226" s="30">
        <v>3534919.74</v>
      </c>
      <c r="AQ226" s="30">
        <v>0</v>
      </c>
      <c r="AR226" s="30"/>
      <c r="AS226" s="30"/>
      <c r="AT226" s="30">
        <v>0</v>
      </c>
      <c r="AU226" s="30">
        <v>0</v>
      </c>
      <c r="AV226" s="30">
        <v>0</v>
      </c>
      <c r="AW226" s="30">
        <v>0</v>
      </c>
      <c r="AX226" s="30">
        <v>0</v>
      </c>
      <c r="AY226" s="30"/>
      <c r="AZ226" s="30"/>
      <c r="BA226" s="40"/>
      <c r="BB226" s="5">
        <f t="shared" si="51"/>
        <v>9748997.290000001</v>
      </c>
    </row>
    <row r="227" spans="1:54" hidden="1">
      <c r="A227" s="10">
        <f t="shared" si="52"/>
        <v>209</v>
      </c>
      <c r="B227" s="113">
        <f t="shared" si="54"/>
        <v>21</v>
      </c>
      <c r="C227" s="101" t="s">
        <v>114</v>
      </c>
      <c r="D227" s="101" t="s">
        <v>332</v>
      </c>
      <c r="E227" s="102">
        <v>1988</v>
      </c>
      <c r="F227" s="102">
        <v>2008</v>
      </c>
      <c r="G227" s="102" t="s">
        <v>3</v>
      </c>
      <c r="H227" s="102">
        <v>5</v>
      </c>
      <c r="I227" s="102">
        <v>6</v>
      </c>
      <c r="J227" s="62">
        <v>5139.5</v>
      </c>
      <c r="K227" s="62">
        <v>4552.6000000000004</v>
      </c>
      <c r="L227" s="62">
        <v>68.400000000000006</v>
      </c>
      <c r="M227" s="103">
        <v>203</v>
      </c>
      <c r="N227" s="28">
        <f t="shared" si="53"/>
        <v>9742557.6600000001</v>
      </c>
      <c r="O227" s="62"/>
      <c r="P227" s="30"/>
      <c r="Q227" s="31"/>
      <c r="R227" s="31"/>
      <c r="S227" s="30"/>
      <c r="T227" s="31"/>
      <c r="U227" s="31"/>
      <c r="V227" s="30">
        <v>1364569.88490378</v>
      </c>
      <c r="W227" s="31"/>
      <c r="X227" s="31"/>
      <c r="Y227" s="30">
        <v>8377987.77509622</v>
      </c>
      <c r="Z227" s="31"/>
      <c r="AA227" s="31"/>
      <c r="AB227" s="30"/>
      <c r="AC227" s="32"/>
      <c r="AD227" s="32"/>
      <c r="AE227" s="62">
        <v>3233.4583557799401</v>
      </c>
      <c r="AF227" s="62">
        <v>3233.4583557799401</v>
      </c>
      <c r="AG227" s="186">
        <v>2023</v>
      </c>
      <c r="AH227" s="1">
        <v>2180464.7799999998</v>
      </c>
      <c r="AI227" s="5">
        <f>+(K227*10+L227*20)*12*0.85</f>
        <v>478318.8</v>
      </c>
      <c r="AJ227" s="5">
        <f>+(K227*10+L227*20)*12*30</f>
        <v>16881840</v>
      </c>
      <c r="AL227" s="37">
        <f t="shared" si="50"/>
        <v>0</v>
      </c>
      <c r="AM227" s="30">
        <v>6221126</v>
      </c>
      <c r="AN227" s="30">
        <v>0</v>
      </c>
      <c r="AO227" s="30"/>
      <c r="AP227" s="30">
        <v>3521431.66</v>
      </c>
      <c r="AQ227" s="30">
        <v>0</v>
      </c>
      <c r="AR227" s="30"/>
      <c r="AS227" s="30"/>
      <c r="AT227" s="30">
        <v>0</v>
      </c>
      <c r="AU227" s="30">
        <v>0</v>
      </c>
      <c r="AV227" s="30">
        <v>0</v>
      </c>
      <c r="AW227" s="30">
        <v>0</v>
      </c>
      <c r="AX227" s="30">
        <v>0</v>
      </c>
      <c r="AY227" s="30"/>
      <c r="AZ227" s="30"/>
      <c r="BA227" s="40"/>
      <c r="BB227" s="5">
        <f t="shared" si="51"/>
        <v>9742557.6600000001</v>
      </c>
    </row>
    <row r="228" spans="1:54" hidden="1">
      <c r="A228" s="10">
        <f t="shared" si="52"/>
        <v>210</v>
      </c>
      <c r="B228" s="113">
        <f t="shared" si="54"/>
        <v>22</v>
      </c>
      <c r="C228" s="101" t="s">
        <v>114</v>
      </c>
      <c r="D228" s="101" t="s">
        <v>477</v>
      </c>
      <c r="E228" s="102">
        <v>1991</v>
      </c>
      <c r="F228" s="102">
        <v>2017</v>
      </c>
      <c r="G228" s="102" t="s">
        <v>3</v>
      </c>
      <c r="H228" s="102">
        <v>9</v>
      </c>
      <c r="I228" s="102">
        <v>1</v>
      </c>
      <c r="J228" s="62">
        <v>3222.4</v>
      </c>
      <c r="K228" s="62">
        <v>2756.2</v>
      </c>
      <c r="L228" s="62">
        <v>0</v>
      </c>
      <c r="M228" s="103">
        <v>108</v>
      </c>
      <c r="N228" s="28">
        <f t="shared" si="53"/>
        <v>9994822.1899999995</v>
      </c>
      <c r="O228" s="62"/>
      <c r="P228" s="30"/>
      <c r="Q228" s="31"/>
      <c r="R228" s="31"/>
      <c r="S228" s="30"/>
      <c r="T228" s="31"/>
      <c r="U228" s="31"/>
      <c r="V228" s="30">
        <v>2573584.5079999999</v>
      </c>
      <c r="W228" s="31"/>
      <c r="X228" s="31"/>
      <c r="Y228" s="30">
        <v>7421237.682</v>
      </c>
      <c r="Z228" s="31"/>
      <c r="AA228" s="31"/>
      <c r="AB228" s="30"/>
      <c r="AC228" s="32"/>
      <c r="AD228" s="32"/>
      <c r="AE228" s="30">
        <v>7166.9525732224301</v>
      </c>
      <c r="AF228" s="30">
        <v>1239.2830200640001</v>
      </c>
      <c r="AG228" s="186">
        <v>2023</v>
      </c>
      <c r="AH228" s="98">
        <v>2181404.81</v>
      </c>
      <c r="AI228" s="5">
        <f>+(K228*13.95+L228*23.65)*12*0.85</f>
        <v>392179.69799999997</v>
      </c>
      <c r="AJ228" s="5">
        <f>+(K228*13.95+L228*23.65)*12*30</f>
        <v>13841636.4</v>
      </c>
      <c r="AL228" s="112">
        <f t="shared" si="50"/>
        <v>0</v>
      </c>
      <c r="AM228" s="30">
        <v>0</v>
      </c>
      <c r="AN228" s="30">
        <v>0</v>
      </c>
      <c r="AO228" s="30">
        <v>0</v>
      </c>
      <c r="AP228" s="30">
        <v>0</v>
      </c>
      <c r="AQ228" s="30">
        <v>0</v>
      </c>
      <c r="AR228" s="30"/>
      <c r="AS228" s="30"/>
      <c r="AT228" s="30">
        <v>0</v>
      </c>
      <c r="AU228" s="30">
        <v>0</v>
      </c>
      <c r="AV228" s="30">
        <v>0</v>
      </c>
      <c r="AW228" s="30">
        <v>9867857.1400000006</v>
      </c>
      <c r="AX228" s="30">
        <v>0</v>
      </c>
      <c r="AY228" s="30">
        <v>102965.05</v>
      </c>
      <c r="AZ228" s="30">
        <v>24000</v>
      </c>
      <c r="BA228" s="40"/>
      <c r="BB228" s="5">
        <f t="shared" si="51"/>
        <v>9994822.1899999995</v>
      </c>
    </row>
    <row r="229" spans="1:54" hidden="1">
      <c r="A229" s="10">
        <f t="shared" si="52"/>
        <v>211</v>
      </c>
      <c r="B229" s="113">
        <f t="shared" si="54"/>
        <v>23</v>
      </c>
      <c r="C229" s="101" t="s">
        <v>114</v>
      </c>
      <c r="D229" s="101" t="s">
        <v>478</v>
      </c>
      <c r="E229" s="102">
        <v>1991</v>
      </c>
      <c r="F229" s="102">
        <v>2017</v>
      </c>
      <c r="G229" s="102" t="s">
        <v>3</v>
      </c>
      <c r="H229" s="102">
        <v>9</v>
      </c>
      <c r="I229" s="102">
        <v>1</v>
      </c>
      <c r="J229" s="62">
        <v>3271</v>
      </c>
      <c r="K229" s="62">
        <v>2814.6</v>
      </c>
      <c r="L229" s="62">
        <v>0</v>
      </c>
      <c r="M229" s="103">
        <v>93</v>
      </c>
      <c r="N229" s="28">
        <f t="shared" si="53"/>
        <v>4013909.7699999996</v>
      </c>
      <c r="O229" s="62"/>
      <c r="P229" s="30"/>
      <c r="Q229" s="31"/>
      <c r="R229" s="31"/>
      <c r="S229" s="30"/>
      <c r="T229" s="31"/>
      <c r="U229" s="31"/>
      <c r="V229" s="30">
        <v>1171805.3941889999</v>
      </c>
      <c r="W229" s="31"/>
      <c r="X229" s="31"/>
      <c r="Y229" s="30">
        <v>2842104.3758109999</v>
      </c>
      <c r="Z229" s="31"/>
      <c r="AA229" s="31"/>
      <c r="AB229" s="30"/>
      <c r="AC229" s="32"/>
      <c r="AD229" s="32"/>
      <c r="AE229" s="30">
        <v>3490.9418391755999</v>
      </c>
      <c r="AF229" s="30">
        <v>1243.2830200640001</v>
      </c>
      <c r="AG229" s="186">
        <v>2023</v>
      </c>
      <c r="AH229" s="98">
        <v>2237132.42</v>
      </c>
      <c r="AI229" s="5">
        <f>+(K229*13.95+L229*23.65)*12*0.85</f>
        <v>400489.43399999995</v>
      </c>
      <c r="AJ229" s="5">
        <f>+(K229*13.95+L229*23.65)*12*30</f>
        <v>14134921.199999999</v>
      </c>
      <c r="AL229" s="112">
        <f t="shared" si="50"/>
        <v>0</v>
      </c>
      <c r="AM229" s="30"/>
      <c r="AN229" s="30">
        <v>2639754.41</v>
      </c>
      <c r="AO229" s="30">
        <v>0</v>
      </c>
      <c r="AP229" s="30">
        <v>1374155.36</v>
      </c>
      <c r="AQ229" s="30">
        <v>0</v>
      </c>
      <c r="AR229" s="30"/>
      <c r="AS229" s="30"/>
      <c r="AT229" s="30">
        <v>0</v>
      </c>
      <c r="AU229" s="30">
        <v>0</v>
      </c>
      <c r="AV229" s="30">
        <v>0</v>
      </c>
      <c r="AW229" s="30">
        <v>0</v>
      </c>
      <c r="AX229" s="30">
        <v>0</v>
      </c>
      <c r="AY229" s="30"/>
      <c r="AZ229" s="30"/>
      <c r="BA229" s="40"/>
      <c r="BB229" s="5">
        <f t="shared" si="51"/>
        <v>4013909.7699999996</v>
      </c>
    </row>
    <row r="230" spans="1:54" hidden="1">
      <c r="A230" s="10">
        <f t="shared" si="52"/>
        <v>212</v>
      </c>
      <c r="B230" s="113">
        <f t="shared" si="54"/>
        <v>24</v>
      </c>
      <c r="C230" s="101" t="s">
        <v>114</v>
      </c>
      <c r="D230" s="101" t="s">
        <v>342</v>
      </c>
      <c r="E230" s="102">
        <v>1991</v>
      </c>
      <c r="F230" s="102">
        <v>2009</v>
      </c>
      <c r="G230" s="102" t="s">
        <v>3</v>
      </c>
      <c r="H230" s="102">
        <v>5</v>
      </c>
      <c r="I230" s="102">
        <v>2</v>
      </c>
      <c r="J230" s="62">
        <v>3315.2</v>
      </c>
      <c r="K230" s="62">
        <v>2614.6999999999998</v>
      </c>
      <c r="L230" s="62">
        <v>667.8</v>
      </c>
      <c r="M230" s="103">
        <v>88</v>
      </c>
      <c r="N230" s="28">
        <f t="shared" si="53"/>
        <v>1850706.3800000001</v>
      </c>
      <c r="O230" s="62"/>
      <c r="P230" s="30"/>
      <c r="Q230" s="31"/>
      <c r="R230" s="31"/>
      <c r="S230" s="30"/>
      <c r="T230" s="31"/>
      <c r="U230" s="31"/>
      <c r="V230" s="30">
        <v>740039.99340000004</v>
      </c>
      <c r="W230" s="31"/>
      <c r="X230" s="31"/>
      <c r="Y230" s="30">
        <v>1110666.3866000001</v>
      </c>
      <c r="Z230" s="31"/>
      <c r="AA230" s="31"/>
      <c r="AB230" s="107"/>
      <c r="AC230" s="108"/>
      <c r="AD230" s="108"/>
      <c r="AE230" s="30">
        <v>1032.78654360319</v>
      </c>
      <c r="AF230" s="30">
        <v>1032.78654360319</v>
      </c>
      <c r="AG230" s="186">
        <v>2023</v>
      </c>
      <c r="AH230" s="1">
        <v>1371575.02</v>
      </c>
      <c r="AI230" s="5">
        <f>+(K230*10+L230*20)*12*0.85</f>
        <v>402930.6</v>
      </c>
      <c r="AJ230" s="5">
        <f>+(K230*10+L230*20)*12*30</f>
        <v>14221080</v>
      </c>
      <c r="AL230" s="37">
        <f t="shared" si="50"/>
        <v>0</v>
      </c>
      <c r="AM230" s="30">
        <v>0</v>
      </c>
      <c r="AN230" s="30">
        <v>0</v>
      </c>
      <c r="AO230" s="30"/>
      <c r="AP230" s="30">
        <v>1740087.49</v>
      </c>
      <c r="AQ230" s="30">
        <v>0</v>
      </c>
      <c r="AR230" s="30"/>
      <c r="AS230" s="30"/>
      <c r="AT230" s="30">
        <v>0</v>
      </c>
      <c r="AU230" s="30">
        <v>0</v>
      </c>
      <c r="AV230" s="30">
        <v>0</v>
      </c>
      <c r="AW230" s="30">
        <v>0</v>
      </c>
      <c r="AX230" s="30">
        <v>0</v>
      </c>
      <c r="AY230" s="30">
        <v>93622.89</v>
      </c>
      <c r="AZ230" s="30">
        <v>16996</v>
      </c>
      <c r="BA230" s="40"/>
      <c r="BB230" s="5">
        <f t="shared" si="51"/>
        <v>1850706.3800000001</v>
      </c>
    </row>
    <row r="231" spans="1:54" hidden="1">
      <c r="A231" s="10">
        <f t="shared" si="52"/>
        <v>213</v>
      </c>
      <c r="B231" s="113">
        <f t="shared" si="54"/>
        <v>25</v>
      </c>
      <c r="C231" s="12" t="s">
        <v>185</v>
      </c>
      <c r="D231" s="12" t="s">
        <v>480</v>
      </c>
      <c r="E231" s="102">
        <v>1991</v>
      </c>
      <c r="F231" s="102">
        <v>2016</v>
      </c>
      <c r="G231" s="102" t="s">
        <v>3</v>
      </c>
      <c r="H231" s="102">
        <v>5</v>
      </c>
      <c r="I231" s="102">
        <v>4</v>
      </c>
      <c r="J231" s="62">
        <v>4887.3</v>
      </c>
      <c r="K231" s="62">
        <v>4825.5</v>
      </c>
      <c r="L231" s="62">
        <v>0</v>
      </c>
      <c r="M231" s="103">
        <v>240</v>
      </c>
      <c r="N231" s="28">
        <f t="shared" si="53"/>
        <v>4776548.88</v>
      </c>
      <c r="O231" s="30"/>
      <c r="P231" s="30">
        <v>2042724.8</v>
      </c>
      <c r="Q231" s="31"/>
      <c r="R231" s="31"/>
      <c r="S231" s="30"/>
      <c r="T231" s="31"/>
      <c r="U231" s="31"/>
      <c r="V231" s="30">
        <v>2337821.67</v>
      </c>
      <c r="W231" s="31"/>
      <c r="X231" s="31"/>
      <c r="Y231" s="30">
        <v>396002.41</v>
      </c>
      <c r="Z231" s="31"/>
      <c r="AA231" s="31"/>
      <c r="AB231" s="30"/>
      <c r="AC231" s="32"/>
      <c r="AD231" s="32"/>
      <c r="AE231" s="62">
        <v>942.38352526121605</v>
      </c>
      <c r="AF231" s="62">
        <v>942.38352526121605</v>
      </c>
      <c r="AG231" s="186">
        <v>2023</v>
      </c>
      <c r="AH231" s="1">
        <v>1845620.67</v>
      </c>
      <c r="AI231" s="5">
        <f>+(K231*10+L231*20)*12*0.85</f>
        <v>492201</v>
      </c>
      <c r="AJ231" s="5">
        <f>+(K231*10+L231*20)*12*30</f>
        <v>17371800</v>
      </c>
      <c r="AL231" s="37">
        <f t="shared" si="50"/>
        <v>0</v>
      </c>
      <c r="AM231" s="30">
        <v>0</v>
      </c>
      <c r="AN231" s="30">
        <v>0</v>
      </c>
      <c r="AO231" s="30">
        <v>0</v>
      </c>
      <c r="AP231" s="30">
        <v>0</v>
      </c>
      <c r="AQ231" s="30">
        <v>0</v>
      </c>
      <c r="AR231" s="30"/>
      <c r="AS231" s="30"/>
      <c r="AT231" s="30">
        <v>0</v>
      </c>
      <c r="AU231" s="30">
        <v>4650900</v>
      </c>
      <c r="AV231" s="30">
        <v>0</v>
      </c>
      <c r="AW231" s="30">
        <v>0</v>
      </c>
      <c r="AX231" s="30">
        <v>0</v>
      </c>
      <c r="AY231" s="30">
        <v>101648.88</v>
      </c>
      <c r="AZ231" s="30">
        <v>24000</v>
      </c>
      <c r="BA231" s="40"/>
      <c r="BB231" s="5">
        <f t="shared" si="51"/>
        <v>4776548.88</v>
      </c>
    </row>
    <row r="232" spans="1:54" hidden="1">
      <c r="A232" s="10">
        <f t="shared" si="52"/>
        <v>214</v>
      </c>
      <c r="B232" s="113">
        <f t="shared" si="54"/>
        <v>26</v>
      </c>
      <c r="C232" s="12" t="s">
        <v>185</v>
      </c>
      <c r="D232" s="12" t="s">
        <v>189</v>
      </c>
      <c r="E232" s="102">
        <v>1999</v>
      </c>
      <c r="F232" s="102">
        <v>2011</v>
      </c>
      <c r="G232" s="102" t="s">
        <v>3</v>
      </c>
      <c r="H232" s="102">
        <v>4</v>
      </c>
      <c r="I232" s="102">
        <v>3</v>
      </c>
      <c r="J232" s="62">
        <v>1789.4</v>
      </c>
      <c r="K232" s="62">
        <v>1789.4</v>
      </c>
      <c r="L232" s="62">
        <v>0</v>
      </c>
      <c r="M232" s="103">
        <v>56</v>
      </c>
      <c r="N232" s="28">
        <f t="shared" si="53"/>
        <v>1346807.24</v>
      </c>
      <c r="O232" s="30"/>
      <c r="P232" s="30">
        <v>1138231.98</v>
      </c>
      <c r="Q232" s="31"/>
      <c r="R232" s="31"/>
      <c r="S232" s="30"/>
      <c r="T232" s="31"/>
      <c r="U232" s="31"/>
      <c r="V232" s="30">
        <v>208575.26</v>
      </c>
      <c r="W232" s="31"/>
      <c r="X232" s="31"/>
      <c r="Y232" s="30"/>
      <c r="Z232" s="31"/>
      <c r="AA232" s="31"/>
      <c r="AB232" s="30"/>
      <c r="AC232" s="32"/>
      <c r="AD232" s="32"/>
      <c r="AE232" s="62">
        <v>885.42998211691099</v>
      </c>
      <c r="AF232" s="62">
        <v>885.42998211691099</v>
      </c>
      <c r="AG232" s="186">
        <v>2023</v>
      </c>
      <c r="AH232" s="18">
        <f>725047.53-V56</f>
        <v>-164367.46999999997</v>
      </c>
      <c r="AI232" s="5">
        <f>+(K232*10+L232*20)*12*0.85</f>
        <v>182518.8</v>
      </c>
      <c r="AJ232" s="5">
        <f>+(K232*10+L232*20)*12*30-Y56</f>
        <v>0</v>
      </c>
      <c r="AL232" s="37">
        <f t="shared" si="50"/>
        <v>0</v>
      </c>
      <c r="AM232" s="30"/>
      <c r="AN232" s="30">
        <v>0</v>
      </c>
      <c r="AO232" s="30"/>
      <c r="AP232" s="30">
        <v>1320750.78</v>
      </c>
      <c r="AQ232" s="30">
        <v>0</v>
      </c>
      <c r="AR232" s="30"/>
      <c r="AS232" s="30"/>
      <c r="AT232" s="30">
        <v>0</v>
      </c>
      <c r="AU232" s="30"/>
      <c r="AV232" s="30">
        <v>0</v>
      </c>
      <c r="AW232" s="30">
        <v>0</v>
      </c>
      <c r="AX232" s="30">
        <v>0</v>
      </c>
      <c r="AY232" s="30">
        <v>20056.46</v>
      </c>
      <c r="AZ232" s="30">
        <v>6000</v>
      </c>
      <c r="BA232" s="40"/>
      <c r="BB232" s="5">
        <f t="shared" si="51"/>
        <v>1346807.24</v>
      </c>
    </row>
    <row r="233" spans="1:54" hidden="1">
      <c r="A233" s="10">
        <f t="shared" si="52"/>
        <v>215</v>
      </c>
      <c r="B233" s="113">
        <f t="shared" si="54"/>
        <v>27</v>
      </c>
      <c r="C233" s="12" t="s">
        <v>185</v>
      </c>
      <c r="D233" s="12" t="s">
        <v>481</v>
      </c>
      <c r="E233" s="102">
        <v>1996</v>
      </c>
      <c r="F233" s="102">
        <v>2013</v>
      </c>
      <c r="G233" s="102" t="s">
        <v>3</v>
      </c>
      <c r="H233" s="102">
        <v>2</v>
      </c>
      <c r="I233" s="102">
        <v>2</v>
      </c>
      <c r="J233" s="62">
        <v>1125</v>
      </c>
      <c r="K233" s="62">
        <v>1125</v>
      </c>
      <c r="L233" s="62">
        <v>0</v>
      </c>
      <c r="M233" s="103">
        <v>54</v>
      </c>
      <c r="N233" s="28">
        <f t="shared" si="53"/>
        <v>3711829.5</v>
      </c>
      <c r="O233" s="30"/>
      <c r="P233" s="30">
        <v>404783.00844599999</v>
      </c>
      <c r="Q233" s="31"/>
      <c r="R233" s="31"/>
      <c r="S233" s="30"/>
      <c r="T233" s="31"/>
      <c r="U233" s="31"/>
      <c r="V233" s="30">
        <v>760259.35</v>
      </c>
      <c r="W233" s="31"/>
      <c r="X233" s="31"/>
      <c r="Y233" s="30">
        <v>2546787.1415539999</v>
      </c>
      <c r="Z233" s="31"/>
      <c r="AA233" s="31"/>
      <c r="AB233" s="30"/>
      <c r="AC233" s="32"/>
      <c r="AD233" s="32"/>
      <c r="AE233" s="30">
        <v>3373.6265675075601</v>
      </c>
      <c r="AF233" s="30">
        <v>1250.2830200640001</v>
      </c>
      <c r="AG233" s="186">
        <v>2023</v>
      </c>
      <c r="AH233" s="98">
        <v>639771.85</v>
      </c>
      <c r="AI233" s="5">
        <f>+(K233*10.5+L233*21)*12*0.85</f>
        <v>120487.5</v>
      </c>
      <c r="AJ233" s="5">
        <f>+(K233*10.5+L233*21)*12*30</f>
        <v>4252500</v>
      </c>
      <c r="AL233" s="112">
        <f t="shared" si="50"/>
        <v>0</v>
      </c>
      <c r="AM233" s="30">
        <v>0</v>
      </c>
      <c r="AN233" s="30">
        <v>0</v>
      </c>
      <c r="AO233" s="30">
        <v>0</v>
      </c>
      <c r="AP233" s="30">
        <v>0</v>
      </c>
      <c r="AQ233" s="30">
        <v>0</v>
      </c>
      <c r="AR233" s="30"/>
      <c r="AS233" s="30"/>
      <c r="AT233" s="30">
        <v>0</v>
      </c>
      <c r="AU233" s="30">
        <v>3602673.51</v>
      </c>
      <c r="AV233" s="30">
        <v>0</v>
      </c>
      <c r="AW233" s="30">
        <v>0</v>
      </c>
      <c r="AX233" s="30">
        <v>0</v>
      </c>
      <c r="AY233" s="30">
        <v>85155.99</v>
      </c>
      <c r="AZ233" s="30">
        <v>24000</v>
      </c>
      <c r="BA233" s="40"/>
      <c r="BB233" s="5">
        <f t="shared" si="51"/>
        <v>3711829.5</v>
      </c>
    </row>
    <row r="234" spans="1:54" hidden="1">
      <c r="A234" s="10">
        <f t="shared" si="52"/>
        <v>216</v>
      </c>
      <c r="B234" s="113">
        <f t="shared" si="54"/>
        <v>28</v>
      </c>
      <c r="C234" s="101" t="s">
        <v>185</v>
      </c>
      <c r="D234" s="101" t="s">
        <v>483</v>
      </c>
      <c r="E234" s="102">
        <v>1986</v>
      </c>
      <c r="F234" s="102">
        <v>2013</v>
      </c>
      <c r="G234" s="102" t="s">
        <v>3</v>
      </c>
      <c r="H234" s="102">
        <v>2</v>
      </c>
      <c r="I234" s="102">
        <v>2</v>
      </c>
      <c r="J234" s="62">
        <v>1112.5</v>
      </c>
      <c r="K234" s="62">
        <v>1000.4</v>
      </c>
      <c r="L234" s="62">
        <v>0</v>
      </c>
      <c r="M234" s="103">
        <v>40</v>
      </c>
      <c r="N234" s="28">
        <f t="shared" si="53"/>
        <v>522174.08</v>
      </c>
      <c r="O234" s="62"/>
      <c r="P234" s="30"/>
      <c r="Q234" s="31"/>
      <c r="R234" s="31"/>
      <c r="S234" s="30"/>
      <c r="T234" s="31"/>
      <c r="U234" s="31"/>
      <c r="V234" s="30">
        <v>522174.08</v>
      </c>
      <c r="W234" s="31"/>
      <c r="X234" s="31"/>
      <c r="Y234" s="30"/>
      <c r="Z234" s="31"/>
      <c r="AA234" s="31"/>
      <c r="AB234" s="107"/>
      <c r="AC234" s="108"/>
      <c r="AD234" s="108"/>
      <c r="AE234" s="30">
        <v>589.33186225509803</v>
      </c>
      <c r="AF234" s="30">
        <v>1251.2830200640001</v>
      </c>
      <c r="AG234" s="186">
        <v>2023</v>
      </c>
      <c r="AH234" s="98">
        <v>431616.87</v>
      </c>
      <c r="AI234" s="5">
        <f>+(K234*10.5+L234*21)*12*0.85</f>
        <v>107142.84</v>
      </c>
      <c r="AJ234" s="5">
        <f>+(K234*10.5+L234*21)*12*30</f>
        <v>3781512</v>
      </c>
      <c r="AL234" s="112">
        <f t="shared" si="50"/>
        <v>0</v>
      </c>
      <c r="AM234" s="30"/>
      <c r="AN234" s="30">
        <v>0</v>
      </c>
      <c r="AO234" s="30">
        <v>522174.08</v>
      </c>
      <c r="AP234" s="30"/>
      <c r="AQ234" s="30"/>
      <c r="AR234" s="30"/>
      <c r="AS234" s="30"/>
      <c r="AT234" s="30">
        <v>0</v>
      </c>
      <c r="AU234" s="30">
        <v>0</v>
      </c>
      <c r="AV234" s="30">
        <v>0</v>
      </c>
      <c r="AW234" s="30">
        <v>0</v>
      </c>
      <c r="AX234" s="30">
        <v>0</v>
      </c>
      <c r="AY234" s="30"/>
      <c r="AZ234" s="30"/>
      <c r="BA234" s="40"/>
      <c r="BB234" s="5">
        <f t="shared" si="51"/>
        <v>522174.08</v>
      </c>
    </row>
    <row r="235" spans="1:54" hidden="1">
      <c r="A235" s="10">
        <f t="shared" si="52"/>
        <v>217</v>
      </c>
      <c r="B235" s="113">
        <f t="shared" si="54"/>
        <v>29</v>
      </c>
      <c r="C235" s="101" t="s">
        <v>185</v>
      </c>
      <c r="D235" s="101" t="s">
        <v>488</v>
      </c>
      <c r="E235" s="102">
        <v>1991</v>
      </c>
      <c r="F235" s="102">
        <v>2013</v>
      </c>
      <c r="G235" s="102" t="s">
        <v>3</v>
      </c>
      <c r="H235" s="102">
        <v>2</v>
      </c>
      <c r="I235" s="102">
        <v>2</v>
      </c>
      <c r="J235" s="62">
        <v>1131.9000000000001</v>
      </c>
      <c r="K235" s="62">
        <v>1004.5</v>
      </c>
      <c r="L235" s="62">
        <v>0</v>
      </c>
      <c r="M235" s="103">
        <v>46</v>
      </c>
      <c r="N235" s="28">
        <f t="shared" si="53"/>
        <v>525018.30000000005</v>
      </c>
      <c r="O235" s="62"/>
      <c r="P235" s="30"/>
      <c r="Q235" s="31"/>
      <c r="R235" s="31"/>
      <c r="S235" s="30"/>
      <c r="T235" s="31"/>
      <c r="U235" s="31"/>
      <c r="V235" s="30">
        <v>408248.95</v>
      </c>
      <c r="W235" s="31"/>
      <c r="X235" s="31"/>
      <c r="Y235" s="30">
        <v>116769.35</v>
      </c>
      <c r="Z235" s="31"/>
      <c r="AA235" s="31"/>
      <c r="AB235" s="107"/>
      <c r="AC235" s="108"/>
      <c r="AD235" s="108"/>
      <c r="AE235" s="30">
        <v>507.855104828273</v>
      </c>
      <c r="AF235" s="30">
        <v>1252.2830200640001</v>
      </c>
      <c r="AG235" s="186">
        <v>2023</v>
      </c>
      <c r="AH235" s="98">
        <v>300667</v>
      </c>
      <c r="AI235" s="5">
        <f>+(K235*10.5+L235*21)*12*0.85</f>
        <v>107581.95</v>
      </c>
      <c r="AJ235" s="5">
        <f>+(K235*10.5+L235*21)*12*30-748881.44</f>
        <v>3048128.56</v>
      </c>
      <c r="AL235" s="112">
        <f t="shared" si="50"/>
        <v>0</v>
      </c>
      <c r="AM235" s="30"/>
      <c r="AN235" s="30">
        <v>0</v>
      </c>
      <c r="AO235" s="30">
        <v>525018.30000000005</v>
      </c>
      <c r="AP235" s="30"/>
      <c r="AQ235" s="30"/>
      <c r="AR235" s="30"/>
      <c r="AS235" s="30"/>
      <c r="AT235" s="30">
        <v>0</v>
      </c>
      <c r="AU235" s="30">
        <v>0</v>
      </c>
      <c r="AV235" s="30">
        <v>0</v>
      </c>
      <c r="AW235" s="30">
        <v>0</v>
      </c>
      <c r="AX235" s="30">
        <v>0</v>
      </c>
      <c r="AY235" s="30"/>
      <c r="AZ235" s="30"/>
      <c r="BA235" s="40"/>
      <c r="BB235" s="5">
        <f t="shared" si="51"/>
        <v>525018.30000000005</v>
      </c>
    </row>
    <row r="236" spans="1:54" hidden="1">
      <c r="A236" s="10">
        <f t="shared" si="52"/>
        <v>218</v>
      </c>
      <c r="B236" s="113">
        <f t="shared" si="54"/>
        <v>30</v>
      </c>
      <c r="C236" s="101" t="s">
        <v>185</v>
      </c>
      <c r="D236" s="101" t="s">
        <v>490</v>
      </c>
      <c r="E236" s="102">
        <v>1982</v>
      </c>
      <c r="F236" s="102">
        <v>2013</v>
      </c>
      <c r="G236" s="102" t="s">
        <v>3</v>
      </c>
      <c r="H236" s="102">
        <v>2</v>
      </c>
      <c r="I236" s="102">
        <v>2</v>
      </c>
      <c r="J236" s="62">
        <v>711.8</v>
      </c>
      <c r="K236" s="62">
        <v>585</v>
      </c>
      <c r="L236" s="62">
        <v>0</v>
      </c>
      <c r="M236" s="103">
        <v>35</v>
      </c>
      <c r="N236" s="28">
        <f t="shared" si="53"/>
        <v>530931.97</v>
      </c>
      <c r="O236" s="62"/>
      <c r="P236" s="30"/>
      <c r="Q236" s="31"/>
      <c r="R236" s="31"/>
      <c r="S236" s="30"/>
      <c r="T236" s="31"/>
      <c r="U236" s="31"/>
      <c r="V236" s="30">
        <v>352995.99</v>
      </c>
      <c r="W236" s="31"/>
      <c r="X236" s="31"/>
      <c r="Y236" s="30">
        <v>177935.98</v>
      </c>
      <c r="Z236" s="31"/>
      <c r="AA236" s="31"/>
      <c r="AB236" s="107"/>
      <c r="AC236" s="108"/>
      <c r="AD236" s="108"/>
      <c r="AE236" s="30">
        <v>801.20935834088903</v>
      </c>
      <c r="AF236" s="30">
        <v>1253.2830200640001</v>
      </c>
      <c r="AG236" s="186">
        <v>2023</v>
      </c>
      <c r="AH236" s="98">
        <v>290342.49</v>
      </c>
      <c r="AI236" s="5">
        <f>+(K236*10.5+L236*21)*12*0.85</f>
        <v>62653.5</v>
      </c>
      <c r="AJ236" s="5">
        <f>+(K236*10.5+L236*21)*12*30</f>
        <v>2211300</v>
      </c>
      <c r="AL236" s="112">
        <f t="shared" si="50"/>
        <v>0</v>
      </c>
      <c r="AM236" s="30"/>
      <c r="AN236" s="30"/>
      <c r="AO236" s="30">
        <v>530931.97</v>
      </c>
      <c r="AP236" s="30">
        <v>0</v>
      </c>
      <c r="AQ236" s="30">
        <v>0</v>
      </c>
      <c r="AR236" s="30"/>
      <c r="AS236" s="30"/>
      <c r="AT236" s="30"/>
      <c r="AU236" s="30"/>
      <c r="AV236" s="30"/>
      <c r="AW236" s="30"/>
      <c r="AX236" s="30"/>
      <c r="AY236" s="30"/>
      <c r="AZ236" s="30"/>
      <c r="BA236" s="40"/>
      <c r="BB236" s="5">
        <f t="shared" si="51"/>
        <v>530931.97</v>
      </c>
    </row>
    <row r="237" spans="1:54" hidden="1">
      <c r="A237" s="10">
        <f t="shared" si="52"/>
        <v>219</v>
      </c>
      <c r="B237" s="113">
        <f t="shared" si="54"/>
        <v>31</v>
      </c>
      <c r="C237" s="101" t="s">
        <v>185</v>
      </c>
      <c r="D237" s="101" t="s">
        <v>492</v>
      </c>
      <c r="E237" s="102">
        <v>1988</v>
      </c>
      <c r="F237" s="102">
        <v>2013</v>
      </c>
      <c r="G237" s="102" t="s">
        <v>3</v>
      </c>
      <c r="H237" s="102">
        <v>2</v>
      </c>
      <c r="I237" s="102">
        <v>2</v>
      </c>
      <c r="J237" s="62">
        <v>661.79</v>
      </c>
      <c r="K237" s="62">
        <v>596.70000000000005</v>
      </c>
      <c r="L237" s="62">
        <v>0</v>
      </c>
      <c r="M237" s="103">
        <v>38</v>
      </c>
      <c r="N237" s="28">
        <f t="shared" si="53"/>
        <v>620897.1</v>
      </c>
      <c r="O237" s="62"/>
      <c r="P237" s="30">
        <v>0</v>
      </c>
      <c r="Q237" s="31"/>
      <c r="R237" s="31"/>
      <c r="S237" s="30"/>
      <c r="T237" s="31"/>
      <c r="U237" s="31"/>
      <c r="V237" s="30"/>
      <c r="W237" s="31"/>
      <c r="X237" s="31"/>
      <c r="Y237" s="30">
        <v>620897.1</v>
      </c>
      <c r="Z237" s="31"/>
      <c r="AA237" s="31"/>
      <c r="AB237" s="62"/>
      <c r="AC237" s="106"/>
      <c r="AD237" s="106"/>
      <c r="AE237" s="30">
        <v>4496.17482688768</v>
      </c>
      <c r="AF237" s="30">
        <v>1254.2830200640001</v>
      </c>
      <c r="AG237" s="186">
        <v>2023</v>
      </c>
      <c r="AH237" s="1">
        <f>232648.79-31492.39</f>
        <v>201156.40000000002</v>
      </c>
      <c r="AI237" s="5">
        <f>+(K237*10.5+L237*21)*12*0.85</f>
        <v>63906.570000000007</v>
      </c>
      <c r="AJ237" s="5">
        <f>+(K237*10.5+L237*21)*12*30</f>
        <v>2255526.0000000005</v>
      </c>
      <c r="AL237" s="112">
        <f t="shared" si="50"/>
        <v>0</v>
      </c>
      <c r="AM237" s="30"/>
      <c r="AN237" s="30">
        <v>0</v>
      </c>
      <c r="AO237" s="30">
        <v>620897.1</v>
      </c>
      <c r="AP237" s="30"/>
      <c r="AQ237" s="30">
        <v>0</v>
      </c>
      <c r="AR237" s="30"/>
      <c r="AS237" s="30"/>
      <c r="AT237" s="30">
        <v>0</v>
      </c>
      <c r="AU237" s="30">
        <v>0</v>
      </c>
      <c r="AV237" s="30">
        <v>0</v>
      </c>
      <c r="AW237" s="30">
        <v>0</v>
      </c>
      <c r="AX237" s="30">
        <v>0</v>
      </c>
      <c r="AY237" s="30"/>
      <c r="AZ237" s="30"/>
      <c r="BA237" s="40"/>
      <c r="BB237" s="5">
        <f t="shared" si="51"/>
        <v>620897.1</v>
      </c>
    </row>
    <row r="238" spans="1:54" s="142" customFormat="1" hidden="1">
      <c r="A238" s="10">
        <f t="shared" si="52"/>
        <v>220</v>
      </c>
      <c r="B238" s="113">
        <f t="shared" si="54"/>
        <v>32</v>
      </c>
      <c r="C238" s="101" t="s">
        <v>313</v>
      </c>
      <c r="D238" s="101" t="s">
        <v>493</v>
      </c>
      <c r="E238" s="102" t="s">
        <v>494</v>
      </c>
      <c r="F238" s="102"/>
      <c r="G238" s="102" t="s">
        <v>3</v>
      </c>
      <c r="H238" s="102" t="s">
        <v>174</v>
      </c>
      <c r="I238" s="102" t="s">
        <v>316</v>
      </c>
      <c r="J238" s="62">
        <v>17927.330000000002</v>
      </c>
      <c r="K238" s="62">
        <v>15026.75</v>
      </c>
      <c r="L238" s="62">
        <v>72.8</v>
      </c>
      <c r="M238" s="103">
        <v>571</v>
      </c>
      <c r="N238" s="28">
        <f t="shared" si="53"/>
        <v>21087152.25</v>
      </c>
      <c r="O238" s="62">
        <v>0</v>
      </c>
      <c r="P238" s="30"/>
      <c r="Q238" s="31"/>
      <c r="R238" s="31"/>
      <c r="S238" s="30">
        <v>0</v>
      </c>
      <c r="T238" s="31"/>
      <c r="U238" s="31"/>
      <c r="V238" s="30">
        <v>13810339.681500001</v>
      </c>
      <c r="W238" s="31"/>
      <c r="X238" s="31"/>
      <c r="Y238" s="30">
        <v>7276812.5685000001</v>
      </c>
      <c r="Z238" s="31"/>
      <c r="AA238" s="31"/>
      <c r="AB238" s="30"/>
      <c r="AC238" s="32"/>
      <c r="AD238" s="32"/>
      <c r="AE238" s="30">
        <v>1433.23660909504</v>
      </c>
      <c r="AF238" s="30">
        <v>1255.2830200640001</v>
      </c>
      <c r="AG238" s="186">
        <v>2023</v>
      </c>
      <c r="AH238" s="142">
        <v>11654621.880000001</v>
      </c>
      <c r="AI238" s="5">
        <f>+(K238*13.95+L238*23.65)*12*0.85</f>
        <v>2155717.8014999996</v>
      </c>
      <c r="AJ238" s="5">
        <f>+(K238*13.95+L238*23.65)*12*30</f>
        <v>76084157.699999988</v>
      </c>
      <c r="AK238" s="5"/>
      <c r="AL238" s="112">
        <f t="shared" si="50"/>
        <v>0</v>
      </c>
      <c r="AM238" s="30"/>
      <c r="AN238" s="30"/>
      <c r="AO238" s="30"/>
      <c r="AP238" s="30"/>
      <c r="AQ238" s="30"/>
      <c r="AR238" s="30"/>
      <c r="AS238" s="30"/>
      <c r="AT238" s="30">
        <v>20793974.399999999</v>
      </c>
      <c r="AU238" s="30"/>
      <c r="AV238" s="30"/>
      <c r="AW238" s="30"/>
      <c r="AX238" s="30"/>
      <c r="AY238" s="30">
        <v>270017.84999999998</v>
      </c>
      <c r="AZ238" s="30">
        <v>23160</v>
      </c>
      <c r="BA238" s="40"/>
      <c r="BB238" s="5">
        <f t="shared" si="51"/>
        <v>21087152.25</v>
      </c>
    </row>
    <row r="239" spans="1:54" s="142" customFormat="1" hidden="1">
      <c r="A239" s="10">
        <f t="shared" si="52"/>
        <v>221</v>
      </c>
      <c r="B239" s="113">
        <f t="shared" si="54"/>
        <v>33</v>
      </c>
      <c r="C239" s="101" t="s">
        <v>313</v>
      </c>
      <c r="D239" s="101" t="s">
        <v>495</v>
      </c>
      <c r="E239" s="102" t="s">
        <v>494</v>
      </c>
      <c r="F239" s="102"/>
      <c r="G239" s="102" t="s">
        <v>3</v>
      </c>
      <c r="H239" s="102" t="s">
        <v>174</v>
      </c>
      <c r="I239" s="102" t="s">
        <v>183</v>
      </c>
      <c r="J239" s="62">
        <v>11180.28</v>
      </c>
      <c r="K239" s="62">
        <v>9305.33</v>
      </c>
      <c r="L239" s="62">
        <v>0</v>
      </c>
      <c r="M239" s="103">
        <v>347</v>
      </c>
      <c r="N239" s="28">
        <f t="shared" si="53"/>
        <v>14097787.42</v>
      </c>
      <c r="O239" s="62">
        <v>0</v>
      </c>
      <c r="P239" s="30"/>
      <c r="Q239" s="31"/>
      <c r="R239" s="31"/>
      <c r="S239" s="30">
        <v>0</v>
      </c>
      <c r="T239" s="31"/>
      <c r="U239" s="31"/>
      <c r="V239" s="30">
        <v>8237634.1857000003</v>
      </c>
      <c r="W239" s="31"/>
      <c r="X239" s="31"/>
      <c r="Y239" s="30">
        <v>5860153.2342999997</v>
      </c>
      <c r="Z239" s="31"/>
      <c r="AA239" s="31"/>
      <c r="AB239" s="30"/>
      <c r="AC239" s="32"/>
      <c r="AD239" s="32"/>
      <c r="AE239" s="30">
        <v>1546.5860163391601</v>
      </c>
      <c r="AF239" s="30">
        <v>1257.2830200640001</v>
      </c>
      <c r="AG239" s="186">
        <v>2023</v>
      </c>
      <c r="AH239" s="142">
        <v>6913578.7800000003</v>
      </c>
      <c r="AI239" s="5">
        <f>+(K239*13.95+L239*23.65)*12*0.85</f>
        <v>1324055.4057</v>
      </c>
      <c r="AJ239" s="5">
        <f>+(K239*13.95+L239*23.65)*12*30</f>
        <v>46731367.260000005</v>
      </c>
      <c r="AK239" s="5"/>
      <c r="AL239" s="112">
        <f t="shared" ref="AL239:AL270" si="55">SUBTOTAL(9, AM239:BA239)</f>
        <v>0</v>
      </c>
      <c r="AM239" s="30"/>
      <c r="AN239" s="30"/>
      <c r="AO239" s="30"/>
      <c r="AP239" s="30"/>
      <c r="AQ239" s="30"/>
      <c r="AR239" s="30"/>
      <c r="AS239" s="30"/>
      <c r="AT239" s="30">
        <v>13862649.6</v>
      </c>
      <c r="AU239" s="30"/>
      <c r="AV239" s="30"/>
      <c r="AW239" s="30"/>
      <c r="AX239" s="30"/>
      <c r="AY239" s="30">
        <v>211977.82</v>
      </c>
      <c r="AZ239" s="30">
        <v>23160</v>
      </c>
      <c r="BA239" s="40"/>
      <c r="BB239" s="5">
        <f t="shared" ref="BB239:BB270" si="56">N239-AL239</f>
        <v>14097787.42</v>
      </c>
    </row>
    <row r="240" spans="1:54" hidden="1">
      <c r="A240" s="10">
        <f t="shared" si="52"/>
        <v>222</v>
      </c>
      <c r="B240" s="113">
        <f t="shared" si="54"/>
        <v>34</v>
      </c>
      <c r="C240" s="101" t="s">
        <v>185</v>
      </c>
      <c r="D240" s="101" t="s">
        <v>353</v>
      </c>
      <c r="E240" s="102">
        <v>1964</v>
      </c>
      <c r="F240" s="102">
        <v>2013</v>
      </c>
      <c r="G240" s="102" t="s">
        <v>3</v>
      </c>
      <c r="H240" s="102">
        <v>5</v>
      </c>
      <c r="I240" s="102">
        <v>7</v>
      </c>
      <c r="J240" s="62">
        <v>6384.4</v>
      </c>
      <c r="K240" s="62">
        <v>5253.8</v>
      </c>
      <c r="L240" s="62">
        <v>1130.5999999999999</v>
      </c>
      <c r="M240" s="103">
        <v>210</v>
      </c>
      <c r="N240" s="28">
        <f t="shared" si="53"/>
        <v>16895315.300000001</v>
      </c>
      <c r="O240" s="62"/>
      <c r="P240" s="30"/>
      <c r="Q240" s="31"/>
      <c r="R240" s="31"/>
      <c r="S240" s="30"/>
      <c r="T240" s="31"/>
      <c r="U240" s="31"/>
      <c r="V240" s="30">
        <v>1868422.94</v>
      </c>
      <c r="W240" s="31"/>
      <c r="X240" s="31"/>
      <c r="Y240" s="30">
        <v>15026892.359999999</v>
      </c>
      <c r="Z240" s="31"/>
      <c r="AA240" s="31"/>
      <c r="AB240" s="30"/>
      <c r="AC240" s="32"/>
      <c r="AD240" s="32"/>
      <c r="AE240" s="30">
        <v>4853.3184093698701</v>
      </c>
      <c r="AF240" s="30">
        <v>1258.2830200640001</v>
      </c>
      <c r="AG240" s="186">
        <v>2023</v>
      </c>
      <c r="AH240" s="98">
        <v>4163182.7</v>
      </c>
      <c r="AI240" s="5">
        <f>+(K240*10.5+L240*21)*12*0.85</f>
        <v>804856.5</v>
      </c>
      <c r="AJ240" s="5">
        <f>+(K240*10.5+L240*21)*12*30</f>
        <v>28406700</v>
      </c>
      <c r="AL240" s="112">
        <f t="shared" si="55"/>
        <v>0</v>
      </c>
      <c r="AM240" s="62"/>
      <c r="AN240" s="30"/>
      <c r="AO240" s="30">
        <v>2398261.2000000002</v>
      </c>
      <c r="AP240" s="30"/>
      <c r="AQ240" s="30"/>
      <c r="AR240" s="30"/>
      <c r="AS240" s="30"/>
      <c r="AT240" s="30">
        <v>0</v>
      </c>
      <c r="AU240" s="30">
        <v>14009088.380000001</v>
      </c>
      <c r="AV240" s="30">
        <v>0</v>
      </c>
      <c r="AW240" s="30">
        <v>0</v>
      </c>
      <c r="AX240" s="30">
        <v>0</v>
      </c>
      <c r="AY240" s="30">
        <v>339099.7</v>
      </c>
      <c r="AZ240" s="30">
        <v>9600</v>
      </c>
      <c r="BA240" s="109">
        <f>32899.63+106366.39</f>
        <v>139266.01999999999</v>
      </c>
      <c r="BB240" s="5">
        <f t="shared" si="56"/>
        <v>16895315.300000001</v>
      </c>
    </row>
    <row r="241" spans="1:54" hidden="1">
      <c r="A241" s="10">
        <f t="shared" si="52"/>
        <v>223</v>
      </c>
      <c r="B241" s="113">
        <f t="shared" si="54"/>
        <v>35</v>
      </c>
      <c r="C241" s="12" t="s">
        <v>185</v>
      </c>
      <c r="D241" s="12" t="s">
        <v>498</v>
      </c>
      <c r="E241" s="102">
        <v>1954</v>
      </c>
      <c r="F241" s="102">
        <v>2005</v>
      </c>
      <c r="G241" s="102" t="s">
        <v>3</v>
      </c>
      <c r="H241" s="102">
        <v>3</v>
      </c>
      <c r="I241" s="102">
        <v>3</v>
      </c>
      <c r="J241" s="62">
        <v>1802.3</v>
      </c>
      <c r="K241" s="62">
        <v>1033</v>
      </c>
      <c r="L241" s="62">
        <v>769.3</v>
      </c>
      <c r="M241" s="103">
        <v>35</v>
      </c>
      <c r="N241" s="28">
        <f t="shared" si="53"/>
        <v>9050356.6853074897</v>
      </c>
      <c r="O241" s="30"/>
      <c r="P241" s="30">
        <v>3152058.3127659098</v>
      </c>
      <c r="Q241" s="31"/>
      <c r="R241" s="31"/>
      <c r="S241" s="30"/>
      <c r="T241" s="31"/>
      <c r="U241" s="31"/>
      <c r="V241" s="30">
        <v>3113580.08</v>
      </c>
      <c r="W241" s="31"/>
      <c r="X241" s="31"/>
      <c r="Y241" s="30">
        <v>2784718.2925415798</v>
      </c>
      <c r="Z241" s="31"/>
      <c r="AA241" s="31"/>
      <c r="AB241" s="30"/>
      <c r="AC241" s="32"/>
      <c r="AD241" s="32"/>
      <c r="AE241" s="62">
        <v>3766.7387742140099</v>
      </c>
      <c r="AF241" s="62">
        <v>3766.7387742140099</v>
      </c>
      <c r="AG241" s="186">
        <v>2023</v>
      </c>
      <c r="AH241" s="1">
        <v>895754.39</v>
      </c>
      <c r="AI241" s="5">
        <f>+(K241*10+L241*20)*12*0.85</f>
        <v>262303.2</v>
      </c>
      <c r="AJ241" s="5">
        <f>+(K241*10+L241*20)*12*30</f>
        <v>9257760</v>
      </c>
      <c r="AL241" s="37">
        <f t="shared" si="55"/>
        <v>0</v>
      </c>
      <c r="AM241" s="30">
        <v>0</v>
      </c>
      <c r="AN241" s="30">
        <v>0</v>
      </c>
      <c r="AO241" s="30">
        <v>0</v>
      </c>
      <c r="AP241" s="30">
        <v>0</v>
      </c>
      <c r="AQ241" s="30">
        <v>0</v>
      </c>
      <c r="AR241" s="30"/>
      <c r="AS241" s="30"/>
      <c r="AT241" s="30">
        <v>0</v>
      </c>
      <c r="AU241" s="30">
        <v>8882109.8399999999</v>
      </c>
      <c r="AV241" s="30">
        <v>0</v>
      </c>
      <c r="AW241" s="30">
        <v>0</v>
      </c>
      <c r="AX241" s="30">
        <v>0</v>
      </c>
      <c r="AY241" s="30">
        <v>144246.84530748599</v>
      </c>
      <c r="AZ241" s="30">
        <v>24000</v>
      </c>
      <c r="BA241" s="40"/>
      <c r="BB241" s="5">
        <f t="shared" si="56"/>
        <v>9050356.6853074897</v>
      </c>
    </row>
    <row r="242" spans="1:54" s="142" customFormat="1" hidden="1">
      <c r="A242" s="10">
        <f t="shared" ref="A242:A273" si="57">+A241+1</f>
        <v>224</v>
      </c>
      <c r="B242" s="113">
        <f t="shared" si="54"/>
        <v>36</v>
      </c>
      <c r="C242" s="101" t="s">
        <v>185</v>
      </c>
      <c r="D242" s="101" t="s">
        <v>500</v>
      </c>
      <c r="E242" s="102">
        <v>1959</v>
      </c>
      <c r="F242" s="102"/>
      <c r="G242" s="102" t="s">
        <v>3</v>
      </c>
      <c r="H242" s="102">
        <v>4</v>
      </c>
      <c r="I242" s="102">
        <v>3</v>
      </c>
      <c r="J242" s="62">
        <v>2378.1999999999998</v>
      </c>
      <c r="K242" s="62">
        <v>1790.7</v>
      </c>
      <c r="L242" s="62">
        <v>587.5</v>
      </c>
      <c r="M242" s="103">
        <v>74</v>
      </c>
      <c r="N242" s="28">
        <f t="shared" si="53"/>
        <v>3508963.12</v>
      </c>
      <c r="O242" s="62"/>
      <c r="P242" s="30">
        <v>0</v>
      </c>
      <c r="Q242" s="31"/>
      <c r="R242" s="31"/>
      <c r="S242" s="30"/>
      <c r="T242" s="31"/>
      <c r="U242" s="31"/>
      <c r="V242" s="30">
        <v>909473.4</v>
      </c>
      <c r="W242" s="31"/>
      <c r="X242" s="31"/>
      <c r="Y242" s="30">
        <v>2599489.7200000002</v>
      </c>
      <c r="Z242" s="31"/>
      <c r="AA242" s="31"/>
      <c r="AB242" s="62"/>
      <c r="AC242" s="106"/>
      <c r="AD242" s="106"/>
      <c r="AE242" s="30">
        <v>1959.54828837885</v>
      </c>
      <c r="AF242" s="30">
        <v>1173.2830200640001</v>
      </c>
      <c r="AG242" s="186">
        <v>2023</v>
      </c>
      <c r="AH242" s="166">
        <v>863803.68</v>
      </c>
      <c r="AI242" s="5">
        <f>+(K242*13.29+L242*22.52)*12*0.85</f>
        <v>377694.81060000003</v>
      </c>
      <c r="AJ242" s="5">
        <f>+(K242*10+L242*20)*12*30</f>
        <v>10676520</v>
      </c>
      <c r="AK242" s="5"/>
      <c r="AL242" s="37">
        <f t="shared" si="55"/>
        <v>0</v>
      </c>
      <c r="AM242" s="30">
        <v>3508963.12</v>
      </c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156"/>
      <c r="BB242" s="5">
        <f t="shared" si="56"/>
        <v>3508963.12</v>
      </c>
    </row>
    <row r="243" spans="1:54" hidden="1">
      <c r="A243" s="10">
        <f t="shared" si="57"/>
        <v>225</v>
      </c>
      <c r="B243" s="113">
        <f t="shared" si="54"/>
        <v>37</v>
      </c>
      <c r="C243" s="12" t="s">
        <v>185</v>
      </c>
      <c r="D243" s="12" t="s">
        <v>223</v>
      </c>
      <c r="E243" s="102">
        <v>1968</v>
      </c>
      <c r="F243" s="102">
        <v>2013</v>
      </c>
      <c r="G243" s="102" t="s">
        <v>3</v>
      </c>
      <c r="H243" s="102">
        <v>5</v>
      </c>
      <c r="I243" s="102">
        <v>4</v>
      </c>
      <c r="J243" s="62">
        <v>3228.9</v>
      </c>
      <c r="K243" s="62">
        <v>2518.9</v>
      </c>
      <c r="L243" s="62">
        <v>710</v>
      </c>
      <c r="M243" s="103">
        <v>136</v>
      </c>
      <c r="N243" s="28">
        <f t="shared" si="53"/>
        <v>13790763.789999999</v>
      </c>
      <c r="O243" s="30"/>
      <c r="P243" s="30">
        <f>1321795.74+6508327.07</f>
        <v>7830122.8100000005</v>
      </c>
      <c r="Q243" s="31"/>
      <c r="R243" s="31"/>
      <c r="S243" s="30"/>
      <c r="T243" s="31"/>
      <c r="U243" s="31"/>
      <c r="V243" s="30">
        <v>628700.87</v>
      </c>
      <c r="W243" s="31"/>
      <c r="X243" s="31"/>
      <c r="Y243" s="30">
        <v>5331940.1100000003</v>
      </c>
      <c r="Z243" s="31"/>
      <c r="AA243" s="31"/>
      <c r="AB243" s="107"/>
      <c r="AC243" s="108"/>
      <c r="AD243" s="108"/>
      <c r="AE243" s="30">
        <v>9513.9106089427696</v>
      </c>
      <c r="AF243" s="30">
        <v>1259.2830200640001</v>
      </c>
      <c r="AG243" s="186">
        <v>2023</v>
      </c>
      <c r="AH243" s="18">
        <f>2448991.46-V69</f>
        <v>1330587.4177379999</v>
      </c>
      <c r="AI243" s="5">
        <f>+(K243*10.5+L243*21)*12*0.85</f>
        <v>421856.18999999994</v>
      </c>
      <c r="AJ243" s="5">
        <f>+(K243*10.5+L243*21)*12*30</f>
        <v>14889041.999999998</v>
      </c>
      <c r="AL243" s="112">
        <f t="shared" si="55"/>
        <v>0</v>
      </c>
      <c r="AM243" s="30">
        <v>4434982.51</v>
      </c>
      <c r="AN243" s="30"/>
      <c r="AO243" s="30"/>
      <c r="AP243" s="30"/>
      <c r="AQ243" s="30"/>
      <c r="AR243" s="30"/>
      <c r="AS243" s="30"/>
      <c r="AT243" s="30">
        <v>0</v>
      </c>
      <c r="AU243" s="30">
        <v>9355781.2799999993</v>
      </c>
      <c r="AV243" s="30">
        <v>0</v>
      </c>
      <c r="AW243" s="30">
        <v>0</v>
      </c>
      <c r="AX243" s="30">
        <v>0</v>
      </c>
      <c r="AY243" s="30"/>
      <c r="AZ243" s="30"/>
      <c r="BA243" s="40"/>
      <c r="BB243" s="5">
        <f t="shared" si="56"/>
        <v>13790763.789999999</v>
      </c>
    </row>
    <row r="244" spans="1:54" hidden="1">
      <c r="A244" s="10">
        <f t="shared" si="57"/>
        <v>226</v>
      </c>
      <c r="B244" s="113">
        <f t="shared" si="54"/>
        <v>38</v>
      </c>
      <c r="C244" s="101" t="s">
        <v>185</v>
      </c>
      <c r="D244" s="101" t="s">
        <v>226</v>
      </c>
      <c r="E244" s="102">
        <v>1963</v>
      </c>
      <c r="F244" s="102">
        <v>2013</v>
      </c>
      <c r="G244" s="102" t="s">
        <v>3</v>
      </c>
      <c r="H244" s="102">
        <v>4</v>
      </c>
      <c r="I244" s="102">
        <v>3</v>
      </c>
      <c r="J244" s="62">
        <v>2328.4</v>
      </c>
      <c r="K244" s="62">
        <v>1950.9</v>
      </c>
      <c r="L244" s="62">
        <v>377.5</v>
      </c>
      <c r="M244" s="103">
        <v>49</v>
      </c>
      <c r="N244" s="28">
        <f t="shared" si="53"/>
        <v>869774.96</v>
      </c>
      <c r="O244" s="62"/>
      <c r="P244" s="30"/>
      <c r="Q244" s="31"/>
      <c r="R244" s="31"/>
      <c r="S244" s="30"/>
      <c r="T244" s="31"/>
      <c r="U244" s="31"/>
      <c r="V244" s="30">
        <v>123299.36</v>
      </c>
      <c r="W244" s="31"/>
      <c r="X244" s="31"/>
      <c r="Y244" s="30">
        <v>746475.6</v>
      </c>
      <c r="Z244" s="31"/>
      <c r="AA244" s="31"/>
      <c r="AB244" s="62"/>
      <c r="AC244" s="106"/>
      <c r="AD244" s="106"/>
      <c r="AE244" s="30">
        <v>463.458573104896</v>
      </c>
      <c r="AF244" s="30">
        <v>463.458573104896</v>
      </c>
      <c r="AG244" s="186">
        <v>2023</v>
      </c>
      <c r="AH244" s="18">
        <f>1234380.76-V71</f>
        <v>473105.86838255997</v>
      </c>
      <c r="AI244" s="5">
        <f>+(K244*10+L244*20)*12*0.85</f>
        <v>276001.8</v>
      </c>
      <c r="AJ244" s="5">
        <f>+(K244*10+L244*20)*12*30-Y71</f>
        <v>6112579.2416174393</v>
      </c>
      <c r="AL244" s="37">
        <f t="shared" si="55"/>
        <v>0</v>
      </c>
      <c r="AM244" s="30"/>
      <c r="AN244" s="30"/>
      <c r="AO244" s="30"/>
      <c r="AP244" s="30"/>
      <c r="AQ244" s="30">
        <v>869774.96</v>
      </c>
      <c r="AR244" s="30"/>
      <c r="AS244" s="30"/>
      <c r="AT244" s="30">
        <v>0</v>
      </c>
      <c r="AU244" s="30">
        <v>0</v>
      </c>
      <c r="AV244" s="30">
        <v>0</v>
      </c>
      <c r="AW244" s="30">
        <v>0</v>
      </c>
      <c r="AX244" s="30">
        <v>0</v>
      </c>
      <c r="AY244" s="30"/>
      <c r="AZ244" s="30"/>
      <c r="BA244" s="40"/>
      <c r="BB244" s="5">
        <f t="shared" si="56"/>
        <v>869774.96</v>
      </c>
    </row>
    <row r="245" spans="1:54" hidden="1">
      <c r="A245" s="10">
        <f t="shared" si="57"/>
        <v>227</v>
      </c>
      <c r="B245" s="113">
        <f t="shared" si="54"/>
        <v>39</v>
      </c>
      <c r="C245" s="12" t="s">
        <v>185</v>
      </c>
      <c r="D245" s="12" t="s">
        <v>211</v>
      </c>
      <c r="E245" s="120">
        <v>1963</v>
      </c>
      <c r="F245" s="120">
        <v>2013</v>
      </c>
      <c r="G245" s="120" t="s">
        <v>3</v>
      </c>
      <c r="H245" s="120">
        <v>4</v>
      </c>
      <c r="I245" s="120">
        <v>4</v>
      </c>
      <c r="J245" s="30">
        <v>5268.75</v>
      </c>
      <c r="K245" s="30">
        <v>3170.15</v>
      </c>
      <c r="L245" s="30">
        <v>2098.6</v>
      </c>
      <c r="M245" s="121">
        <v>92</v>
      </c>
      <c r="N245" s="28">
        <f t="shared" si="53"/>
        <v>1634481.86</v>
      </c>
      <c r="O245" s="30"/>
      <c r="P245" s="30"/>
      <c r="Q245" s="31"/>
      <c r="R245" s="31"/>
      <c r="S245" s="30"/>
      <c r="T245" s="31"/>
      <c r="U245" s="31"/>
      <c r="V245" s="30">
        <v>0</v>
      </c>
      <c r="W245" s="31"/>
      <c r="X245" s="31"/>
      <c r="Y245" s="30">
        <v>1634481.86</v>
      </c>
      <c r="Z245" s="31"/>
      <c r="AA245" s="31"/>
      <c r="AB245" s="30"/>
      <c r="AC245" s="32"/>
      <c r="AD245" s="32"/>
      <c r="AE245" s="30">
        <v>1029.16693988251</v>
      </c>
      <c r="AF245" s="30">
        <v>1029.16693988251</v>
      </c>
      <c r="AG245" s="186">
        <v>2023</v>
      </c>
      <c r="AH245" s="18">
        <f>3051973.41-V65</f>
        <v>-751469.69999999972</v>
      </c>
      <c r="AI245" s="5">
        <f>+(K245*10+L245*20)*12*0.85</f>
        <v>751469.7</v>
      </c>
      <c r="AJ245" s="5">
        <f>+(K245*10+L245*20)*12*30-Y65</f>
        <v>14009140.329692001</v>
      </c>
      <c r="AL245" s="37">
        <f t="shared" si="55"/>
        <v>0</v>
      </c>
      <c r="AM245" s="30"/>
      <c r="AN245" s="30"/>
      <c r="AO245" s="30">
        <v>1620199.79</v>
      </c>
      <c r="AP245" s="30"/>
      <c r="AQ245" s="30"/>
      <c r="AR245" s="30"/>
      <c r="AS245" s="30"/>
      <c r="AT245" s="30">
        <v>0</v>
      </c>
      <c r="AU245" s="30"/>
      <c r="AV245" s="30"/>
      <c r="AW245" s="30"/>
      <c r="AX245" s="30"/>
      <c r="AY245" s="30"/>
      <c r="AZ245" s="30"/>
      <c r="BA245" s="109">
        <v>14282.07</v>
      </c>
      <c r="BB245" s="5">
        <f t="shared" si="56"/>
        <v>1634481.86</v>
      </c>
    </row>
    <row r="246" spans="1:54" hidden="1">
      <c r="A246" s="10">
        <f t="shared" si="57"/>
        <v>228</v>
      </c>
      <c r="B246" s="113">
        <f t="shared" si="54"/>
        <v>40</v>
      </c>
      <c r="C246" s="12" t="s">
        <v>185</v>
      </c>
      <c r="D246" s="12" t="s">
        <v>503</v>
      </c>
      <c r="E246" s="120">
        <v>1971</v>
      </c>
      <c r="F246" s="120">
        <v>1971</v>
      </c>
      <c r="G246" s="120" t="s">
        <v>3</v>
      </c>
      <c r="H246" s="120">
        <v>1</v>
      </c>
      <c r="I246" s="120">
        <v>5</v>
      </c>
      <c r="J246" s="30">
        <v>672.9</v>
      </c>
      <c r="K246" s="30">
        <v>672.9</v>
      </c>
      <c r="L246" s="30">
        <v>0</v>
      </c>
      <c r="M246" s="121">
        <v>33</v>
      </c>
      <c r="N246" s="28">
        <f t="shared" si="53"/>
        <v>4289744.53</v>
      </c>
      <c r="O246" s="30"/>
      <c r="P246" s="30">
        <v>1327718.8500000001</v>
      </c>
      <c r="Q246" s="31"/>
      <c r="R246" s="31"/>
      <c r="S246" s="30"/>
      <c r="T246" s="31"/>
      <c r="U246" s="31"/>
      <c r="V246" s="30">
        <v>389981.19</v>
      </c>
      <c r="W246" s="31"/>
      <c r="X246" s="31"/>
      <c r="Y246" s="30">
        <v>2572044.4900000002</v>
      </c>
      <c r="Z246" s="31"/>
      <c r="AA246" s="31"/>
      <c r="AB246" s="30"/>
      <c r="AC246" s="32"/>
      <c r="AD246" s="32"/>
      <c r="AE246" s="30">
        <v>6508.0818484899401</v>
      </c>
      <c r="AF246" s="30">
        <v>1260.2830200640001</v>
      </c>
      <c r="AG246" s="186">
        <v>2023</v>
      </c>
      <c r="AH246" s="98">
        <v>317913.59999999998</v>
      </c>
      <c r="AI246" s="5">
        <f>+(K246*10.5+L246*21)*12*0.85</f>
        <v>72067.59</v>
      </c>
      <c r="AJ246" s="5">
        <f>+(K246*10.5+L246*21)*12*30</f>
        <v>2543562</v>
      </c>
      <c r="AL246" s="112">
        <f t="shared" si="55"/>
        <v>0</v>
      </c>
      <c r="AM246" s="30"/>
      <c r="AN246" s="30"/>
      <c r="AO246" s="30">
        <v>1021002.86</v>
      </c>
      <c r="AP246" s="30"/>
      <c r="AQ246" s="30">
        <v>0</v>
      </c>
      <c r="AR246" s="30"/>
      <c r="AS246" s="30"/>
      <c r="AT246" s="30">
        <v>0</v>
      </c>
      <c r="AU246" s="30"/>
      <c r="AV246" s="30">
        <v>0</v>
      </c>
      <c r="AW246" s="30">
        <v>3268741.67</v>
      </c>
      <c r="AX246" s="30"/>
      <c r="AY246" s="30"/>
      <c r="AZ246" s="30"/>
      <c r="BA246" s="40"/>
      <c r="BB246" s="5">
        <f t="shared" si="56"/>
        <v>4289744.53</v>
      </c>
    </row>
    <row r="247" spans="1:54" hidden="1">
      <c r="A247" s="10">
        <f t="shared" si="57"/>
        <v>229</v>
      </c>
      <c r="B247" s="113">
        <f t="shared" si="54"/>
        <v>41</v>
      </c>
      <c r="C247" s="12" t="s">
        <v>185</v>
      </c>
      <c r="D247" s="12" t="s">
        <v>227</v>
      </c>
      <c r="E247" s="120">
        <v>1989</v>
      </c>
      <c r="F247" s="120">
        <v>2017</v>
      </c>
      <c r="G247" s="120" t="s">
        <v>3</v>
      </c>
      <c r="H247" s="120">
        <v>9</v>
      </c>
      <c r="I247" s="120">
        <v>3</v>
      </c>
      <c r="J247" s="30">
        <v>7106.9</v>
      </c>
      <c r="K247" s="30">
        <v>6247.4</v>
      </c>
      <c r="L247" s="30">
        <v>0</v>
      </c>
      <c r="M247" s="121">
        <v>249</v>
      </c>
      <c r="N247" s="28">
        <f t="shared" si="53"/>
        <v>21394398.210000001</v>
      </c>
      <c r="O247" s="30"/>
      <c r="P247" s="30"/>
      <c r="Q247" s="31"/>
      <c r="R247" s="31"/>
      <c r="S247" s="30"/>
      <c r="T247" s="31"/>
      <c r="U247" s="31"/>
      <c r="V247" s="30">
        <v>3566852.3591999998</v>
      </c>
      <c r="W247" s="31"/>
      <c r="X247" s="31"/>
      <c r="Y247" s="30">
        <v>17827545.8508</v>
      </c>
      <c r="Z247" s="31"/>
      <c r="AA247" s="31"/>
      <c r="AB247" s="30"/>
      <c r="AC247" s="32"/>
      <c r="AD247" s="32"/>
      <c r="AE247" s="30">
        <v>7522.6876761892399</v>
      </c>
      <c r="AF247" s="30">
        <v>7522.6876761892399</v>
      </c>
      <c r="AG247" s="186">
        <v>2023</v>
      </c>
      <c r="AH247" s="1">
        <v>2787898.61</v>
      </c>
      <c r="AI247" s="5">
        <f>+(K247*13.29+L247*22.52)*12*0.85</f>
        <v>846885.04919999989</v>
      </c>
      <c r="AJ247" s="5">
        <f>+(K247*13.29+L247*22.52)*12*30-131853.4</f>
        <v>29758207.16</v>
      </c>
      <c r="AL247" s="37">
        <f t="shared" si="55"/>
        <v>0</v>
      </c>
      <c r="AM247" s="30"/>
      <c r="AN247" s="30">
        <v>0</v>
      </c>
      <c r="AO247" s="30"/>
      <c r="AP247" s="30"/>
      <c r="AQ247" s="30">
        <v>0</v>
      </c>
      <c r="AR247" s="30"/>
      <c r="AS247" s="30"/>
      <c r="AT247" s="30">
        <v>0</v>
      </c>
      <c r="AU247" s="30"/>
      <c r="AV247" s="30">
        <v>0</v>
      </c>
      <c r="AW247" s="30">
        <v>21288932.280000001</v>
      </c>
      <c r="AX247" s="30">
        <v>0</v>
      </c>
      <c r="AY247" s="30"/>
      <c r="AZ247" s="30"/>
      <c r="BA247" s="109">
        <v>105465.93</v>
      </c>
      <c r="BB247" s="5">
        <f t="shared" si="56"/>
        <v>21394398.210000001</v>
      </c>
    </row>
    <row r="248" spans="1:54" hidden="1">
      <c r="A248" s="10">
        <f t="shared" si="57"/>
        <v>230</v>
      </c>
      <c r="B248" s="113">
        <f t="shared" si="54"/>
        <v>42</v>
      </c>
      <c r="C248" s="12" t="s">
        <v>185</v>
      </c>
      <c r="D248" s="12" t="s">
        <v>229</v>
      </c>
      <c r="E248" s="120">
        <v>1989</v>
      </c>
      <c r="F248" s="120">
        <v>2017</v>
      </c>
      <c r="G248" s="120" t="s">
        <v>3</v>
      </c>
      <c r="H248" s="120">
        <v>9</v>
      </c>
      <c r="I248" s="120">
        <v>3</v>
      </c>
      <c r="J248" s="30">
        <v>8049.4</v>
      </c>
      <c r="K248" s="30">
        <v>6639.6</v>
      </c>
      <c r="L248" s="30">
        <v>0</v>
      </c>
      <c r="M248" s="121">
        <v>258</v>
      </c>
      <c r="N248" s="28">
        <f t="shared" si="53"/>
        <v>6217970.2999999998</v>
      </c>
      <c r="O248" s="30"/>
      <c r="P248" s="30">
        <v>394840.28</v>
      </c>
      <c r="Q248" s="31"/>
      <c r="R248" s="31"/>
      <c r="S248" s="30"/>
      <c r="T248" s="31"/>
      <c r="U248" s="31"/>
      <c r="V248" s="30">
        <v>1975930.73</v>
      </c>
      <c r="W248" s="31"/>
      <c r="X248" s="31"/>
      <c r="Y248" s="30">
        <v>3847199.29</v>
      </c>
      <c r="Z248" s="31"/>
      <c r="AA248" s="31"/>
      <c r="AB248" s="62"/>
      <c r="AC248" s="106"/>
      <c r="AD248" s="106"/>
      <c r="AE248" s="62">
        <v>1291.17205516794</v>
      </c>
      <c r="AF248" s="30">
        <v>1291.17205516794</v>
      </c>
      <c r="AG248" s="186">
        <v>2023</v>
      </c>
      <c r="AH248" s="18">
        <f>4261157.78-V73</f>
        <v>4261157.78</v>
      </c>
      <c r="AI248" s="5">
        <f>+(K248*13.29+L248*22.52)*12*0.85</f>
        <v>900050.89679999999</v>
      </c>
      <c r="AJ248" s="5">
        <f>+(K248*13.29+L248*22.52)*12*30-14694406.85-Y73</f>
        <v>14226189.110000001</v>
      </c>
      <c r="AL248" s="37">
        <f t="shared" si="55"/>
        <v>0</v>
      </c>
      <c r="AM248" s="30">
        <v>3795804.42</v>
      </c>
      <c r="AN248" s="30">
        <v>0</v>
      </c>
      <c r="AO248" s="30"/>
      <c r="AP248" s="30">
        <v>2422165.88</v>
      </c>
      <c r="AQ248" s="30">
        <v>0</v>
      </c>
      <c r="AR248" s="30"/>
      <c r="AS248" s="30"/>
      <c r="AT248" s="30">
        <v>0</v>
      </c>
      <c r="AU248" s="30"/>
      <c r="AV248" s="30">
        <v>0</v>
      </c>
      <c r="AW248" s="30"/>
      <c r="AX248" s="30">
        <v>0</v>
      </c>
      <c r="AY248" s="30"/>
      <c r="AZ248" s="30"/>
      <c r="BA248" s="40"/>
      <c r="BB248" s="5">
        <f t="shared" si="56"/>
        <v>6217970.2999999998</v>
      </c>
    </row>
    <row r="249" spans="1:54" hidden="1">
      <c r="A249" s="10">
        <f t="shared" si="57"/>
        <v>231</v>
      </c>
      <c r="B249" s="113">
        <f t="shared" ref="B249:B280" si="58">+B248+1</f>
        <v>43</v>
      </c>
      <c r="C249" s="12" t="s">
        <v>185</v>
      </c>
      <c r="D249" s="12" t="s">
        <v>231</v>
      </c>
      <c r="E249" s="120">
        <v>1994</v>
      </c>
      <c r="F249" s="120">
        <v>2013</v>
      </c>
      <c r="G249" s="120" t="s">
        <v>3</v>
      </c>
      <c r="H249" s="120">
        <v>9</v>
      </c>
      <c r="I249" s="120">
        <v>3</v>
      </c>
      <c r="J249" s="30">
        <v>7891.7</v>
      </c>
      <c r="K249" s="30">
        <v>6600.8</v>
      </c>
      <c r="L249" s="30">
        <v>0</v>
      </c>
      <c r="M249" s="121">
        <v>291</v>
      </c>
      <c r="N249" s="28">
        <f t="shared" si="53"/>
        <v>2553789.86</v>
      </c>
      <c r="O249" s="30"/>
      <c r="P249" s="30"/>
      <c r="Q249" s="31"/>
      <c r="R249" s="31"/>
      <c r="S249" s="30"/>
      <c r="T249" s="31"/>
      <c r="U249" s="31"/>
      <c r="V249" s="30"/>
      <c r="W249" s="52"/>
      <c r="X249" s="52"/>
      <c r="Y249" s="18">
        <v>2553789.86</v>
      </c>
      <c r="Z249" s="20"/>
      <c r="AA249" s="20"/>
      <c r="AB249" s="62"/>
      <c r="AC249" s="106"/>
      <c r="AD249" s="106"/>
      <c r="AE249" s="62">
        <v>1911.3708574535201</v>
      </c>
      <c r="AF249" s="30">
        <v>1911.3708574535201</v>
      </c>
      <c r="AG249" s="186">
        <v>2023</v>
      </c>
      <c r="AH249" s="18" t="e">
        <f>4161512.94-301266.52-3086934.55-#REF!</f>
        <v>#REF!</v>
      </c>
      <c r="AI249" s="5">
        <f>+(K249*13.29+L249*22.52)*12*0.85</f>
        <v>894791.24639999995</v>
      </c>
      <c r="AJ249" s="5" t="e">
        <f>+(K249*13.29+L249*22.52)*12*30-1198680.53-8354818.57-#REF!</f>
        <v>#REF!</v>
      </c>
      <c r="AL249" s="37">
        <f t="shared" si="55"/>
        <v>0</v>
      </c>
      <c r="AM249" s="30"/>
      <c r="AN249" s="30">
        <v>0</v>
      </c>
      <c r="AO249" s="30"/>
      <c r="AP249" s="30">
        <v>2451411.64</v>
      </c>
      <c r="AQ249" s="30"/>
      <c r="AR249" s="30"/>
      <c r="AS249" s="30"/>
      <c r="AT249" s="30">
        <v>0</v>
      </c>
      <c r="AU249" s="30"/>
      <c r="AV249" s="30">
        <v>0</v>
      </c>
      <c r="AW249" s="30"/>
      <c r="AX249" s="30">
        <v>0</v>
      </c>
      <c r="AY249" s="30">
        <v>96378.22</v>
      </c>
      <c r="AZ249" s="30">
        <v>6000</v>
      </c>
      <c r="BA249" s="40"/>
      <c r="BB249" s="5">
        <f t="shared" si="56"/>
        <v>2553789.86</v>
      </c>
    </row>
    <row r="250" spans="1:54" hidden="1">
      <c r="A250" s="10">
        <f t="shared" si="57"/>
        <v>232</v>
      </c>
      <c r="B250" s="113">
        <f t="shared" si="58"/>
        <v>44</v>
      </c>
      <c r="C250" s="12" t="s">
        <v>185</v>
      </c>
      <c r="D250" s="12" t="s">
        <v>233</v>
      </c>
      <c r="E250" s="120">
        <v>1987</v>
      </c>
      <c r="F250" s="120">
        <v>2013</v>
      </c>
      <c r="G250" s="120" t="s">
        <v>3</v>
      </c>
      <c r="H250" s="120">
        <v>3</v>
      </c>
      <c r="I250" s="120">
        <v>3</v>
      </c>
      <c r="J250" s="30">
        <v>1395.8</v>
      </c>
      <c r="K250" s="30">
        <v>1268</v>
      </c>
      <c r="L250" s="30">
        <v>0</v>
      </c>
      <c r="M250" s="121">
        <v>63</v>
      </c>
      <c r="N250" s="28">
        <f t="shared" si="53"/>
        <v>7129845.5600000005</v>
      </c>
      <c r="O250" s="30"/>
      <c r="P250" s="30">
        <v>6889278.4100000001</v>
      </c>
      <c r="Q250" s="31"/>
      <c r="R250" s="31"/>
      <c r="S250" s="30"/>
      <c r="T250" s="31"/>
      <c r="U250" s="31"/>
      <c r="V250" s="30">
        <v>227914.34</v>
      </c>
      <c r="W250" s="31"/>
      <c r="X250" s="31"/>
      <c r="Y250" s="30">
        <v>12652.8100000001</v>
      </c>
      <c r="Z250" s="31"/>
      <c r="AA250" s="31"/>
      <c r="AB250" s="62"/>
      <c r="AC250" s="106"/>
      <c r="AD250" s="106"/>
      <c r="AE250" s="62">
        <v>5956.4210819264399</v>
      </c>
      <c r="AF250" s="30">
        <v>5956.4210819264399</v>
      </c>
      <c r="AG250" s="186">
        <v>2023</v>
      </c>
      <c r="AH250" s="18">
        <f>502354.09-V75</f>
        <v>89967.44</v>
      </c>
      <c r="AI250" s="5">
        <f>+(K250*10+L250*20)*12*0.85</f>
        <v>129336</v>
      </c>
      <c r="AJ250" s="5">
        <f>+(K250*10+L250*20)*12*30-Y75</f>
        <v>-1097293.7818827201</v>
      </c>
      <c r="AL250" s="37">
        <f t="shared" si="55"/>
        <v>0</v>
      </c>
      <c r="AM250" s="30">
        <v>3308322.58</v>
      </c>
      <c r="AN250" s="30">
        <v>2035764.2</v>
      </c>
      <c r="AO250" s="30">
        <v>882116.62</v>
      </c>
      <c r="AP250" s="30">
        <v>903642.16</v>
      </c>
      <c r="AQ250" s="30">
        <v>0</v>
      </c>
      <c r="AR250" s="30"/>
      <c r="AS250" s="30"/>
      <c r="AT250" s="30">
        <v>0</v>
      </c>
      <c r="AU250" s="30">
        <v>0</v>
      </c>
      <c r="AV250" s="30">
        <v>0</v>
      </c>
      <c r="AW250" s="30"/>
      <c r="AX250" s="30">
        <v>0</v>
      </c>
      <c r="AY250" s="30"/>
      <c r="AZ250" s="30"/>
      <c r="BA250" s="40"/>
      <c r="BB250" s="5">
        <f t="shared" si="56"/>
        <v>7129845.5600000005</v>
      </c>
    </row>
    <row r="251" spans="1:54" hidden="1">
      <c r="A251" s="10">
        <f t="shared" si="57"/>
        <v>233</v>
      </c>
      <c r="B251" s="113">
        <f t="shared" si="58"/>
        <v>45</v>
      </c>
      <c r="C251" s="12" t="s">
        <v>185</v>
      </c>
      <c r="D251" s="12" t="s">
        <v>362</v>
      </c>
      <c r="E251" s="120">
        <v>1985</v>
      </c>
      <c r="F251" s="120">
        <v>2013</v>
      </c>
      <c r="G251" s="120" t="s">
        <v>3</v>
      </c>
      <c r="H251" s="120">
        <v>3</v>
      </c>
      <c r="I251" s="120">
        <v>3</v>
      </c>
      <c r="J251" s="30">
        <v>1439.1</v>
      </c>
      <c r="K251" s="30">
        <v>1284.3</v>
      </c>
      <c r="L251" s="30">
        <v>0</v>
      </c>
      <c r="M251" s="121">
        <v>55</v>
      </c>
      <c r="N251" s="28">
        <f t="shared" si="53"/>
        <v>14942570.329999998</v>
      </c>
      <c r="O251" s="30"/>
      <c r="P251" s="62">
        <f>2833527.66+196116.1</f>
        <v>3029643.7600000002</v>
      </c>
      <c r="Q251" s="29"/>
      <c r="R251" s="29"/>
      <c r="S251" s="30"/>
      <c r="T251" s="31"/>
      <c r="U251" s="31"/>
      <c r="V251" s="30">
        <v>771312.78</v>
      </c>
      <c r="W251" s="31"/>
      <c r="X251" s="31"/>
      <c r="Y251" s="30">
        <v>11141613.789999999</v>
      </c>
      <c r="Z251" s="31"/>
      <c r="AA251" s="31"/>
      <c r="AB251" s="62"/>
      <c r="AC251" s="106"/>
      <c r="AD251" s="106"/>
      <c r="AE251" s="62">
        <v>32142.381580442499</v>
      </c>
      <c r="AF251" s="30">
        <v>1262.2830200640001</v>
      </c>
      <c r="AG251" s="186">
        <v>2023</v>
      </c>
      <c r="AH251" s="98">
        <v>633764.25</v>
      </c>
      <c r="AI251" s="5">
        <f>+(K251*10.5+L251*21)*12*0.85</f>
        <v>137548.53</v>
      </c>
      <c r="AJ251" s="5">
        <f>+(K251*10.5+L251*21)*12*30</f>
        <v>4854654</v>
      </c>
      <c r="AL251" s="112">
        <f t="shared" si="55"/>
        <v>0</v>
      </c>
      <c r="AM251" s="30">
        <v>0</v>
      </c>
      <c r="AN251" s="30">
        <v>0</v>
      </c>
      <c r="AO251" s="30">
        <v>0</v>
      </c>
      <c r="AP251" s="30"/>
      <c r="AQ251" s="30">
        <v>0</v>
      </c>
      <c r="AR251" s="30"/>
      <c r="AS251" s="30"/>
      <c r="AT251" s="30"/>
      <c r="AU251" s="30">
        <v>2182360.9</v>
      </c>
      <c r="AV251" s="30">
        <v>0</v>
      </c>
      <c r="AW251" s="30">
        <v>10009863.220000001</v>
      </c>
      <c r="AX251" s="30">
        <v>2520155.4500000002</v>
      </c>
      <c r="AY251" s="30">
        <v>212190.76</v>
      </c>
      <c r="AZ251" s="30">
        <v>18000</v>
      </c>
      <c r="BA251" s="40"/>
      <c r="BB251" s="5">
        <f t="shared" si="56"/>
        <v>14942570.329999998</v>
      </c>
    </row>
    <row r="252" spans="1:54" hidden="1">
      <c r="A252" s="10">
        <f t="shared" si="57"/>
        <v>234</v>
      </c>
      <c r="B252" s="113">
        <f t="shared" si="58"/>
        <v>46</v>
      </c>
      <c r="C252" s="101" t="s">
        <v>185</v>
      </c>
      <c r="D252" s="101" t="s">
        <v>378</v>
      </c>
      <c r="E252" s="102">
        <v>1974</v>
      </c>
      <c r="F252" s="102">
        <v>2013</v>
      </c>
      <c r="G252" s="102" t="s">
        <v>3</v>
      </c>
      <c r="H252" s="102">
        <v>4</v>
      </c>
      <c r="I252" s="102">
        <v>4</v>
      </c>
      <c r="J252" s="62">
        <v>4783.3599999999997</v>
      </c>
      <c r="K252" s="62">
        <v>3510.2</v>
      </c>
      <c r="L252" s="62">
        <v>0</v>
      </c>
      <c r="M252" s="103">
        <v>164</v>
      </c>
      <c r="N252" s="28">
        <f t="shared" si="53"/>
        <v>950120</v>
      </c>
      <c r="O252" s="62"/>
      <c r="P252" s="30"/>
      <c r="Q252" s="31"/>
      <c r="R252" s="31"/>
      <c r="S252" s="30"/>
      <c r="T252" s="31"/>
      <c r="U252" s="31"/>
      <c r="V252" s="30">
        <v>621595.65</v>
      </c>
      <c r="W252" s="31"/>
      <c r="X252" s="31"/>
      <c r="Y252" s="30">
        <v>328524.34999999998</v>
      </c>
      <c r="Z252" s="31"/>
      <c r="AA252" s="31"/>
      <c r="AB252" s="62"/>
      <c r="AC252" s="106"/>
      <c r="AD252" s="106"/>
      <c r="AE252" s="62">
        <v>375.76585277761899</v>
      </c>
      <c r="AF252" s="62">
        <v>375.76585277761899</v>
      </c>
      <c r="AG252" s="186">
        <v>2023</v>
      </c>
      <c r="AH252" s="1">
        <f>1511669.96-960081.54</f>
        <v>551588.41999999993</v>
      </c>
      <c r="AI252" s="5">
        <f>+(K252*10+L252*20)*12*0.85</f>
        <v>358040.39999999997</v>
      </c>
      <c r="AJ252" s="5">
        <f>+(K252*10+L252*20)*12*30-10097.67</f>
        <v>12626622.33</v>
      </c>
      <c r="AL252" s="37">
        <f t="shared" si="55"/>
        <v>0</v>
      </c>
      <c r="AM252" s="30">
        <v>0</v>
      </c>
      <c r="AN252" s="30">
        <v>0</v>
      </c>
      <c r="AO252" s="30">
        <v>0</v>
      </c>
      <c r="AP252" s="30">
        <v>0</v>
      </c>
      <c r="AQ252" s="30">
        <v>950120</v>
      </c>
      <c r="AR252" s="30"/>
      <c r="AS252" s="30"/>
      <c r="AT252" s="30">
        <v>0</v>
      </c>
      <c r="AU252" s="30">
        <v>0</v>
      </c>
      <c r="AV252" s="30">
        <v>0</v>
      </c>
      <c r="AW252" s="30">
        <v>0</v>
      </c>
      <c r="AX252" s="30"/>
      <c r="AY252" s="30"/>
      <c r="AZ252" s="30"/>
      <c r="BA252" s="40"/>
      <c r="BB252" s="5">
        <f t="shared" si="56"/>
        <v>950120</v>
      </c>
    </row>
    <row r="253" spans="1:54" s="142" customFormat="1" hidden="1">
      <c r="A253" s="10">
        <f t="shared" si="57"/>
        <v>235</v>
      </c>
      <c r="B253" s="113">
        <f t="shared" si="58"/>
        <v>47</v>
      </c>
      <c r="C253" s="12" t="s">
        <v>185</v>
      </c>
      <c r="D253" s="12" t="s">
        <v>380</v>
      </c>
      <c r="E253" s="102" t="s">
        <v>381</v>
      </c>
      <c r="F253" s="102"/>
      <c r="G253" s="102" t="s">
        <v>3</v>
      </c>
      <c r="H253" s="102" t="s">
        <v>183</v>
      </c>
      <c r="I253" s="102" t="s">
        <v>27</v>
      </c>
      <c r="J253" s="62">
        <v>1276.4000000000001</v>
      </c>
      <c r="K253" s="62">
        <v>1181.5</v>
      </c>
      <c r="L253" s="62">
        <v>48.4</v>
      </c>
      <c r="M253" s="103">
        <v>69</v>
      </c>
      <c r="N253" s="28">
        <f t="shared" si="53"/>
        <v>5220768.8399999989</v>
      </c>
      <c r="O253" s="30">
        <v>0</v>
      </c>
      <c r="P253" s="30">
        <v>1659806.6518352199</v>
      </c>
      <c r="Q253" s="31"/>
      <c r="R253" s="31"/>
      <c r="S253" s="30">
        <v>0</v>
      </c>
      <c r="T253" s="31"/>
      <c r="U253" s="31"/>
      <c r="V253" s="30">
        <v>601879.40893662896</v>
      </c>
      <c r="W253" s="31"/>
      <c r="X253" s="31"/>
      <c r="Y253" s="30">
        <v>2959082.7792281499</v>
      </c>
      <c r="Z253" s="31"/>
      <c r="AA253" s="31"/>
      <c r="AB253" s="30"/>
      <c r="AC253" s="32"/>
      <c r="AD253" s="32"/>
      <c r="AE253" s="30">
        <v>6192.6631162380199</v>
      </c>
      <c r="AF253" s="30">
        <v>1267.2830200640001</v>
      </c>
      <c r="AG253" s="186">
        <v>2023</v>
      </c>
      <c r="AH253" s="98">
        <v>687944.89</v>
      </c>
      <c r="AI253" s="5">
        <f>+(K253*10.5+L253*21)*12*0.85</f>
        <v>136905.93</v>
      </c>
      <c r="AJ253" s="5">
        <f>+(K253*10.5+L253*21)*12*30</f>
        <v>4831974</v>
      </c>
      <c r="AK253" s="5"/>
      <c r="AL253" s="112">
        <f t="shared" si="55"/>
        <v>0</v>
      </c>
      <c r="AM253" s="30"/>
      <c r="AN253" s="30"/>
      <c r="AO253" s="30">
        <v>1355646.84</v>
      </c>
      <c r="AP253" s="30"/>
      <c r="AQ253" s="30"/>
      <c r="AR253" s="30"/>
      <c r="AS253" s="30"/>
      <c r="AT253" s="30">
        <v>0</v>
      </c>
      <c r="AU253" s="30">
        <v>3865122</v>
      </c>
      <c r="AV253" s="30">
        <v>0</v>
      </c>
      <c r="AW253" s="30"/>
      <c r="AX253" s="30"/>
      <c r="AY253" s="30"/>
      <c r="AZ253" s="30"/>
      <c r="BA253" s="40"/>
      <c r="BB253" s="5">
        <f t="shared" si="56"/>
        <v>5220768.8399999989</v>
      </c>
    </row>
    <row r="254" spans="1:54" hidden="1">
      <c r="A254" s="10">
        <f t="shared" si="57"/>
        <v>236</v>
      </c>
      <c r="B254" s="113">
        <f t="shared" si="58"/>
        <v>48</v>
      </c>
      <c r="C254" s="12" t="s">
        <v>185</v>
      </c>
      <c r="D254" s="12" t="s">
        <v>510</v>
      </c>
      <c r="E254" s="102">
        <v>1973</v>
      </c>
      <c r="F254" s="102">
        <v>2013</v>
      </c>
      <c r="G254" s="102" t="s">
        <v>3</v>
      </c>
      <c r="H254" s="102">
        <v>5</v>
      </c>
      <c r="I254" s="102">
        <v>6</v>
      </c>
      <c r="J254" s="62">
        <v>5136.8500000000004</v>
      </c>
      <c r="K254" s="62">
        <v>4692.05</v>
      </c>
      <c r="L254" s="62">
        <v>0</v>
      </c>
      <c r="M254" s="103">
        <v>215</v>
      </c>
      <c r="N254" s="28">
        <f t="shared" si="53"/>
        <v>16398542.430000002</v>
      </c>
      <c r="O254" s="30"/>
      <c r="P254" s="30">
        <v>3282328.97</v>
      </c>
      <c r="Q254" s="31"/>
      <c r="R254" s="31"/>
      <c r="S254" s="30"/>
      <c r="T254" s="31"/>
      <c r="U254" s="31"/>
      <c r="V254" s="30">
        <v>2763756.33</v>
      </c>
      <c r="W254" s="31"/>
      <c r="X254" s="31"/>
      <c r="Y254" s="30">
        <v>10352457.130000001</v>
      </c>
      <c r="Z254" s="31"/>
      <c r="AA254" s="31"/>
      <c r="AB254" s="30"/>
      <c r="AC254" s="32"/>
      <c r="AD254" s="32"/>
      <c r="AE254" s="62">
        <v>3589.6157809392498</v>
      </c>
      <c r="AF254" s="62">
        <v>3589.6157809392498</v>
      </c>
      <c r="AG254" s="186">
        <v>2023</v>
      </c>
      <c r="AH254" s="1">
        <v>2285167.23</v>
      </c>
      <c r="AI254" s="5">
        <f>+(K254*10+L254*20)*12*0.85</f>
        <v>478589.1</v>
      </c>
      <c r="AJ254" s="5">
        <f>+(K254*10+L254*20)*12*30</f>
        <v>16891380</v>
      </c>
      <c r="AL254" s="37">
        <f t="shared" si="55"/>
        <v>0</v>
      </c>
      <c r="AM254" s="30">
        <v>0</v>
      </c>
      <c r="AN254" s="30">
        <v>0</v>
      </c>
      <c r="AO254" s="30">
        <v>0</v>
      </c>
      <c r="AP254" s="30">
        <v>0</v>
      </c>
      <c r="AQ254" s="30">
        <v>1554723.07</v>
      </c>
      <c r="AR254" s="30"/>
      <c r="AS254" s="30"/>
      <c r="AT254" s="30">
        <v>0</v>
      </c>
      <c r="AU254" s="30">
        <v>0</v>
      </c>
      <c r="AV254" s="30">
        <v>0</v>
      </c>
      <c r="AW254" s="30"/>
      <c r="AX254" s="30">
        <v>14843819.359999999</v>
      </c>
      <c r="AY254" s="30"/>
      <c r="AZ254" s="30"/>
      <c r="BA254" s="40"/>
      <c r="BB254" s="5">
        <f t="shared" si="56"/>
        <v>16398542.430000002</v>
      </c>
    </row>
    <row r="255" spans="1:54" hidden="1">
      <c r="A255" s="10">
        <f t="shared" si="57"/>
        <v>237</v>
      </c>
      <c r="B255" s="113">
        <f t="shared" si="58"/>
        <v>49</v>
      </c>
      <c r="C255" s="12" t="s">
        <v>185</v>
      </c>
      <c r="D255" s="12" t="s">
        <v>512</v>
      </c>
      <c r="E255" s="102">
        <v>1986</v>
      </c>
      <c r="F255" s="102">
        <v>2005</v>
      </c>
      <c r="G255" s="102" t="s">
        <v>3</v>
      </c>
      <c r="H255" s="102">
        <v>5</v>
      </c>
      <c r="I255" s="102">
        <v>3</v>
      </c>
      <c r="J255" s="62">
        <v>5898.64</v>
      </c>
      <c r="K255" s="62">
        <v>4269.5</v>
      </c>
      <c r="L255" s="62">
        <v>369.2</v>
      </c>
      <c r="M255" s="103">
        <v>316</v>
      </c>
      <c r="N255" s="28">
        <f t="shared" si="53"/>
        <v>25543712.859999999</v>
      </c>
      <c r="O255" s="30"/>
      <c r="P255" s="193">
        <f>1594920.28+1393581.33</f>
        <v>2988501.6100000003</v>
      </c>
      <c r="Q255" s="194"/>
      <c r="R255" s="194"/>
      <c r="S255" s="30"/>
      <c r="T255" s="31"/>
      <c r="U255" s="31"/>
      <c r="V255" s="30">
        <v>3391889.52</v>
      </c>
      <c r="W255" s="31"/>
      <c r="X255" s="31"/>
      <c r="Y255" s="30">
        <v>19163321.73</v>
      </c>
      <c r="Z255" s="31"/>
      <c r="AA255" s="31"/>
      <c r="AB255" s="30"/>
      <c r="AC255" s="32"/>
      <c r="AD255" s="32"/>
      <c r="AE255" s="30">
        <v>11289.526951178401</v>
      </c>
      <c r="AF255" s="30">
        <v>1270.2830200640001</v>
      </c>
      <c r="AG255" s="186">
        <v>2023</v>
      </c>
      <c r="AH255" s="98">
        <v>2851840.42</v>
      </c>
      <c r="AI255" s="5">
        <f>+(K255*10.5+L255*21)*12*0.85</f>
        <v>536346.08999999985</v>
      </c>
      <c r="AJ255" s="5">
        <f>+(K255*10.5+L255*21)*12*30</f>
        <v>18929861.999999996</v>
      </c>
      <c r="AL255" s="112">
        <f t="shared" si="55"/>
        <v>0</v>
      </c>
      <c r="AM255" s="30">
        <v>6875735.2199999997</v>
      </c>
      <c r="AN255" s="30">
        <v>3918496.3</v>
      </c>
      <c r="AO255" s="30">
        <v>3290123.15</v>
      </c>
      <c r="AP255" s="30">
        <v>2154394.91</v>
      </c>
      <c r="AQ255" s="30">
        <v>0</v>
      </c>
      <c r="AR255" s="30"/>
      <c r="AS255" s="30"/>
      <c r="AT255" s="30"/>
      <c r="AU255" s="30">
        <v>9062303.3300000001</v>
      </c>
      <c r="AV255" s="30">
        <v>0</v>
      </c>
      <c r="AW255" s="30">
        <v>0</v>
      </c>
      <c r="AX255" s="30">
        <v>0</v>
      </c>
      <c r="AY255" s="30">
        <v>218659.95</v>
      </c>
      <c r="AZ255" s="30">
        <v>24000</v>
      </c>
      <c r="BA255" s="40"/>
      <c r="BB255" s="5">
        <f t="shared" si="56"/>
        <v>25543712.859999999</v>
      </c>
    </row>
    <row r="256" spans="1:54" s="142" customFormat="1" hidden="1">
      <c r="A256" s="10">
        <f t="shared" si="57"/>
        <v>238</v>
      </c>
      <c r="B256" s="113">
        <f t="shared" si="58"/>
        <v>50</v>
      </c>
      <c r="C256" s="12" t="s">
        <v>185</v>
      </c>
      <c r="D256" s="12" t="s">
        <v>387</v>
      </c>
      <c r="E256" s="102" t="s">
        <v>388</v>
      </c>
      <c r="F256" s="102"/>
      <c r="G256" s="102" t="s">
        <v>3</v>
      </c>
      <c r="H256" s="102" t="s">
        <v>183</v>
      </c>
      <c r="I256" s="102" t="s">
        <v>183</v>
      </c>
      <c r="J256" s="62">
        <v>3893.1</v>
      </c>
      <c r="K256" s="62">
        <v>3553.5</v>
      </c>
      <c r="L256" s="62">
        <v>0</v>
      </c>
      <c r="M256" s="103">
        <v>150</v>
      </c>
      <c r="N256" s="28">
        <f t="shared" si="53"/>
        <v>7988406.0600000005</v>
      </c>
      <c r="O256" s="30">
        <v>0</v>
      </c>
      <c r="P256" s="30">
        <v>5126386.37</v>
      </c>
      <c r="Q256" s="31"/>
      <c r="R256" s="31"/>
      <c r="S256" s="30">
        <v>0</v>
      </c>
      <c r="T256" s="31"/>
      <c r="U256" s="31"/>
      <c r="V256" s="30">
        <v>222417.47</v>
      </c>
      <c r="W256" s="31"/>
      <c r="X256" s="31"/>
      <c r="Y256" s="30">
        <v>2639602.2200000002</v>
      </c>
      <c r="Z256" s="31"/>
      <c r="AA256" s="31"/>
      <c r="AB256" s="30"/>
      <c r="AC256" s="32"/>
      <c r="AD256" s="32"/>
      <c r="AE256" s="30">
        <v>17913.0210460528</v>
      </c>
      <c r="AF256" s="30">
        <v>1273.2830200640001</v>
      </c>
      <c r="AG256" s="186">
        <v>2023</v>
      </c>
      <c r="AH256" s="98">
        <v>1198086.6299999999</v>
      </c>
      <c r="AI256" s="5">
        <f>+(K256*10.5+L256*21)*12*0.85</f>
        <v>380579.85</v>
      </c>
      <c r="AJ256" s="5">
        <f>+(K256*10.5+L256*21)*12*30</f>
        <v>13432230</v>
      </c>
      <c r="AK256" s="5"/>
      <c r="AL256" s="112">
        <f t="shared" si="55"/>
        <v>0</v>
      </c>
      <c r="AM256" s="30"/>
      <c r="AN256" s="30"/>
      <c r="AO256" s="30"/>
      <c r="AP256" s="30"/>
      <c r="AQ256" s="30"/>
      <c r="AR256" s="30"/>
      <c r="AS256" s="30"/>
      <c r="AT256" s="30"/>
      <c r="AU256" s="30">
        <v>7724626.6900000004</v>
      </c>
      <c r="AV256" s="30"/>
      <c r="AW256" s="30"/>
      <c r="AX256" s="30"/>
      <c r="AY256" s="30">
        <v>239779.37</v>
      </c>
      <c r="AZ256" s="30">
        <v>24000</v>
      </c>
      <c r="BA256" s="40"/>
      <c r="BB256" s="5">
        <f t="shared" si="56"/>
        <v>7988406.0600000005</v>
      </c>
    </row>
    <row r="257" spans="1:54" s="142" customFormat="1" hidden="1">
      <c r="A257" s="10">
        <f t="shared" si="57"/>
        <v>239</v>
      </c>
      <c r="B257" s="113">
        <f t="shared" si="58"/>
        <v>51</v>
      </c>
      <c r="C257" s="12" t="s">
        <v>185</v>
      </c>
      <c r="D257" s="12" t="s">
        <v>369</v>
      </c>
      <c r="E257" s="102" t="s">
        <v>370</v>
      </c>
      <c r="F257" s="102"/>
      <c r="G257" s="102" t="s">
        <v>3</v>
      </c>
      <c r="H257" s="102" t="s">
        <v>169</v>
      </c>
      <c r="I257" s="102" t="s">
        <v>183</v>
      </c>
      <c r="J257" s="62">
        <v>4021.68</v>
      </c>
      <c r="K257" s="62">
        <v>3212.2</v>
      </c>
      <c r="L257" s="62">
        <v>201.5</v>
      </c>
      <c r="M257" s="103">
        <v>152</v>
      </c>
      <c r="N257" s="28">
        <f t="shared" si="53"/>
        <v>10694243.400000006</v>
      </c>
      <c r="O257" s="195">
        <v>0</v>
      </c>
      <c r="P257" s="35">
        <v>149071.00053612501</v>
      </c>
      <c r="Q257" s="52"/>
      <c r="R257" s="52"/>
      <c r="S257" s="196">
        <v>0</v>
      </c>
      <c r="T257" s="197"/>
      <c r="U257" s="197"/>
      <c r="V257" s="30">
        <v>2328970.2974677999</v>
      </c>
      <c r="W257" s="31"/>
      <c r="X257" s="31"/>
      <c r="Y257" s="30">
        <v>8216202.10199608</v>
      </c>
      <c r="Z257" s="31"/>
      <c r="AA257" s="31"/>
      <c r="AB257" s="30"/>
      <c r="AC257" s="32"/>
      <c r="AD257" s="32"/>
      <c r="AE257" s="30">
        <v>10424.741622818499</v>
      </c>
      <c r="AF257" s="30">
        <v>1274.2830200640001</v>
      </c>
      <c r="AG257" s="186">
        <v>2023</v>
      </c>
      <c r="AH257" s="98">
        <v>2065064.66</v>
      </c>
      <c r="AI257" s="5">
        <f>+(K257*10.5+L257*21)*12*0.85</f>
        <v>387187.91999999993</v>
      </c>
      <c r="AJ257" s="5">
        <f>+(K257*10.5+L257*21)*12*30</f>
        <v>13665455.999999998</v>
      </c>
      <c r="AK257" s="5"/>
      <c r="AL257" s="112">
        <f t="shared" si="55"/>
        <v>0</v>
      </c>
      <c r="AM257" s="30"/>
      <c r="AN257" s="30"/>
      <c r="AO257" s="30">
        <v>1713863.8</v>
      </c>
      <c r="AP257" s="30"/>
      <c r="AQ257" s="30"/>
      <c r="AR257" s="30"/>
      <c r="AS257" s="30"/>
      <c r="AT257" s="30">
        <v>0</v>
      </c>
      <c r="AU257" s="30">
        <v>8587544.4700000007</v>
      </c>
      <c r="AV257" s="30">
        <v>0</v>
      </c>
      <c r="AW257" s="30">
        <v>0</v>
      </c>
      <c r="AX257" s="30">
        <v>0</v>
      </c>
      <c r="AY257" s="30">
        <v>384835.13</v>
      </c>
      <c r="AZ257" s="30">
        <v>8000</v>
      </c>
      <c r="BA257" s="40"/>
      <c r="BB257" s="5">
        <f t="shared" si="56"/>
        <v>10694243.400000006</v>
      </c>
    </row>
    <row r="258" spans="1:54" hidden="1">
      <c r="A258" s="10">
        <f t="shared" si="57"/>
        <v>240</v>
      </c>
      <c r="B258" s="113">
        <f t="shared" si="58"/>
        <v>52</v>
      </c>
      <c r="C258" s="12" t="s">
        <v>185</v>
      </c>
      <c r="D258" s="12" t="s">
        <v>516</v>
      </c>
      <c r="E258" s="102">
        <v>1974</v>
      </c>
      <c r="F258" s="102">
        <v>2012</v>
      </c>
      <c r="G258" s="102" t="s">
        <v>3</v>
      </c>
      <c r="H258" s="102">
        <v>4</v>
      </c>
      <c r="I258" s="102">
        <v>4</v>
      </c>
      <c r="J258" s="62">
        <v>3917</v>
      </c>
      <c r="K258" s="62">
        <v>3431.9</v>
      </c>
      <c r="L258" s="62">
        <v>0</v>
      </c>
      <c r="M258" s="103">
        <v>163</v>
      </c>
      <c r="N258" s="28">
        <f t="shared" si="53"/>
        <v>20897027.440000001</v>
      </c>
      <c r="O258" s="30"/>
      <c r="P258" s="173">
        <f>12823381.3-1578018.06</f>
        <v>11245363.24</v>
      </c>
      <c r="Q258" s="172"/>
      <c r="R258" s="172"/>
      <c r="S258" s="30"/>
      <c r="T258" s="31"/>
      <c r="U258" s="31"/>
      <c r="V258" s="30">
        <v>2888397.14</v>
      </c>
      <c r="W258" s="31"/>
      <c r="X258" s="31"/>
      <c r="Y258" s="30">
        <v>6763267.0599999996</v>
      </c>
      <c r="Z258" s="31"/>
      <c r="AA258" s="31"/>
      <c r="AB258" s="30"/>
      <c r="AC258" s="32"/>
      <c r="AD258" s="32"/>
      <c r="AE258" s="62">
        <v>8137.32749745005</v>
      </c>
      <c r="AF258" s="62">
        <v>8137.32749745005</v>
      </c>
      <c r="AG258" s="186">
        <v>2023</v>
      </c>
      <c r="AH258" s="142">
        <v>1639882.92</v>
      </c>
      <c r="AI258" s="5">
        <f>+(K258*10+L258*20)*12*0.85</f>
        <v>350053.8</v>
      </c>
      <c r="AJ258" s="5">
        <f>+(K258*10+L258*20)*12*30</f>
        <v>12354840</v>
      </c>
      <c r="AL258" s="37">
        <f t="shared" si="55"/>
        <v>0</v>
      </c>
      <c r="AM258" s="30">
        <v>4390563.8399999999</v>
      </c>
      <c r="AN258" s="30">
        <v>3052029.01</v>
      </c>
      <c r="AO258" s="30">
        <v>1727150.4</v>
      </c>
      <c r="AP258" s="30">
        <v>1510543.31</v>
      </c>
      <c r="AQ258" s="30"/>
      <c r="AR258" s="30"/>
      <c r="AS258" s="30"/>
      <c r="AT258" s="30">
        <v>0</v>
      </c>
      <c r="AU258" s="30">
        <v>0</v>
      </c>
      <c r="AV258" s="30">
        <v>0</v>
      </c>
      <c r="AW258" s="30">
        <v>0</v>
      </c>
      <c r="AX258" s="30">
        <v>9155754.3900000006</v>
      </c>
      <c r="AY258" s="30">
        <v>1031786.49</v>
      </c>
      <c r="AZ258" s="30">
        <v>29200</v>
      </c>
      <c r="BA258" s="40"/>
      <c r="BB258" s="5">
        <f t="shared" si="56"/>
        <v>20897027.440000001</v>
      </c>
    </row>
    <row r="259" spans="1:54" hidden="1">
      <c r="A259" s="10">
        <f t="shared" si="57"/>
        <v>241</v>
      </c>
      <c r="B259" s="113">
        <f t="shared" si="58"/>
        <v>53</v>
      </c>
      <c r="C259" s="12" t="s">
        <v>185</v>
      </c>
      <c r="D259" s="12" t="s">
        <v>238</v>
      </c>
      <c r="E259" s="102">
        <v>1977</v>
      </c>
      <c r="F259" s="102">
        <v>1977</v>
      </c>
      <c r="G259" s="102" t="s">
        <v>3</v>
      </c>
      <c r="H259" s="102">
        <v>4</v>
      </c>
      <c r="I259" s="102">
        <v>6</v>
      </c>
      <c r="J259" s="62">
        <v>5672.9</v>
      </c>
      <c r="K259" s="62">
        <v>4964.7</v>
      </c>
      <c r="L259" s="62">
        <v>0</v>
      </c>
      <c r="M259" s="103">
        <v>207</v>
      </c>
      <c r="N259" s="28">
        <f t="shared" si="53"/>
        <v>15205863.189999999</v>
      </c>
      <c r="O259" s="30"/>
      <c r="P259" s="30">
        <v>4124901.9</v>
      </c>
      <c r="Q259" s="31"/>
      <c r="R259" s="31"/>
      <c r="S259" s="30"/>
      <c r="T259" s="31"/>
      <c r="U259" s="31"/>
      <c r="V259" s="30">
        <v>956163.06</v>
      </c>
      <c r="W259" s="31"/>
      <c r="X259" s="31"/>
      <c r="Y259" s="30">
        <v>7066347.9404287999</v>
      </c>
      <c r="Z259" s="31"/>
      <c r="AA259" s="31"/>
      <c r="AB259" s="30">
        <v>3058450.2895712</v>
      </c>
      <c r="AC259" s="32"/>
      <c r="AD259" s="32"/>
      <c r="AE259" s="30">
        <v>2446.7566822625299</v>
      </c>
      <c r="AF259" s="30">
        <v>2446.7566822625299</v>
      </c>
      <c r="AG259" s="186">
        <v>2023</v>
      </c>
      <c r="AH259" s="18">
        <f>2390424.58-114155.72-V78</f>
        <v>638041.85999999987</v>
      </c>
      <c r="AI259" s="5">
        <f>+(K259*10+L259*20)*12*0.85</f>
        <v>506399.39999999997</v>
      </c>
      <c r="AJ259" s="5">
        <f>+(K259*10+L259*20)*12*30-Y78</f>
        <v>6254675.2815712001</v>
      </c>
      <c r="AL259" s="37">
        <f t="shared" si="55"/>
        <v>0</v>
      </c>
      <c r="AM259" s="30"/>
      <c r="AN259" s="30">
        <v>5603246.21</v>
      </c>
      <c r="AO259" s="30">
        <v>2551720.8199999998</v>
      </c>
      <c r="AP259" s="30">
        <v>3180773.21</v>
      </c>
      <c r="AQ259" s="30"/>
      <c r="AR259" s="30"/>
      <c r="AS259" s="30"/>
      <c r="AT259" s="30">
        <v>0</v>
      </c>
      <c r="AU259" s="30">
        <v>0</v>
      </c>
      <c r="AV259" s="30">
        <v>0</v>
      </c>
      <c r="AW259" s="30">
        <v>0</v>
      </c>
      <c r="AX259" s="30">
        <v>3870122.95</v>
      </c>
      <c r="AY259" s="30"/>
      <c r="AZ259" s="30"/>
      <c r="BA259" s="40"/>
      <c r="BB259" s="5">
        <f t="shared" si="56"/>
        <v>15205863.189999999</v>
      </c>
    </row>
    <row r="260" spans="1:54" hidden="1">
      <c r="A260" s="10">
        <f t="shared" si="57"/>
        <v>242</v>
      </c>
      <c r="B260" s="113">
        <f t="shared" si="58"/>
        <v>54</v>
      </c>
      <c r="C260" s="101" t="s">
        <v>185</v>
      </c>
      <c r="D260" s="101" t="s">
        <v>519</v>
      </c>
      <c r="E260" s="102">
        <v>1977</v>
      </c>
      <c r="F260" s="102">
        <v>2013</v>
      </c>
      <c r="G260" s="102" t="s">
        <v>3</v>
      </c>
      <c r="H260" s="102">
        <v>4</v>
      </c>
      <c r="I260" s="102">
        <v>6</v>
      </c>
      <c r="J260" s="62">
        <v>5713.5</v>
      </c>
      <c r="K260" s="62">
        <v>5033.6000000000004</v>
      </c>
      <c r="L260" s="62">
        <v>0</v>
      </c>
      <c r="M260" s="103">
        <v>226</v>
      </c>
      <c r="N260" s="28">
        <f t="shared" si="53"/>
        <v>1990601.96</v>
      </c>
      <c r="O260" s="62"/>
      <c r="P260" s="30"/>
      <c r="Q260" s="31"/>
      <c r="R260" s="31"/>
      <c r="S260" s="30"/>
      <c r="T260" s="31"/>
      <c r="U260" s="31"/>
      <c r="V260" s="30">
        <v>1990601.96</v>
      </c>
      <c r="W260" s="31"/>
      <c r="X260" s="31"/>
      <c r="Y260" s="30"/>
      <c r="Z260" s="31"/>
      <c r="AA260" s="31"/>
      <c r="AB260" s="30"/>
      <c r="AC260" s="32"/>
      <c r="AD260" s="32"/>
      <c r="AE260" s="62">
        <v>398.323521932613</v>
      </c>
      <c r="AF260" s="62">
        <v>398.323521932613</v>
      </c>
      <c r="AG260" s="186">
        <v>2023</v>
      </c>
      <c r="AH260" s="1">
        <v>2355088.06</v>
      </c>
      <c r="AI260" s="5">
        <f>+(K260*10+L260*20)*12*0.85</f>
        <v>513427.20000000001</v>
      </c>
      <c r="AJ260" s="5">
        <f>+(K260*10+L260*20)*12*30</f>
        <v>18120960</v>
      </c>
      <c r="AL260" s="37">
        <f t="shared" si="55"/>
        <v>0</v>
      </c>
      <c r="AM260" s="30">
        <v>0</v>
      </c>
      <c r="AN260" s="30">
        <v>0</v>
      </c>
      <c r="AO260" s="30">
        <v>0</v>
      </c>
      <c r="AP260" s="30">
        <v>0</v>
      </c>
      <c r="AQ260" s="30">
        <v>1990601.96</v>
      </c>
      <c r="AR260" s="30"/>
      <c r="AS260" s="30"/>
      <c r="AT260" s="30">
        <v>0</v>
      </c>
      <c r="AU260" s="30">
        <v>0</v>
      </c>
      <c r="AV260" s="30">
        <v>0</v>
      </c>
      <c r="AW260" s="30">
        <v>0</v>
      </c>
      <c r="AX260" s="30">
        <v>0</v>
      </c>
      <c r="AY260" s="30"/>
      <c r="AZ260" s="30"/>
      <c r="BA260" s="40"/>
      <c r="BB260" s="5">
        <f t="shared" si="56"/>
        <v>1990601.96</v>
      </c>
    </row>
    <row r="261" spans="1:54" hidden="1">
      <c r="A261" s="10">
        <f t="shared" si="57"/>
        <v>243</v>
      </c>
      <c r="B261" s="113">
        <f t="shared" si="58"/>
        <v>55</v>
      </c>
      <c r="C261" s="12" t="s">
        <v>185</v>
      </c>
      <c r="D261" s="12" t="s">
        <v>520</v>
      </c>
      <c r="E261" s="102">
        <v>1979</v>
      </c>
      <c r="F261" s="102">
        <v>2013</v>
      </c>
      <c r="G261" s="102" t="s">
        <v>3</v>
      </c>
      <c r="H261" s="102">
        <v>5</v>
      </c>
      <c r="I261" s="102">
        <v>4</v>
      </c>
      <c r="J261" s="62">
        <v>3602.3</v>
      </c>
      <c r="K261" s="62">
        <v>3466.4</v>
      </c>
      <c r="L261" s="62">
        <v>0</v>
      </c>
      <c r="M261" s="103">
        <v>87</v>
      </c>
      <c r="N261" s="28">
        <f t="shared" si="53"/>
        <v>1808139.499999997</v>
      </c>
      <c r="O261" s="30"/>
      <c r="P261" s="30"/>
      <c r="Q261" s="31"/>
      <c r="R261" s="31"/>
      <c r="S261" s="30"/>
      <c r="T261" s="31"/>
      <c r="U261" s="31"/>
      <c r="V261" s="30">
        <v>382001.59333554702</v>
      </c>
      <c r="W261" s="31"/>
      <c r="X261" s="31"/>
      <c r="Y261" s="30">
        <v>1426137.90666445</v>
      </c>
      <c r="Z261" s="31"/>
      <c r="AA261" s="31"/>
      <c r="AB261" s="30"/>
      <c r="AC261" s="32"/>
      <c r="AD261" s="32"/>
      <c r="AE261" s="30">
        <v>5381.5013600683696</v>
      </c>
      <c r="AF261" s="30">
        <v>1278.2830200640001</v>
      </c>
      <c r="AG261" s="186">
        <v>2023</v>
      </c>
      <c r="AH261" s="98">
        <v>2119168.21</v>
      </c>
      <c r="AI261" s="5">
        <f>+(K261*10.5+L261*21)*12*0.85</f>
        <v>371251.44</v>
      </c>
      <c r="AJ261" s="5">
        <f>+(K261*10.5+L261*21)*12*30</f>
        <v>13102992</v>
      </c>
      <c r="AL261" s="112">
        <f t="shared" si="55"/>
        <v>0</v>
      </c>
      <c r="AM261" s="30"/>
      <c r="AN261" s="30"/>
      <c r="AO261" s="30">
        <v>1749772.5</v>
      </c>
      <c r="AP261" s="30"/>
      <c r="AQ261" s="30"/>
      <c r="AR261" s="30"/>
      <c r="AS261" s="30"/>
      <c r="AT261" s="30">
        <v>0</v>
      </c>
      <c r="AU261" s="30">
        <v>0</v>
      </c>
      <c r="AV261" s="30">
        <v>0</v>
      </c>
      <c r="AW261" s="30">
        <v>0</v>
      </c>
      <c r="AX261" s="30">
        <v>0</v>
      </c>
      <c r="AY261" s="30">
        <v>40450.54</v>
      </c>
      <c r="AZ261" s="30">
        <v>6000</v>
      </c>
      <c r="BA261" s="109">
        <v>11916.46</v>
      </c>
      <c r="BB261" s="5">
        <f t="shared" si="56"/>
        <v>1808139.499999997</v>
      </c>
    </row>
    <row r="262" spans="1:54" hidden="1">
      <c r="A262" s="10">
        <f t="shared" si="57"/>
        <v>244</v>
      </c>
      <c r="B262" s="113">
        <f t="shared" si="58"/>
        <v>56</v>
      </c>
      <c r="C262" s="101" t="s">
        <v>185</v>
      </c>
      <c r="D262" s="101" t="s">
        <v>249</v>
      </c>
      <c r="E262" s="102">
        <v>1977</v>
      </c>
      <c r="F262" s="102">
        <v>2013</v>
      </c>
      <c r="G262" s="102" t="s">
        <v>3</v>
      </c>
      <c r="H262" s="102">
        <v>5</v>
      </c>
      <c r="I262" s="102">
        <v>4</v>
      </c>
      <c r="J262" s="62">
        <v>3776.9</v>
      </c>
      <c r="K262" s="62">
        <v>3428.1</v>
      </c>
      <c r="L262" s="62">
        <v>0</v>
      </c>
      <c r="M262" s="103">
        <v>165</v>
      </c>
      <c r="N262" s="28">
        <f t="shared" si="53"/>
        <v>15271354.73</v>
      </c>
      <c r="O262" s="62"/>
      <c r="P262" s="30"/>
      <c r="Q262" s="31"/>
      <c r="R262" s="31"/>
      <c r="S262" s="30"/>
      <c r="T262" s="31"/>
      <c r="U262" s="31"/>
      <c r="V262" s="30">
        <v>2501614.39</v>
      </c>
      <c r="W262" s="31"/>
      <c r="X262" s="31"/>
      <c r="Y262" s="30">
        <v>12769740.34</v>
      </c>
      <c r="Z262" s="31"/>
      <c r="AA262" s="31"/>
      <c r="AB262" s="30"/>
      <c r="AC262" s="32"/>
      <c r="AD262" s="32"/>
      <c r="AE262" s="30">
        <v>5902.5515432163602</v>
      </c>
      <c r="AF262" s="30">
        <v>1279.2830200640001</v>
      </c>
      <c r="AG262" s="186">
        <v>2023</v>
      </c>
      <c r="AH262" s="98">
        <v>2134464.88</v>
      </c>
      <c r="AI262" s="5">
        <f>+(K262*10.5+L262*21)*12*0.85</f>
        <v>367149.50999999995</v>
      </c>
      <c r="AJ262" s="5">
        <f>+(K262*10.5+L262*21)*12*30</f>
        <v>12958218</v>
      </c>
      <c r="AL262" s="112">
        <f t="shared" si="55"/>
        <v>0</v>
      </c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>
        <v>15271354.73</v>
      </c>
      <c r="AX262" s="30">
        <v>0</v>
      </c>
      <c r="AY262" s="30"/>
      <c r="AZ262" s="30"/>
      <c r="BA262" s="40"/>
      <c r="BB262" s="5">
        <f t="shared" si="56"/>
        <v>15271354.73</v>
      </c>
    </row>
    <row r="263" spans="1:54" hidden="1">
      <c r="A263" s="10">
        <f t="shared" si="57"/>
        <v>245</v>
      </c>
      <c r="B263" s="113">
        <f t="shared" si="58"/>
        <v>57</v>
      </c>
      <c r="C263" s="101" t="s">
        <v>185</v>
      </c>
      <c r="D263" s="101" t="s">
        <v>522</v>
      </c>
      <c r="E263" s="102">
        <v>1978</v>
      </c>
      <c r="F263" s="102">
        <v>2013</v>
      </c>
      <c r="G263" s="102" t="s">
        <v>3</v>
      </c>
      <c r="H263" s="102">
        <v>5</v>
      </c>
      <c r="I263" s="102">
        <v>4</v>
      </c>
      <c r="J263" s="62">
        <v>4846.8</v>
      </c>
      <c r="K263" s="62">
        <v>4276.3999999999996</v>
      </c>
      <c r="L263" s="62">
        <v>0</v>
      </c>
      <c r="M263" s="103">
        <v>174</v>
      </c>
      <c r="N263" s="28">
        <f t="shared" si="53"/>
        <v>4629807.8800000008</v>
      </c>
      <c r="O263" s="62"/>
      <c r="P263" s="30"/>
      <c r="Q263" s="31"/>
      <c r="R263" s="31"/>
      <c r="S263" s="30"/>
      <c r="T263" s="31"/>
      <c r="U263" s="31"/>
      <c r="V263" s="30">
        <v>2340702.7400000002</v>
      </c>
      <c r="W263" s="31"/>
      <c r="X263" s="31"/>
      <c r="Y263" s="30">
        <v>2289105.14</v>
      </c>
      <c r="Z263" s="31"/>
      <c r="AA263" s="31"/>
      <c r="AB263" s="62"/>
      <c r="AC263" s="106"/>
      <c r="AD263" s="106"/>
      <c r="AE263" s="30">
        <v>1705.7012597069299</v>
      </c>
      <c r="AF263" s="30">
        <v>1705.7012597069299</v>
      </c>
      <c r="AG263" s="186">
        <v>2023</v>
      </c>
      <c r="AH263" s="1">
        <f>2003447.04-122937.1</f>
        <v>1880509.94</v>
      </c>
      <c r="AI263" s="5">
        <f>+(K263*10+L263*20)*12*0.85</f>
        <v>436192.8</v>
      </c>
      <c r="AJ263" s="5">
        <f>+(K263*10+L263*20)*12*30</f>
        <v>15395040</v>
      </c>
      <c r="AL263" s="37">
        <f t="shared" si="55"/>
        <v>0</v>
      </c>
      <c r="AM263" s="30">
        <v>4565506.96</v>
      </c>
      <c r="AN263" s="30">
        <v>0</v>
      </c>
      <c r="AO263" s="30">
        <v>0</v>
      </c>
      <c r="AP263" s="30">
        <v>0</v>
      </c>
      <c r="AQ263" s="30"/>
      <c r="AR263" s="30"/>
      <c r="AS263" s="30"/>
      <c r="AT263" s="30">
        <v>0</v>
      </c>
      <c r="AU263" s="30">
        <v>0</v>
      </c>
      <c r="AV263" s="30">
        <v>0</v>
      </c>
      <c r="AW263" s="30">
        <v>0</v>
      </c>
      <c r="AX263" s="30">
        <v>0</v>
      </c>
      <c r="AY263" s="30">
        <v>40300.92</v>
      </c>
      <c r="AZ263" s="30">
        <v>24000</v>
      </c>
      <c r="BA263" s="40"/>
      <c r="BB263" s="5">
        <f t="shared" si="56"/>
        <v>4629807.8800000008</v>
      </c>
    </row>
    <row r="264" spans="1:54" hidden="1">
      <c r="A264" s="10">
        <f t="shared" si="57"/>
        <v>246</v>
      </c>
      <c r="B264" s="113">
        <f t="shared" si="58"/>
        <v>58</v>
      </c>
      <c r="C264" s="12" t="s">
        <v>185</v>
      </c>
      <c r="D264" s="12" t="s">
        <v>391</v>
      </c>
      <c r="E264" s="102">
        <v>1978</v>
      </c>
      <c r="F264" s="102">
        <v>2008</v>
      </c>
      <c r="G264" s="102" t="s">
        <v>3</v>
      </c>
      <c r="H264" s="102">
        <v>5</v>
      </c>
      <c r="I264" s="102">
        <v>4</v>
      </c>
      <c r="J264" s="62">
        <v>4929.7</v>
      </c>
      <c r="K264" s="62">
        <v>4335.1000000000004</v>
      </c>
      <c r="L264" s="62">
        <v>0</v>
      </c>
      <c r="M264" s="103">
        <v>213</v>
      </c>
      <c r="N264" s="28">
        <f t="shared" si="53"/>
        <v>1142099.19</v>
      </c>
      <c r="O264" s="30"/>
      <c r="P264" s="30"/>
      <c r="Q264" s="31"/>
      <c r="R264" s="31"/>
      <c r="S264" s="30"/>
      <c r="T264" s="31"/>
      <c r="U264" s="31"/>
      <c r="V264" s="30">
        <v>450000</v>
      </c>
      <c r="W264" s="31"/>
      <c r="X264" s="31"/>
      <c r="Y264" s="30">
        <v>692099.19</v>
      </c>
      <c r="Z264" s="31"/>
      <c r="AA264" s="31"/>
      <c r="AB264" s="107"/>
      <c r="AC264" s="108"/>
      <c r="AD264" s="108"/>
      <c r="AE264" s="62">
        <v>2164.3192336970301</v>
      </c>
      <c r="AF264" s="62">
        <v>2164.3192336970301</v>
      </c>
      <c r="AG264" s="186">
        <v>2023</v>
      </c>
      <c r="AH264" s="18">
        <f>2077071.68</f>
        <v>2077071.68</v>
      </c>
      <c r="AI264" s="5">
        <f>+(K264*10+L264*20)*12*0.85</f>
        <v>442180.2</v>
      </c>
      <c r="AJ264" s="5">
        <f>+(K264*10+L264*20)*12*30</f>
        <v>15606360</v>
      </c>
      <c r="AL264" s="37">
        <f t="shared" si="55"/>
        <v>0</v>
      </c>
      <c r="AM264" s="30">
        <v>0</v>
      </c>
      <c r="AN264" s="30">
        <v>1100224.76</v>
      </c>
      <c r="AO264" s="30"/>
      <c r="AP264" s="30"/>
      <c r="AQ264" s="30"/>
      <c r="AR264" s="30"/>
      <c r="AS264" s="30"/>
      <c r="AT264" s="30">
        <v>0</v>
      </c>
      <c r="AU264" s="30">
        <v>0</v>
      </c>
      <c r="AV264" s="30">
        <v>0</v>
      </c>
      <c r="AW264" s="30"/>
      <c r="AX264" s="30">
        <v>0</v>
      </c>
      <c r="AY264" s="30"/>
      <c r="AZ264" s="30"/>
      <c r="BA264" s="109">
        <v>41874.43</v>
      </c>
      <c r="BB264" s="5">
        <f t="shared" si="56"/>
        <v>1142099.19</v>
      </c>
    </row>
    <row r="265" spans="1:54" hidden="1">
      <c r="A265" s="10">
        <f t="shared" si="57"/>
        <v>247</v>
      </c>
      <c r="B265" s="113">
        <f t="shared" si="58"/>
        <v>59</v>
      </c>
      <c r="C265" s="12" t="s">
        <v>185</v>
      </c>
      <c r="D265" s="12" t="s">
        <v>252</v>
      </c>
      <c r="E265" s="102">
        <v>1978</v>
      </c>
      <c r="F265" s="102">
        <v>2013</v>
      </c>
      <c r="G265" s="102" t="s">
        <v>3</v>
      </c>
      <c r="H265" s="102">
        <v>5</v>
      </c>
      <c r="I265" s="102">
        <v>4</v>
      </c>
      <c r="J265" s="62">
        <v>4866.6000000000004</v>
      </c>
      <c r="K265" s="62">
        <v>4226.8</v>
      </c>
      <c r="L265" s="62">
        <v>67</v>
      </c>
      <c r="M265" s="103">
        <v>317</v>
      </c>
      <c r="N265" s="28">
        <f t="shared" si="53"/>
        <v>22799005.560000002</v>
      </c>
      <c r="O265" s="30"/>
      <c r="P265" s="30">
        <v>13957122.720000001</v>
      </c>
      <c r="Q265" s="31"/>
      <c r="R265" s="31"/>
      <c r="S265" s="30"/>
      <c r="T265" s="31"/>
      <c r="U265" s="31"/>
      <c r="V265" s="30">
        <v>2041212.9535000999</v>
      </c>
      <c r="W265" s="31"/>
      <c r="X265" s="31"/>
      <c r="Y265" s="30">
        <v>6800669.8864999004</v>
      </c>
      <c r="Z265" s="31"/>
      <c r="AA265" s="31"/>
      <c r="AB265" s="30"/>
      <c r="AC265" s="32"/>
      <c r="AD265" s="32"/>
      <c r="AE265" s="30">
        <v>5995.9268457935104</v>
      </c>
      <c r="AF265" s="30">
        <v>1281.2830200640001</v>
      </c>
      <c r="AG265" s="186">
        <v>2023</v>
      </c>
      <c r="AH265" s="18">
        <f>2617689.67-682951.44-V85</f>
        <v>1574171.2735001</v>
      </c>
      <c r="AI265" s="5">
        <f>+(K265*10.5+L265*21)*12*0.85</f>
        <v>467041.68000000005</v>
      </c>
      <c r="AJ265" s="5">
        <f>+(K265*10.5+L265*21)*12*30-4953727.17-Y85</f>
        <v>7880945.237099912</v>
      </c>
      <c r="AL265" s="112">
        <f t="shared" si="55"/>
        <v>0</v>
      </c>
      <c r="AM265" s="30"/>
      <c r="AN265" s="30"/>
      <c r="AO265" s="30"/>
      <c r="AP265" s="30"/>
      <c r="AQ265" s="30"/>
      <c r="AR265" s="30"/>
      <c r="AS265" s="30"/>
      <c r="AT265" s="30">
        <v>0</v>
      </c>
      <c r="AU265" s="30"/>
      <c r="AV265" s="30">
        <v>0</v>
      </c>
      <c r="AW265" s="30">
        <v>22799005.559999999</v>
      </c>
      <c r="AX265" s="30"/>
      <c r="AY265" s="30"/>
      <c r="AZ265" s="30"/>
      <c r="BA265" s="40"/>
      <c r="BB265" s="5">
        <f t="shared" si="56"/>
        <v>22799005.560000002</v>
      </c>
    </row>
    <row r="266" spans="1:54" hidden="1">
      <c r="A266" s="10">
        <f t="shared" si="57"/>
        <v>248</v>
      </c>
      <c r="B266" s="113">
        <f t="shared" si="58"/>
        <v>60</v>
      </c>
      <c r="C266" s="12" t="s">
        <v>185</v>
      </c>
      <c r="D266" s="12" t="s">
        <v>525</v>
      </c>
      <c r="E266" s="102">
        <v>1981</v>
      </c>
      <c r="F266" s="102">
        <v>2009</v>
      </c>
      <c r="G266" s="102" t="s">
        <v>3</v>
      </c>
      <c r="H266" s="102">
        <v>5</v>
      </c>
      <c r="I266" s="102">
        <v>4</v>
      </c>
      <c r="J266" s="62">
        <v>6938.7</v>
      </c>
      <c r="K266" s="62">
        <v>6182.6</v>
      </c>
      <c r="L266" s="62">
        <v>0</v>
      </c>
      <c r="M266" s="103">
        <v>194</v>
      </c>
      <c r="N266" s="28">
        <f t="shared" si="53"/>
        <v>17774350.73</v>
      </c>
      <c r="O266" s="30"/>
      <c r="P266" s="30">
        <v>2076617.87</v>
      </c>
      <c r="Q266" s="31"/>
      <c r="R266" s="31"/>
      <c r="S266" s="30"/>
      <c r="T266" s="31"/>
      <c r="U266" s="31"/>
      <c r="V266" s="30">
        <v>3054172.49</v>
      </c>
      <c r="W266" s="31"/>
      <c r="X266" s="31"/>
      <c r="Y266" s="30">
        <v>6919671.1767737996</v>
      </c>
      <c r="Z266" s="31"/>
      <c r="AA266" s="31"/>
      <c r="AB266" s="30">
        <v>5723889.1932261996</v>
      </c>
      <c r="AC266" s="32"/>
      <c r="AD266" s="32"/>
      <c r="AE266" s="62">
        <v>8696.48241719611</v>
      </c>
      <c r="AF266" s="62">
        <v>8696.48241719611</v>
      </c>
      <c r="AG266" s="186">
        <v>2023</v>
      </c>
      <c r="AH266" s="18">
        <f>2933225.6-137130.98-V86</f>
        <v>616710.84000000032</v>
      </c>
      <c r="AI266" s="5">
        <f>+(K266*10+L266*20)*12*0.85</f>
        <v>630625.19999999995</v>
      </c>
      <c r="AJ266" s="5">
        <f>+(K266*10+L266*20)*12*30-Y86</f>
        <v>5807839.7832261994</v>
      </c>
      <c r="AL266" s="37">
        <f t="shared" si="55"/>
        <v>0</v>
      </c>
      <c r="AM266" s="30"/>
      <c r="AN266" s="30"/>
      <c r="AO266" s="30">
        <v>4113294.16</v>
      </c>
      <c r="AP266" s="30"/>
      <c r="AQ266" s="30"/>
      <c r="AR266" s="30"/>
      <c r="AS266" s="30"/>
      <c r="AT266" s="30">
        <v>0</v>
      </c>
      <c r="AU266" s="30"/>
      <c r="AV266" s="30">
        <v>0</v>
      </c>
      <c r="AW266" s="30"/>
      <c r="AX266" s="30">
        <v>13661056.57</v>
      </c>
      <c r="AY266" s="30"/>
      <c r="AZ266" s="30"/>
      <c r="BA266" s="40"/>
      <c r="BB266" s="5">
        <f t="shared" si="56"/>
        <v>17774350.73</v>
      </c>
    </row>
    <row r="267" spans="1:54" hidden="1">
      <c r="A267" s="10">
        <f t="shared" si="57"/>
        <v>249</v>
      </c>
      <c r="B267" s="113">
        <f t="shared" si="58"/>
        <v>61</v>
      </c>
      <c r="C267" s="101" t="s">
        <v>185</v>
      </c>
      <c r="D267" s="101" t="s">
        <v>527</v>
      </c>
      <c r="E267" s="102">
        <v>1990</v>
      </c>
      <c r="F267" s="102">
        <v>2009</v>
      </c>
      <c r="G267" s="102" t="s">
        <v>3</v>
      </c>
      <c r="H267" s="102">
        <v>5</v>
      </c>
      <c r="I267" s="102">
        <v>6</v>
      </c>
      <c r="J267" s="62">
        <v>5593.2</v>
      </c>
      <c r="K267" s="62">
        <v>4942</v>
      </c>
      <c r="L267" s="62">
        <v>0</v>
      </c>
      <c r="M267" s="103">
        <v>206</v>
      </c>
      <c r="N267" s="28">
        <f t="shared" si="53"/>
        <v>5195032.82</v>
      </c>
      <c r="O267" s="62"/>
      <c r="P267" s="30"/>
      <c r="Q267" s="31"/>
      <c r="R267" s="31"/>
      <c r="S267" s="30"/>
      <c r="T267" s="31"/>
      <c r="U267" s="31"/>
      <c r="V267" s="30">
        <v>2725708.02</v>
      </c>
      <c r="W267" s="31"/>
      <c r="X267" s="31"/>
      <c r="Y267" s="30">
        <v>2469324.7999999998</v>
      </c>
      <c r="Z267" s="31"/>
      <c r="AA267" s="31"/>
      <c r="AB267" s="30"/>
      <c r="AC267" s="32"/>
      <c r="AD267" s="32"/>
      <c r="AE267" s="62">
        <v>1102.9942119611501</v>
      </c>
      <c r="AF267" s="62">
        <v>1102.9942119611501</v>
      </c>
      <c r="AG267" s="186">
        <v>2023</v>
      </c>
      <c r="AH267" s="1">
        <v>2223888.42</v>
      </c>
      <c r="AI267" s="5">
        <f>+(K267*10+L267*20)*12*0.85</f>
        <v>504084</v>
      </c>
      <c r="AJ267" s="5">
        <f>+(K267*10+L267*20)*12*30</f>
        <v>17791200</v>
      </c>
      <c r="AL267" s="37">
        <f t="shared" si="55"/>
        <v>0</v>
      </c>
      <c r="AM267" s="30">
        <v>0</v>
      </c>
      <c r="AN267" s="30">
        <v>0</v>
      </c>
      <c r="AO267" s="30">
        <v>0</v>
      </c>
      <c r="AP267" s="30">
        <v>0</v>
      </c>
      <c r="AQ267" s="30">
        <v>0</v>
      </c>
      <c r="AR267" s="30"/>
      <c r="AS267" s="30"/>
      <c r="AT267" s="30">
        <v>0</v>
      </c>
      <c r="AU267" s="30">
        <v>0</v>
      </c>
      <c r="AV267" s="30">
        <v>0</v>
      </c>
      <c r="AW267" s="30">
        <v>0</v>
      </c>
      <c r="AX267" s="30">
        <v>4977661</v>
      </c>
      <c r="AY267" s="30">
        <v>193371.82</v>
      </c>
      <c r="AZ267" s="30">
        <v>24000</v>
      </c>
      <c r="BA267" s="40"/>
      <c r="BB267" s="5">
        <f t="shared" si="56"/>
        <v>5195032.82</v>
      </c>
    </row>
    <row r="268" spans="1:54" hidden="1">
      <c r="A268" s="10">
        <f t="shared" si="57"/>
        <v>250</v>
      </c>
      <c r="B268" s="113">
        <f t="shared" si="58"/>
        <v>62</v>
      </c>
      <c r="C268" s="12" t="s">
        <v>185</v>
      </c>
      <c r="D268" s="12" t="s">
        <v>528</v>
      </c>
      <c r="E268" s="102">
        <v>1969</v>
      </c>
      <c r="F268" s="102">
        <v>2013</v>
      </c>
      <c r="G268" s="102" t="s">
        <v>3</v>
      </c>
      <c r="H268" s="102">
        <v>5</v>
      </c>
      <c r="I268" s="102">
        <v>1</v>
      </c>
      <c r="J268" s="62">
        <v>4537.3</v>
      </c>
      <c r="K268" s="62">
        <v>1650.2</v>
      </c>
      <c r="L268" s="62">
        <v>2887.1</v>
      </c>
      <c r="M268" s="103">
        <v>209</v>
      </c>
      <c r="N268" s="28">
        <f t="shared" si="53"/>
        <v>32945367.95502542</v>
      </c>
      <c r="O268" s="30"/>
      <c r="P268" s="30">
        <v>3487044.1172583001</v>
      </c>
      <c r="Q268" s="31"/>
      <c r="R268" s="31"/>
      <c r="S268" s="30"/>
      <c r="T268" s="31"/>
      <c r="U268" s="31"/>
      <c r="V268" s="30">
        <v>5122527.8533558203</v>
      </c>
      <c r="W268" s="31"/>
      <c r="X268" s="31"/>
      <c r="Y268" s="30">
        <v>24335795.984411299</v>
      </c>
      <c r="Z268" s="31"/>
      <c r="AA268" s="31"/>
      <c r="AB268" s="30"/>
      <c r="AC268" s="32"/>
      <c r="AD268" s="32"/>
      <c r="AE268" s="30">
        <v>31220.809564764601</v>
      </c>
      <c r="AF268" s="30">
        <v>1283.2830200640001</v>
      </c>
      <c r="AG268" s="186">
        <v>2023</v>
      </c>
      <c r="AH268" s="98">
        <v>4743042.5999999996</v>
      </c>
      <c r="AI268" s="5">
        <f>+(K268*10.5+L268*21)*12*0.85</f>
        <v>795153.23999999987</v>
      </c>
      <c r="AJ268" s="5">
        <f>+(K268*10.5+L268*21)*12*30</f>
        <v>28064231.999999996</v>
      </c>
      <c r="AL268" s="112">
        <f t="shared" si="55"/>
        <v>0</v>
      </c>
      <c r="AM268" s="30">
        <v>3333540.05</v>
      </c>
      <c r="AN268" s="30">
        <v>0</v>
      </c>
      <c r="AO268" s="30">
        <v>1549799.6</v>
      </c>
      <c r="AP268" s="30">
        <v>0</v>
      </c>
      <c r="AQ268" s="30">
        <v>0</v>
      </c>
      <c r="AR268" s="30"/>
      <c r="AS268" s="30"/>
      <c r="AT268" s="30">
        <v>0</v>
      </c>
      <c r="AU268" s="30">
        <v>13493182.9250254</v>
      </c>
      <c r="AV268" s="30">
        <v>0</v>
      </c>
      <c r="AW268" s="30">
        <v>14103016.029999999</v>
      </c>
      <c r="AX268" s="30">
        <v>0</v>
      </c>
      <c r="AY268" s="30">
        <v>456271.35999999999</v>
      </c>
      <c r="AZ268" s="30">
        <v>9557.99</v>
      </c>
      <c r="BA268" s="40"/>
      <c r="BB268" s="5">
        <f t="shared" si="56"/>
        <v>32945367.95502542</v>
      </c>
    </row>
    <row r="269" spans="1:54" hidden="1">
      <c r="A269" s="10">
        <f t="shared" si="57"/>
        <v>251</v>
      </c>
      <c r="B269" s="113">
        <f t="shared" si="58"/>
        <v>63</v>
      </c>
      <c r="C269" s="12" t="s">
        <v>185</v>
      </c>
      <c r="D269" s="12" t="s">
        <v>259</v>
      </c>
      <c r="E269" s="102">
        <v>1970</v>
      </c>
      <c r="F269" s="102">
        <v>2013</v>
      </c>
      <c r="G269" s="102" t="s">
        <v>3</v>
      </c>
      <c r="H269" s="102">
        <v>5</v>
      </c>
      <c r="I269" s="102">
        <v>4</v>
      </c>
      <c r="J269" s="62">
        <v>3068</v>
      </c>
      <c r="K269" s="62">
        <v>2483.8000000000002</v>
      </c>
      <c r="L269" s="62">
        <v>584.20000000000005</v>
      </c>
      <c r="M269" s="103">
        <v>142</v>
      </c>
      <c r="N269" s="28">
        <f t="shared" si="53"/>
        <v>5621995.8499999996</v>
      </c>
      <c r="O269" s="30"/>
      <c r="P269" s="30">
        <v>3218407.59</v>
      </c>
      <c r="Q269" s="31"/>
      <c r="R269" s="31"/>
      <c r="S269" s="30"/>
      <c r="T269" s="31"/>
      <c r="U269" s="31"/>
      <c r="V269" s="30">
        <v>318641.84999999998</v>
      </c>
      <c r="W269" s="31"/>
      <c r="X269" s="31"/>
      <c r="Y269" s="30">
        <v>2084946.41</v>
      </c>
      <c r="Z269" s="31"/>
      <c r="AA269" s="31"/>
      <c r="AB269" s="30"/>
      <c r="AC269" s="32"/>
      <c r="AD269" s="32"/>
      <c r="AE269" s="30">
        <v>4744.8332253472399</v>
      </c>
      <c r="AF269" s="30">
        <v>4744.8332253472399</v>
      </c>
      <c r="AG269" s="186">
        <v>2023</v>
      </c>
      <c r="AH269" s="18">
        <f>504168.77-V89</f>
        <v>365922.02463468001</v>
      </c>
      <c r="AI269" s="5">
        <f>+(K269*10+L269*20)*12*0.85</f>
        <v>372524.39999999997</v>
      </c>
      <c r="AJ269" s="5">
        <f>+(K269*10+L269*20)*12*30-Y89</f>
        <v>12219507.675365319</v>
      </c>
      <c r="AL269" s="37">
        <f t="shared" si="55"/>
        <v>0</v>
      </c>
      <c r="AM269" s="30"/>
      <c r="AN269" s="30"/>
      <c r="AO269" s="30"/>
      <c r="AP269" s="30"/>
      <c r="AQ269" s="30"/>
      <c r="AR269" s="30"/>
      <c r="AS269" s="30"/>
      <c r="AT269" s="30"/>
      <c r="AU269" s="30">
        <v>5556548.1200000001</v>
      </c>
      <c r="AV269" s="30">
        <v>0</v>
      </c>
      <c r="AW269" s="30">
        <v>0</v>
      </c>
      <c r="AX269" s="30">
        <v>0</v>
      </c>
      <c r="AY269" s="30"/>
      <c r="AZ269" s="30"/>
      <c r="BA269" s="109">
        <v>65447.73</v>
      </c>
      <c r="BB269" s="5">
        <f t="shared" si="56"/>
        <v>5621995.8499999996</v>
      </c>
    </row>
    <row r="270" spans="1:54" hidden="1">
      <c r="A270" s="10">
        <f t="shared" si="57"/>
        <v>252</v>
      </c>
      <c r="B270" s="113">
        <f t="shared" si="58"/>
        <v>64</v>
      </c>
      <c r="C270" s="101" t="s">
        <v>185</v>
      </c>
      <c r="D270" s="101" t="s">
        <v>531</v>
      </c>
      <c r="E270" s="102">
        <v>1987</v>
      </c>
      <c r="F270" s="102">
        <v>2013</v>
      </c>
      <c r="G270" s="102" t="s">
        <v>3</v>
      </c>
      <c r="H270" s="102">
        <v>5</v>
      </c>
      <c r="I270" s="102">
        <v>6</v>
      </c>
      <c r="J270" s="62">
        <v>6859.9</v>
      </c>
      <c r="K270" s="62">
        <v>6097.04</v>
      </c>
      <c r="L270" s="62">
        <v>117.7</v>
      </c>
      <c r="M270" s="103">
        <v>283</v>
      </c>
      <c r="N270" s="28">
        <f t="shared" si="53"/>
        <v>17091814.77</v>
      </c>
      <c r="O270" s="62"/>
      <c r="P270" s="30"/>
      <c r="Q270" s="31"/>
      <c r="R270" s="31"/>
      <c r="S270" s="30"/>
      <c r="T270" s="31"/>
      <c r="U270" s="31"/>
      <c r="V270" s="30">
        <v>7102572.9400000004</v>
      </c>
      <c r="W270" s="31"/>
      <c r="X270" s="31"/>
      <c r="Y270" s="30">
        <v>9989241.8300000001</v>
      </c>
      <c r="Z270" s="31"/>
      <c r="AA270" s="31"/>
      <c r="AB270" s="30"/>
      <c r="AC270" s="32"/>
      <c r="AD270" s="32"/>
      <c r="AE270" s="62">
        <v>2792.6544573063402</v>
      </c>
      <c r="AF270" s="62">
        <v>2792.6544573063402</v>
      </c>
      <c r="AG270" s="186">
        <v>2023</v>
      </c>
      <c r="AH270" s="166">
        <v>3444629.27</v>
      </c>
      <c r="AI270" s="5">
        <f>+(K270*10+L270*20)*12*0.85</f>
        <v>645908.88</v>
      </c>
      <c r="AJ270" s="5">
        <f>+(K270*10+L270*20)*12*30</f>
        <v>22796784</v>
      </c>
      <c r="AL270" s="37">
        <f t="shared" si="55"/>
        <v>0</v>
      </c>
      <c r="AM270" s="30">
        <v>8885029.4600000009</v>
      </c>
      <c r="AN270" s="30"/>
      <c r="AO270" s="30">
        <v>3892363.59</v>
      </c>
      <c r="AP270" s="30">
        <v>4001179.24</v>
      </c>
      <c r="AQ270" s="30"/>
      <c r="AR270" s="30"/>
      <c r="AS270" s="30"/>
      <c r="AT270" s="30"/>
      <c r="AU270" s="30"/>
      <c r="AV270" s="30"/>
      <c r="AW270" s="30"/>
      <c r="AX270" s="30"/>
      <c r="AY270" s="30">
        <v>123177.46</v>
      </c>
      <c r="AZ270" s="30">
        <v>18000</v>
      </c>
      <c r="BA270" s="109">
        <f>88883.94+41863.41+41317.67</f>
        <v>172065.02000000002</v>
      </c>
      <c r="BB270" s="5">
        <f t="shared" si="56"/>
        <v>17091814.77</v>
      </c>
    </row>
    <row r="271" spans="1:54" hidden="1">
      <c r="A271" s="10">
        <f t="shared" si="57"/>
        <v>253</v>
      </c>
      <c r="B271" s="113">
        <f t="shared" si="58"/>
        <v>65</v>
      </c>
      <c r="C271" s="12" t="s">
        <v>185</v>
      </c>
      <c r="D271" s="12" t="s">
        <v>532</v>
      </c>
      <c r="E271" s="102">
        <v>1972</v>
      </c>
      <c r="F271" s="102">
        <v>2013</v>
      </c>
      <c r="G271" s="102" t="s">
        <v>3</v>
      </c>
      <c r="H271" s="102">
        <v>4</v>
      </c>
      <c r="I271" s="102">
        <v>4</v>
      </c>
      <c r="J271" s="62">
        <v>3047.8</v>
      </c>
      <c r="K271" s="62">
        <v>2789.4</v>
      </c>
      <c r="L271" s="62">
        <v>0</v>
      </c>
      <c r="M271" s="103">
        <v>107</v>
      </c>
      <c r="N271" s="28">
        <f t="shared" si="53"/>
        <v>17417470.407950558</v>
      </c>
      <c r="O271" s="30"/>
      <c r="P271" s="30">
        <v>1630754.51546667</v>
      </c>
      <c r="Q271" s="31"/>
      <c r="R271" s="31"/>
      <c r="S271" s="30"/>
      <c r="T271" s="31"/>
      <c r="U271" s="31"/>
      <c r="V271" s="30">
        <v>823386.06359999999</v>
      </c>
      <c r="W271" s="31"/>
      <c r="X271" s="31"/>
      <c r="Y271" s="30">
        <v>1213116.0688838901</v>
      </c>
      <c r="Z271" s="31"/>
      <c r="AA271" s="31"/>
      <c r="AB271" s="30">
        <v>13750213.76</v>
      </c>
      <c r="AC271" s="32"/>
      <c r="AD271" s="32"/>
      <c r="AE271" s="62">
        <v>7373.2783008338101</v>
      </c>
      <c r="AF271" s="62">
        <v>7373.2783008338101</v>
      </c>
      <c r="AG271" s="186">
        <v>2023</v>
      </c>
      <c r="AH271" s="1">
        <f>1184908.35-361522.2864</f>
        <v>823386.06360000011</v>
      </c>
      <c r="AL271" s="37">
        <f t="shared" ref="AL271:AL302" si="59">SUBTOTAL(9, AM271:BA271)</f>
        <v>0</v>
      </c>
      <c r="AM271" s="30"/>
      <c r="AN271" s="30"/>
      <c r="AO271" s="30"/>
      <c r="AP271" s="30"/>
      <c r="AQ271" s="30"/>
      <c r="AR271" s="30"/>
      <c r="AS271" s="30"/>
      <c r="AT271" s="30">
        <v>0</v>
      </c>
      <c r="AU271" s="30">
        <v>9298128.9700000007</v>
      </c>
      <c r="AV271" s="30">
        <v>0</v>
      </c>
      <c r="AW271" s="30"/>
      <c r="AX271" s="30">
        <v>6906225.3700000001</v>
      </c>
      <c r="AY271" s="30">
        <v>332847.40999999997</v>
      </c>
      <c r="AZ271" s="30">
        <v>24835</v>
      </c>
      <c r="BA271" s="40">
        <v>855433.65795056196</v>
      </c>
      <c r="BB271" s="5">
        <f t="shared" ref="BB271:BB276" si="60">N271-AL271</f>
        <v>17417470.407950558</v>
      </c>
    </row>
    <row r="272" spans="1:54" hidden="1">
      <c r="A272" s="10">
        <f t="shared" si="57"/>
        <v>254</v>
      </c>
      <c r="B272" s="113">
        <f t="shared" si="58"/>
        <v>66</v>
      </c>
      <c r="C272" s="12" t="s">
        <v>185</v>
      </c>
      <c r="D272" s="12" t="s">
        <v>534</v>
      </c>
      <c r="E272" s="102">
        <v>1974</v>
      </c>
      <c r="F272" s="102">
        <v>2013</v>
      </c>
      <c r="G272" s="102" t="s">
        <v>3</v>
      </c>
      <c r="H272" s="102">
        <v>4</v>
      </c>
      <c r="I272" s="102">
        <v>4</v>
      </c>
      <c r="J272" s="62">
        <v>2989.2</v>
      </c>
      <c r="K272" s="62">
        <v>2536.9</v>
      </c>
      <c r="L272" s="62">
        <v>230.9</v>
      </c>
      <c r="M272" s="103">
        <v>90</v>
      </c>
      <c r="N272" s="28">
        <f t="shared" si="53"/>
        <v>17197808.294846922</v>
      </c>
      <c r="O272" s="30"/>
      <c r="P272" s="30">
        <f>3239609.19+4955044.69+545300.86</f>
        <v>8739954.7400000002</v>
      </c>
      <c r="Q272" s="31"/>
      <c r="R272" s="31"/>
      <c r="S272" s="30"/>
      <c r="T272" s="31"/>
      <c r="U272" s="31"/>
      <c r="V272" s="30">
        <v>177663.02</v>
      </c>
      <c r="W272" s="31"/>
      <c r="X272" s="31"/>
      <c r="Y272" s="30">
        <v>967205.52484692098</v>
      </c>
      <c r="Z272" s="31"/>
      <c r="AA272" s="31"/>
      <c r="AB272" s="30">
        <v>7312985.0099999998</v>
      </c>
      <c r="AC272" s="32"/>
      <c r="AD272" s="32"/>
      <c r="AE272" s="62">
        <v>7160.1408428928698</v>
      </c>
      <c r="AF272" s="62">
        <v>7160.1408428928698</v>
      </c>
      <c r="AG272" s="186">
        <v>2023</v>
      </c>
      <c r="AH272" s="1">
        <f>1292399.14-848241.5751</f>
        <v>444157.56489999988</v>
      </c>
      <c r="AL272" s="37">
        <f t="shared" si="59"/>
        <v>0</v>
      </c>
      <c r="AM272" s="30"/>
      <c r="AN272" s="30"/>
      <c r="AO272" s="30"/>
      <c r="AP272" s="30"/>
      <c r="AQ272" s="30"/>
      <c r="AR272" s="30"/>
      <c r="AS272" s="30"/>
      <c r="AT272" s="30">
        <v>0</v>
      </c>
      <c r="AU272" s="30">
        <v>9298128.9700000007</v>
      </c>
      <c r="AV272" s="30">
        <v>0</v>
      </c>
      <c r="AW272" s="30"/>
      <c r="AX272" s="30">
        <v>6697684.2800000003</v>
      </c>
      <c r="AY272" s="30">
        <v>328986.36</v>
      </c>
      <c r="AZ272" s="30">
        <v>24747</v>
      </c>
      <c r="BA272" s="40">
        <v>848261.68484692299</v>
      </c>
      <c r="BB272" s="5">
        <f t="shared" si="60"/>
        <v>17197808.294846922</v>
      </c>
    </row>
    <row r="273" spans="1:54" hidden="1">
      <c r="A273" s="10">
        <f t="shared" si="57"/>
        <v>255</v>
      </c>
      <c r="B273" s="113">
        <f t="shared" si="58"/>
        <v>67</v>
      </c>
      <c r="C273" s="101" t="s">
        <v>185</v>
      </c>
      <c r="D273" s="101" t="s">
        <v>536</v>
      </c>
      <c r="E273" s="102">
        <v>1973</v>
      </c>
      <c r="F273" s="102">
        <v>2013</v>
      </c>
      <c r="G273" s="102" t="s">
        <v>3</v>
      </c>
      <c r="H273" s="102">
        <v>4</v>
      </c>
      <c r="I273" s="102">
        <v>4</v>
      </c>
      <c r="J273" s="62">
        <v>3935.6</v>
      </c>
      <c r="K273" s="62">
        <v>3459.2</v>
      </c>
      <c r="L273" s="62">
        <v>0</v>
      </c>
      <c r="M273" s="103">
        <v>162</v>
      </c>
      <c r="N273" s="28">
        <f t="shared" si="53"/>
        <v>6942751.8404994011</v>
      </c>
      <c r="O273" s="62"/>
      <c r="P273" s="30"/>
      <c r="Q273" s="31"/>
      <c r="R273" s="31"/>
      <c r="S273" s="30"/>
      <c r="T273" s="31"/>
      <c r="U273" s="31"/>
      <c r="V273" s="30">
        <v>2620703.4300000002</v>
      </c>
      <c r="W273" s="31"/>
      <c r="X273" s="31"/>
      <c r="Y273" s="30">
        <v>4322048.4104994005</v>
      </c>
      <c r="Z273" s="31"/>
      <c r="AA273" s="31"/>
      <c r="AB273" s="30">
        <v>0</v>
      </c>
      <c r="AC273" s="32"/>
      <c r="AD273" s="32"/>
      <c r="AE273" s="30">
        <v>3026.5554957793702</v>
      </c>
      <c r="AF273" s="30">
        <v>1291.2830200640001</v>
      </c>
      <c r="AG273" s="186">
        <v>2023</v>
      </c>
      <c r="AH273" s="98">
        <v>2093115.17</v>
      </c>
      <c r="AI273" s="5">
        <f>+(K273*10.5+L273*21)*12*0.85</f>
        <v>370480.31999999995</v>
      </c>
      <c r="AJ273" s="5">
        <f>+(K273*10.5+L273*21)*12*30</f>
        <v>13075775.999999998</v>
      </c>
      <c r="AL273" s="37">
        <f t="shared" si="59"/>
        <v>0</v>
      </c>
      <c r="AM273" s="30">
        <v>0</v>
      </c>
      <c r="AN273" s="30">
        <v>0</v>
      </c>
      <c r="AO273" s="30">
        <v>0</v>
      </c>
      <c r="AP273" s="30">
        <v>0</v>
      </c>
      <c r="AQ273" s="30">
        <v>0</v>
      </c>
      <c r="AR273" s="30"/>
      <c r="AS273" s="30"/>
      <c r="AT273" s="30">
        <v>0</v>
      </c>
      <c r="AU273" s="30">
        <v>6718705.3799999999</v>
      </c>
      <c r="AV273" s="30">
        <v>0</v>
      </c>
      <c r="AW273" s="30">
        <v>0</v>
      </c>
      <c r="AX273" s="30">
        <v>0</v>
      </c>
      <c r="AY273" s="30"/>
      <c r="AZ273" s="30"/>
      <c r="BA273" s="40">
        <v>224046.46049940001</v>
      </c>
      <c r="BB273" s="5">
        <f t="shared" si="60"/>
        <v>6942751.8404994011</v>
      </c>
    </row>
    <row r="274" spans="1:54" s="142" customFormat="1" hidden="1">
      <c r="A274" s="10">
        <f t="shared" ref="A274:A305" si="61">+A273+1</f>
        <v>256</v>
      </c>
      <c r="B274" s="113">
        <f t="shared" si="58"/>
        <v>68</v>
      </c>
      <c r="C274" s="101" t="s">
        <v>185</v>
      </c>
      <c r="D274" s="101" t="s">
        <v>401</v>
      </c>
      <c r="E274" s="102" t="s">
        <v>388</v>
      </c>
      <c r="F274" s="102"/>
      <c r="G274" s="102" t="s">
        <v>3</v>
      </c>
      <c r="H274" s="102" t="s">
        <v>183</v>
      </c>
      <c r="I274" s="102" t="s">
        <v>183</v>
      </c>
      <c r="J274" s="62">
        <v>4032.8</v>
      </c>
      <c r="K274" s="62">
        <v>3458.5</v>
      </c>
      <c r="L274" s="62">
        <v>0</v>
      </c>
      <c r="M274" s="103">
        <v>156</v>
      </c>
      <c r="N274" s="28">
        <f t="shared" ref="N274:N337" si="62">SUM(P274:AB274)</f>
        <v>5504992.4100000001</v>
      </c>
      <c r="O274" s="62">
        <v>0</v>
      </c>
      <c r="P274" s="30"/>
      <c r="Q274" s="31"/>
      <c r="R274" s="31"/>
      <c r="S274" s="30">
        <v>0</v>
      </c>
      <c r="T274" s="31"/>
      <c r="U274" s="31"/>
      <c r="V274" s="30">
        <v>191247.61</v>
      </c>
      <c r="W274" s="31"/>
      <c r="X274" s="31"/>
      <c r="Y274" s="30">
        <v>5313744.8</v>
      </c>
      <c r="Z274" s="31"/>
      <c r="AA274" s="31"/>
      <c r="AB274" s="30"/>
      <c r="AC274" s="32"/>
      <c r="AD274" s="32"/>
      <c r="AE274" s="62">
        <v>14851.7595489707</v>
      </c>
      <c r="AF274" s="62">
        <v>14851.7595489707</v>
      </c>
      <c r="AG274" s="186">
        <v>2023</v>
      </c>
      <c r="AH274" s="142">
        <v>1622977.77</v>
      </c>
      <c r="AI274" s="5">
        <f t="shared" ref="AI274:AI279" si="63">+(K274*10+L274*20)*12*0.85</f>
        <v>352767</v>
      </c>
      <c r="AJ274" s="5">
        <f>+(K274*10+L274*20)*12*30</f>
        <v>12450600</v>
      </c>
      <c r="AK274" s="5"/>
      <c r="AL274" s="37">
        <f t="shared" si="59"/>
        <v>0</v>
      </c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>
        <v>5289247.08</v>
      </c>
      <c r="AY274" s="30">
        <v>212316.76</v>
      </c>
      <c r="AZ274" s="30">
        <v>3428.57</v>
      </c>
      <c r="BA274" s="40"/>
      <c r="BB274" s="5">
        <f t="shared" si="60"/>
        <v>5504992.4100000001</v>
      </c>
    </row>
    <row r="275" spans="1:54" ht="15.75" hidden="1" customHeight="1">
      <c r="A275" s="10">
        <f t="shared" si="61"/>
        <v>257</v>
      </c>
      <c r="B275" s="113">
        <f t="shared" si="58"/>
        <v>69</v>
      </c>
      <c r="C275" s="12" t="s">
        <v>185</v>
      </c>
      <c r="D275" s="12" t="s">
        <v>414</v>
      </c>
      <c r="E275" s="102">
        <v>1974</v>
      </c>
      <c r="F275" s="102">
        <v>2013</v>
      </c>
      <c r="G275" s="102" t="s">
        <v>3</v>
      </c>
      <c r="H275" s="102">
        <v>4</v>
      </c>
      <c r="I275" s="102">
        <v>8</v>
      </c>
      <c r="J275" s="62">
        <v>5449.8</v>
      </c>
      <c r="K275" s="62">
        <v>4938.7</v>
      </c>
      <c r="L275" s="62">
        <v>0</v>
      </c>
      <c r="M275" s="103">
        <v>207</v>
      </c>
      <c r="N275" s="28">
        <f t="shared" si="62"/>
        <v>45207079.570000008</v>
      </c>
      <c r="O275" s="30"/>
      <c r="P275" s="30">
        <v>18759621.039999999</v>
      </c>
      <c r="Q275" s="31"/>
      <c r="R275" s="31"/>
      <c r="S275" s="30"/>
      <c r="T275" s="31"/>
      <c r="U275" s="31"/>
      <c r="V275" s="30">
        <v>2556985.4300000002</v>
      </c>
      <c r="W275" s="31"/>
      <c r="X275" s="31"/>
      <c r="Y275" s="30">
        <v>19403234.486824099</v>
      </c>
      <c r="Z275" s="31"/>
      <c r="AA275" s="31"/>
      <c r="AB275" s="30">
        <v>4487238.61317591</v>
      </c>
      <c r="AC275" s="32"/>
      <c r="AD275" s="32"/>
      <c r="AE275" s="62">
        <v>20793.321266662599</v>
      </c>
      <c r="AF275" s="62">
        <v>20793.321266662599</v>
      </c>
      <c r="AG275" s="186">
        <v>2023</v>
      </c>
      <c r="AH275" s="1">
        <v>2310610.73</v>
      </c>
      <c r="AI275" s="5">
        <f t="shared" si="63"/>
        <v>503747.39999999997</v>
      </c>
      <c r="AJ275" s="5">
        <f>+(K275*10+L275*20)*12*30</f>
        <v>17779320</v>
      </c>
      <c r="AL275" s="37">
        <f t="shared" si="59"/>
        <v>0</v>
      </c>
      <c r="AM275" s="30">
        <v>7625174.9299999997</v>
      </c>
      <c r="AN275" s="30"/>
      <c r="AO275" s="30">
        <v>2990319.15</v>
      </c>
      <c r="AP275" s="30">
        <v>3967819.86</v>
      </c>
      <c r="AQ275" s="30"/>
      <c r="AR275" s="30"/>
      <c r="AS275" s="30"/>
      <c r="AT275" s="30">
        <v>0</v>
      </c>
      <c r="AU275" s="30">
        <v>9797526</v>
      </c>
      <c r="AV275" s="30">
        <v>0</v>
      </c>
      <c r="AW275" s="30">
        <v>9608317.1999999993</v>
      </c>
      <c r="AX275" s="30">
        <v>10107495.6</v>
      </c>
      <c r="AY275" s="30">
        <v>937678.84</v>
      </c>
      <c r="AZ275" s="30">
        <v>42000</v>
      </c>
      <c r="BA275" s="109">
        <f>77529.37+24664.76+28553.86</f>
        <v>130747.98999999999</v>
      </c>
      <c r="BB275" s="5">
        <f t="shared" si="60"/>
        <v>45207079.570000008</v>
      </c>
    </row>
    <row r="276" spans="1:54" hidden="1">
      <c r="A276" s="10">
        <f t="shared" si="61"/>
        <v>258</v>
      </c>
      <c r="B276" s="113">
        <f t="shared" si="58"/>
        <v>70</v>
      </c>
      <c r="C276" s="12" t="s">
        <v>185</v>
      </c>
      <c r="D276" s="12" t="s">
        <v>417</v>
      </c>
      <c r="E276" s="102">
        <v>1976</v>
      </c>
      <c r="F276" s="102">
        <v>2013</v>
      </c>
      <c r="G276" s="102" t="s">
        <v>3</v>
      </c>
      <c r="H276" s="102">
        <v>5</v>
      </c>
      <c r="I276" s="102">
        <v>4</v>
      </c>
      <c r="J276" s="62">
        <v>3698.5</v>
      </c>
      <c r="K276" s="62">
        <v>3331.4</v>
      </c>
      <c r="L276" s="62">
        <v>142.19999999999999</v>
      </c>
      <c r="M276" s="103">
        <v>143</v>
      </c>
      <c r="N276" s="28">
        <f t="shared" si="62"/>
        <v>974673.40999999992</v>
      </c>
      <c r="O276" s="30"/>
      <c r="P276" s="30">
        <v>225443.56</v>
      </c>
      <c r="Q276" s="31"/>
      <c r="R276" s="31"/>
      <c r="S276" s="30"/>
      <c r="T276" s="31"/>
      <c r="U276" s="31"/>
      <c r="V276" s="30">
        <v>92497.51</v>
      </c>
      <c r="W276" s="31"/>
      <c r="X276" s="31"/>
      <c r="Y276" s="30">
        <v>656732.34</v>
      </c>
      <c r="Z276" s="31"/>
      <c r="AA276" s="31"/>
      <c r="AB276" s="30"/>
      <c r="AC276" s="32"/>
      <c r="AD276" s="32"/>
      <c r="AE276" s="62">
        <v>401.39736237843999</v>
      </c>
      <c r="AF276" s="62">
        <v>401.39736237843999</v>
      </c>
      <c r="AG276" s="186">
        <v>2023</v>
      </c>
      <c r="AH276" s="1">
        <f>1714139.94-279174.44-139587.22</f>
        <v>1295378.28</v>
      </c>
      <c r="AI276" s="5">
        <f t="shared" si="63"/>
        <v>368811.6</v>
      </c>
      <c r="AJ276" s="5">
        <f>+(K276*10+L276*20)*12*30-1573640.06</f>
        <v>11443239.939999999</v>
      </c>
      <c r="AL276" s="37">
        <f t="shared" si="59"/>
        <v>0</v>
      </c>
      <c r="AM276" s="30"/>
      <c r="AN276" s="30"/>
      <c r="AO276" s="30">
        <v>0</v>
      </c>
      <c r="AP276" s="30">
        <v>0</v>
      </c>
      <c r="AQ276" s="30">
        <v>974673.41</v>
      </c>
      <c r="AR276" s="30"/>
      <c r="AS276" s="30"/>
      <c r="AT276" s="30">
        <v>0</v>
      </c>
      <c r="AU276" s="30"/>
      <c r="AV276" s="30">
        <v>0</v>
      </c>
      <c r="AW276" s="30">
        <v>0</v>
      </c>
      <c r="AX276" s="30">
        <v>0</v>
      </c>
      <c r="AY276" s="30"/>
      <c r="AZ276" s="30"/>
      <c r="BA276" s="40"/>
      <c r="BB276" s="5">
        <f t="shared" si="60"/>
        <v>974673.40999999992</v>
      </c>
    </row>
    <row r="277" spans="1:54" hidden="1">
      <c r="A277" s="10">
        <f t="shared" si="61"/>
        <v>259</v>
      </c>
      <c r="B277" s="113">
        <f t="shared" si="58"/>
        <v>71</v>
      </c>
      <c r="C277" s="101" t="s">
        <v>185</v>
      </c>
      <c r="D277" s="101" t="s">
        <v>540</v>
      </c>
      <c r="E277" s="102">
        <v>1983</v>
      </c>
      <c r="F277" s="102">
        <v>2013</v>
      </c>
      <c r="G277" s="102" t="s">
        <v>3</v>
      </c>
      <c r="H277" s="102">
        <v>4</v>
      </c>
      <c r="I277" s="102">
        <v>6</v>
      </c>
      <c r="J277" s="62">
        <v>5775.05</v>
      </c>
      <c r="K277" s="62">
        <v>5052.8500000000004</v>
      </c>
      <c r="L277" s="62">
        <v>0</v>
      </c>
      <c r="M277" s="103">
        <v>216</v>
      </c>
      <c r="N277" s="28">
        <f t="shared" si="62"/>
        <v>13852053.29999996</v>
      </c>
      <c r="O277" s="62"/>
      <c r="P277" s="30"/>
      <c r="Q277" s="31"/>
      <c r="R277" s="31"/>
      <c r="S277" s="30"/>
      <c r="T277" s="31"/>
      <c r="U277" s="31"/>
      <c r="V277" s="30">
        <v>2119027.7084741602</v>
      </c>
      <c r="W277" s="31"/>
      <c r="X277" s="31"/>
      <c r="Y277" s="30">
        <v>11733025.591525801</v>
      </c>
      <c r="Z277" s="31"/>
      <c r="AA277" s="31"/>
      <c r="AB277" s="30"/>
      <c r="AC277" s="32"/>
      <c r="AD277" s="32"/>
      <c r="AE277" s="62">
        <v>3213.2386336333002</v>
      </c>
      <c r="AF277" s="62">
        <v>3213.2386336333002</v>
      </c>
      <c r="AG277" s="186">
        <v>2023</v>
      </c>
      <c r="AH277" s="1">
        <f>2439039.01-114269.78</f>
        <v>2324769.23</v>
      </c>
      <c r="AI277" s="5">
        <f t="shared" si="63"/>
        <v>515390.7</v>
      </c>
      <c r="AJ277" s="5">
        <f>+(K277*10+L277*20)*12*30</f>
        <v>18190260</v>
      </c>
      <c r="AL277" s="37">
        <f t="shared" si="59"/>
        <v>0</v>
      </c>
      <c r="AM277" s="30">
        <v>7567432.0800000001</v>
      </c>
      <c r="AN277" s="30"/>
      <c r="AO277" s="30">
        <v>3408090.02</v>
      </c>
      <c r="AP277" s="30">
        <v>2646922.3199999998</v>
      </c>
      <c r="AQ277" s="30"/>
      <c r="AR277" s="30"/>
      <c r="AS277" s="30"/>
      <c r="AT277" s="30">
        <v>0</v>
      </c>
      <c r="AU277" s="30">
        <v>0</v>
      </c>
      <c r="AV277" s="30">
        <v>0</v>
      </c>
      <c r="AW277" s="30">
        <v>0</v>
      </c>
      <c r="AX277" s="30">
        <v>0</v>
      </c>
      <c r="AY277" s="30">
        <v>89396.34</v>
      </c>
      <c r="AZ277" s="30"/>
      <c r="BA277" s="109">
        <f>78680.24+30208.91+31323.39</f>
        <v>140212.54</v>
      </c>
      <c r="BB277" s="5"/>
    </row>
    <row r="278" spans="1:54" hidden="1">
      <c r="A278" s="10">
        <f t="shared" si="61"/>
        <v>260</v>
      </c>
      <c r="B278" s="113">
        <f t="shared" si="58"/>
        <v>72</v>
      </c>
      <c r="C278" s="101" t="s">
        <v>185</v>
      </c>
      <c r="D278" s="101" t="s">
        <v>272</v>
      </c>
      <c r="E278" s="102">
        <v>1976</v>
      </c>
      <c r="F278" s="102">
        <v>2013</v>
      </c>
      <c r="G278" s="102" t="s">
        <v>3</v>
      </c>
      <c r="H278" s="102">
        <v>4</v>
      </c>
      <c r="I278" s="102">
        <v>6</v>
      </c>
      <c r="J278" s="62">
        <v>5761.37</v>
      </c>
      <c r="K278" s="62">
        <v>4953.17</v>
      </c>
      <c r="L278" s="62">
        <v>0</v>
      </c>
      <c r="M278" s="103">
        <v>208</v>
      </c>
      <c r="N278" s="28">
        <f t="shared" si="62"/>
        <v>7219456.8700000001</v>
      </c>
      <c r="O278" s="62"/>
      <c r="P278" s="30"/>
      <c r="Q278" s="31"/>
      <c r="R278" s="31"/>
      <c r="S278" s="30"/>
      <c r="T278" s="31"/>
      <c r="U278" s="31"/>
      <c r="V278" s="30">
        <v>891053.55</v>
      </c>
      <c r="W278" s="31"/>
      <c r="X278" s="31"/>
      <c r="Y278" s="30">
        <v>6328403.3200000003</v>
      </c>
      <c r="Z278" s="31"/>
      <c r="AA278" s="31"/>
      <c r="AB278" s="62"/>
      <c r="AC278" s="106"/>
      <c r="AD278" s="106"/>
      <c r="AE278" s="62">
        <v>3306.7973135626698</v>
      </c>
      <c r="AF278" s="62">
        <v>3306.7973135626698</v>
      </c>
      <c r="AG278" s="186">
        <v>2023</v>
      </c>
      <c r="AH278" s="1">
        <f>2496690.4</f>
        <v>2496690.4</v>
      </c>
      <c r="AI278" s="5">
        <f t="shared" si="63"/>
        <v>505223.33999999991</v>
      </c>
      <c r="AJ278" s="5">
        <f>+(K278*10+L278*20)*12*30</f>
        <v>17831411.999999996</v>
      </c>
      <c r="AL278" s="37">
        <f t="shared" si="59"/>
        <v>0</v>
      </c>
      <c r="AM278" s="30">
        <v>0</v>
      </c>
      <c r="AN278" s="30"/>
      <c r="AO278" s="30"/>
      <c r="AP278" s="30"/>
      <c r="AQ278" s="30"/>
      <c r="AR278" s="30"/>
      <c r="AS278" s="30"/>
      <c r="AT278" s="30">
        <v>0</v>
      </c>
      <c r="AU278" s="30">
        <v>0</v>
      </c>
      <c r="AV278" s="30">
        <v>0</v>
      </c>
      <c r="AW278" s="30">
        <v>0</v>
      </c>
      <c r="AX278" s="30">
        <v>7219456.8700000001</v>
      </c>
      <c r="AY278" s="30"/>
      <c r="AZ278" s="30"/>
      <c r="BA278" s="40"/>
      <c r="BB278" s="5">
        <f t="shared" ref="BB278:BB309" si="64">N278-AL278</f>
        <v>7219456.8700000001</v>
      </c>
    </row>
    <row r="279" spans="1:54" hidden="1">
      <c r="A279" s="10">
        <f t="shared" si="61"/>
        <v>261</v>
      </c>
      <c r="B279" s="113">
        <f t="shared" si="58"/>
        <v>73</v>
      </c>
      <c r="C279" s="12" t="s">
        <v>185</v>
      </c>
      <c r="D279" s="12" t="s">
        <v>274</v>
      </c>
      <c r="E279" s="102">
        <v>1964</v>
      </c>
      <c r="F279" s="102">
        <v>1978</v>
      </c>
      <c r="G279" s="102" t="s">
        <v>3</v>
      </c>
      <c r="H279" s="102">
        <v>4</v>
      </c>
      <c r="I279" s="102">
        <v>4</v>
      </c>
      <c r="J279" s="62">
        <v>2691.4</v>
      </c>
      <c r="K279" s="62">
        <v>2511.6</v>
      </c>
      <c r="L279" s="62">
        <v>55</v>
      </c>
      <c r="M279" s="103">
        <v>136</v>
      </c>
      <c r="N279" s="28">
        <f t="shared" si="62"/>
        <v>942256.83000000007</v>
      </c>
      <c r="O279" s="30"/>
      <c r="P279" s="30">
        <v>213370.88</v>
      </c>
      <c r="Q279" s="31"/>
      <c r="R279" s="31"/>
      <c r="S279" s="30"/>
      <c r="T279" s="31"/>
      <c r="U279" s="31"/>
      <c r="V279" s="30">
        <v>364376.03100000002</v>
      </c>
      <c r="W279" s="31"/>
      <c r="X279" s="31"/>
      <c r="Y279" s="30">
        <v>364509.91899999999</v>
      </c>
      <c r="Z279" s="31"/>
      <c r="AA279" s="31"/>
      <c r="AB279" s="30"/>
      <c r="AC279" s="32"/>
      <c r="AD279" s="32"/>
      <c r="AE279" s="30">
        <v>445.04048324984001</v>
      </c>
      <c r="AF279" s="30">
        <v>445.04048324984001</v>
      </c>
      <c r="AG279" s="186">
        <v>2023</v>
      </c>
      <c r="AH279" s="18">
        <f>1127947.91-V98</f>
        <v>96972.829999999958</v>
      </c>
      <c r="AI279" s="5">
        <f t="shared" si="63"/>
        <v>267403.2</v>
      </c>
      <c r="AJ279" s="5">
        <f>+(K279*10+L279*20)*12*30-1866218.37-Y98</f>
        <v>550279.71999999974</v>
      </c>
      <c r="AL279" s="37">
        <f t="shared" si="59"/>
        <v>0</v>
      </c>
      <c r="AM279" s="30"/>
      <c r="AN279" s="30"/>
      <c r="AO279" s="30">
        <v>942256.83</v>
      </c>
      <c r="AP279" s="30"/>
      <c r="AQ279" s="30"/>
      <c r="AR279" s="30"/>
      <c r="AS279" s="30"/>
      <c r="AT279" s="30">
        <v>0</v>
      </c>
      <c r="AU279" s="30"/>
      <c r="AV279" s="30">
        <v>0</v>
      </c>
      <c r="AW279" s="30">
        <v>0</v>
      </c>
      <c r="AX279" s="30">
        <v>0</v>
      </c>
      <c r="AY279" s="30"/>
      <c r="AZ279" s="30"/>
      <c r="BA279" s="40"/>
      <c r="BB279" s="5">
        <f t="shared" si="64"/>
        <v>942256.83000000007</v>
      </c>
    </row>
    <row r="280" spans="1:54" hidden="1">
      <c r="A280" s="10">
        <f t="shared" si="61"/>
        <v>262</v>
      </c>
      <c r="B280" s="113">
        <f t="shared" si="58"/>
        <v>74</v>
      </c>
      <c r="C280" s="12" t="s">
        <v>185</v>
      </c>
      <c r="D280" s="12" t="s">
        <v>426</v>
      </c>
      <c r="E280" s="102">
        <v>1988</v>
      </c>
      <c r="F280" s="102">
        <v>2013</v>
      </c>
      <c r="G280" s="102" t="s">
        <v>3</v>
      </c>
      <c r="H280" s="102">
        <v>3</v>
      </c>
      <c r="I280" s="102">
        <v>3</v>
      </c>
      <c r="J280" s="62">
        <v>1440</v>
      </c>
      <c r="K280" s="62">
        <v>1362.6</v>
      </c>
      <c r="L280" s="62">
        <v>0</v>
      </c>
      <c r="M280" s="103">
        <v>54</v>
      </c>
      <c r="N280" s="28">
        <f t="shared" si="62"/>
        <v>4053130.36</v>
      </c>
      <c r="O280" s="30"/>
      <c r="P280" s="30">
        <v>3695737.61</v>
      </c>
      <c r="Q280" s="31"/>
      <c r="R280" s="31"/>
      <c r="S280" s="30"/>
      <c r="T280" s="31"/>
      <c r="U280" s="31"/>
      <c r="V280" s="30">
        <v>145934.46</v>
      </c>
      <c r="W280" s="31"/>
      <c r="X280" s="31"/>
      <c r="Y280" s="30">
        <v>211458.29</v>
      </c>
      <c r="Z280" s="31"/>
      <c r="AA280" s="31"/>
      <c r="AB280" s="30"/>
      <c r="AC280" s="32"/>
      <c r="AD280" s="32"/>
      <c r="AE280" s="62">
        <v>11914.719398173</v>
      </c>
      <c r="AF280" s="62">
        <v>11914.719398173</v>
      </c>
      <c r="AG280" s="186">
        <v>2023</v>
      </c>
      <c r="AH280" s="98" t="e">
        <f>737152.83-#REF!</f>
        <v>#REF!</v>
      </c>
      <c r="AI280" s="5">
        <f>+(K280*10.5+L280*21)*12*0.85</f>
        <v>145934.45999999996</v>
      </c>
      <c r="AJ280" s="5" t="e">
        <f>+(K280*10.5+L280*21)*12*30-#REF!</f>
        <v>#REF!</v>
      </c>
      <c r="AL280" s="112">
        <f t="shared" si="59"/>
        <v>0</v>
      </c>
      <c r="AM280" s="30"/>
      <c r="AN280" s="30"/>
      <c r="AO280" s="30"/>
      <c r="AP280" s="30"/>
      <c r="AQ280" s="30"/>
      <c r="AR280" s="30"/>
      <c r="AS280" s="30"/>
      <c r="AT280" s="30">
        <v>0</v>
      </c>
      <c r="AU280" s="30">
        <v>4009059.65</v>
      </c>
      <c r="AV280" s="30">
        <v>0</v>
      </c>
      <c r="AW280" s="30">
        <v>0</v>
      </c>
      <c r="AX280" s="30">
        <v>0</v>
      </c>
      <c r="AY280" s="30">
        <v>39270.71</v>
      </c>
      <c r="AZ280" s="30">
        <v>4800</v>
      </c>
      <c r="BA280" s="40"/>
      <c r="BB280" s="5">
        <f t="shared" si="64"/>
        <v>4053130.36</v>
      </c>
    </row>
    <row r="281" spans="1:54" s="142" customFormat="1" hidden="1">
      <c r="A281" s="10">
        <f t="shared" si="61"/>
        <v>263</v>
      </c>
      <c r="B281" s="113">
        <f t="shared" ref="B281:B312" si="65">+B280+1</f>
        <v>75</v>
      </c>
      <c r="C281" s="101" t="s">
        <v>313</v>
      </c>
      <c r="D281" s="101" t="s">
        <v>543</v>
      </c>
      <c r="E281" s="102" t="s">
        <v>494</v>
      </c>
      <c r="F281" s="102"/>
      <c r="G281" s="102" t="s">
        <v>3</v>
      </c>
      <c r="H281" s="102" t="s">
        <v>174</v>
      </c>
      <c r="I281" s="102" t="s">
        <v>183</v>
      </c>
      <c r="J281" s="62">
        <v>10278.6</v>
      </c>
      <c r="K281" s="62">
        <v>9679.9</v>
      </c>
      <c r="L281" s="62">
        <v>0</v>
      </c>
      <c r="M281" s="103">
        <v>304</v>
      </c>
      <c r="N281" s="28">
        <f t="shared" si="62"/>
        <v>14089697.18</v>
      </c>
      <c r="O281" s="62">
        <v>0</v>
      </c>
      <c r="P281" s="30"/>
      <c r="Q281" s="31"/>
      <c r="R281" s="31"/>
      <c r="S281" s="30">
        <v>0</v>
      </c>
      <c r="T281" s="31"/>
      <c r="U281" s="31"/>
      <c r="V281" s="30">
        <v>7645478.0545449704</v>
      </c>
      <c r="W281" s="31"/>
      <c r="X281" s="31"/>
      <c r="Y281" s="30">
        <v>6444219.1254550302</v>
      </c>
      <c r="Z281" s="31"/>
      <c r="AA281" s="31"/>
      <c r="AB281" s="30"/>
      <c r="AC281" s="32"/>
      <c r="AD281" s="32"/>
      <c r="AE281" s="30">
        <v>1488.9595592789301</v>
      </c>
      <c r="AF281" s="30">
        <v>1305.2830200640001</v>
      </c>
      <c r="AG281" s="186">
        <v>2023</v>
      </c>
      <c r="AH281" s="98">
        <v>7426786.3399999999</v>
      </c>
      <c r="AI281" s="5">
        <f>+(K281*13.95+L281*23.65)*12*0.85</f>
        <v>1377352.9709999997</v>
      </c>
      <c r="AJ281" s="5">
        <f>+(K281*13.95+L281*23.65)*12*30</f>
        <v>48612457.799999997</v>
      </c>
      <c r="AK281" s="5"/>
      <c r="AL281" s="112">
        <f t="shared" si="59"/>
        <v>0</v>
      </c>
      <c r="AM281" s="30"/>
      <c r="AN281" s="30"/>
      <c r="AO281" s="30"/>
      <c r="AP281" s="30"/>
      <c r="AQ281" s="30"/>
      <c r="AR281" s="30"/>
      <c r="AS281" s="30"/>
      <c r="AT281" s="30">
        <v>13862649.6</v>
      </c>
      <c r="AU281" s="30"/>
      <c r="AV281" s="30"/>
      <c r="AW281" s="30"/>
      <c r="AX281" s="30"/>
      <c r="AY281" s="30">
        <v>203887.58</v>
      </c>
      <c r="AZ281" s="30">
        <v>23160</v>
      </c>
      <c r="BA281" s="40"/>
      <c r="BB281" s="5">
        <f t="shared" si="64"/>
        <v>14089697.18</v>
      </c>
    </row>
    <row r="282" spans="1:54" hidden="1">
      <c r="A282" s="10">
        <f t="shared" si="61"/>
        <v>264</v>
      </c>
      <c r="B282" s="113">
        <f t="shared" si="65"/>
        <v>76</v>
      </c>
      <c r="C282" s="101" t="s">
        <v>185</v>
      </c>
      <c r="D282" s="101" t="s">
        <v>280</v>
      </c>
      <c r="E282" s="102">
        <v>1979</v>
      </c>
      <c r="F282" s="102">
        <v>2013</v>
      </c>
      <c r="G282" s="102" t="s">
        <v>3</v>
      </c>
      <c r="H282" s="102">
        <v>4</v>
      </c>
      <c r="I282" s="102">
        <v>4</v>
      </c>
      <c r="J282" s="62">
        <v>3969.95</v>
      </c>
      <c r="K282" s="62">
        <v>3453.7</v>
      </c>
      <c r="L282" s="62">
        <v>0</v>
      </c>
      <c r="M282" s="103">
        <v>154</v>
      </c>
      <c r="N282" s="28">
        <f t="shared" si="62"/>
        <v>1843690.17</v>
      </c>
      <c r="O282" s="62"/>
      <c r="P282" s="30"/>
      <c r="Q282" s="31"/>
      <c r="R282" s="31"/>
      <c r="S282" s="30"/>
      <c r="T282" s="31"/>
      <c r="U282" s="31"/>
      <c r="V282" s="30">
        <v>1705810.55</v>
      </c>
      <c r="W282" s="31"/>
      <c r="X282" s="31"/>
      <c r="Y282" s="30">
        <v>137879.62</v>
      </c>
      <c r="Z282" s="31"/>
      <c r="AA282" s="31"/>
      <c r="AB282" s="62"/>
      <c r="AC282" s="106"/>
      <c r="AD282" s="106"/>
      <c r="AE282" s="30">
        <v>613.36334250166499</v>
      </c>
      <c r="AF282" s="30">
        <v>613.36334250166499</v>
      </c>
      <c r="AG282" s="186">
        <v>2023</v>
      </c>
      <c r="AH282" s="1">
        <v>1455712.65</v>
      </c>
      <c r="AI282" s="5">
        <f>+(K282*10+L282*20)*12*0.85</f>
        <v>352277.39999999997</v>
      </c>
      <c r="AJ282" s="5">
        <f>+(K282*10+L282*20)*12*30</f>
        <v>12433320</v>
      </c>
      <c r="AL282" s="37">
        <f t="shared" si="59"/>
        <v>0</v>
      </c>
      <c r="AM282" s="30"/>
      <c r="AN282" s="30"/>
      <c r="AO282" s="30">
        <v>1824432.9</v>
      </c>
      <c r="AP282" s="30"/>
      <c r="AQ282" s="30"/>
      <c r="AR282" s="30"/>
      <c r="AS282" s="30"/>
      <c r="AT282" s="30">
        <v>0</v>
      </c>
      <c r="AU282" s="30">
        <v>0</v>
      </c>
      <c r="AV282" s="30">
        <v>0</v>
      </c>
      <c r="AW282" s="30">
        <v>0</v>
      </c>
      <c r="AX282" s="30">
        <v>0</v>
      </c>
      <c r="AY282" s="30"/>
      <c r="AZ282" s="30"/>
      <c r="BA282" s="109">
        <v>19257.27</v>
      </c>
      <c r="BB282" s="5">
        <f t="shared" si="64"/>
        <v>1843690.17</v>
      </c>
    </row>
    <row r="283" spans="1:54" s="142" customFormat="1" hidden="1">
      <c r="A283" s="10">
        <f t="shared" si="61"/>
        <v>265</v>
      </c>
      <c r="B283" s="113">
        <f t="shared" si="65"/>
        <v>77</v>
      </c>
      <c r="C283" s="101" t="s">
        <v>313</v>
      </c>
      <c r="D283" s="101" t="s">
        <v>440</v>
      </c>
      <c r="E283" s="102" t="s">
        <v>441</v>
      </c>
      <c r="F283" s="102"/>
      <c r="G283" s="102" t="s">
        <v>3</v>
      </c>
      <c r="H283" s="102" t="s">
        <v>183</v>
      </c>
      <c r="I283" s="102" t="s">
        <v>27</v>
      </c>
      <c r="J283" s="62">
        <v>2017.1</v>
      </c>
      <c r="K283" s="62">
        <v>1568.7</v>
      </c>
      <c r="L283" s="62">
        <v>241.9</v>
      </c>
      <c r="M283" s="103">
        <v>64</v>
      </c>
      <c r="N283" s="28">
        <f t="shared" si="62"/>
        <v>7026376.7999999998</v>
      </c>
      <c r="O283" s="62">
        <v>0</v>
      </c>
      <c r="P283" s="30"/>
      <c r="Q283" s="31"/>
      <c r="R283" s="31"/>
      <c r="S283" s="30">
        <v>0</v>
      </c>
      <c r="T283" s="31"/>
      <c r="U283" s="31"/>
      <c r="V283" s="30">
        <v>1239934.29</v>
      </c>
      <c r="W283" s="31"/>
      <c r="X283" s="31"/>
      <c r="Y283" s="30">
        <v>5786442.5099999998</v>
      </c>
      <c r="Z283" s="31"/>
      <c r="AA283" s="31"/>
      <c r="AB283" s="30"/>
      <c r="AC283" s="32"/>
      <c r="AD283" s="32"/>
      <c r="AE283" s="62">
        <v>8296.6487964837706</v>
      </c>
      <c r="AF283" s="62">
        <v>8296.6487964837706</v>
      </c>
      <c r="AG283" s="186">
        <v>2023</v>
      </c>
      <c r="AH283" s="142">
        <v>1030579.29</v>
      </c>
      <c r="AI283" s="5">
        <f>+(K283*10+L283*20)*12*0.85</f>
        <v>209355</v>
      </c>
      <c r="AJ283" s="5">
        <f>+(K283*10+L283*20)*12*30</f>
        <v>7389000</v>
      </c>
      <c r="AK283" s="5"/>
      <c r="AL283" s="37">
        <f t="shared" si="59"/>
        <v>0</v>
      </c>
      <c r="AM283" s="30"/>
      <c r="AN283" s="30">
        <v>343509.18</v>
      </c>
      <c r="AO283" s="30">
        <v>1218249.92</v>
      </c>
      <c r="AP283" s="30">
        <v>605983.06000000006</v>
      </c>
      <c r="AQ283" s="30"/>
      <c r="AR283" s="30"/>
      <c r="AS283" s="30"/>
      <c r="AT283" s="30"/>
      <c r="AU283" s="30">
        <v>4289726.93</v>
      </c>
      <c r="AV283" s="30"/>
      <c r="AW283" s="30"/>
      <c r="AX283" s="30"/>
      <c r="AY283" s="30">
        <v>555193.42000000004</v>
      </c>
      <c r="AZ283" s="30">
        <v>13714.29</v>
      </c>
      <c r="BA283" s="40"/>
      <c r="BB283" s="5">
        <f t="shared" si="64"/>
        <v>7026376.7999999998</v>
      </c>
    </row>
    <row r="284" spans="1:54" hidden="1">
      <c r="A284" s="10">
        <f t="shared" si="61"/>
        <v>266</v>
      </c>
      <c r="B284" s="113">
        <f t="shared" si="65"/>
        <v>78</v>
      </c>
      <c r="C284" s="12" t="s">
        <v>185</v>
      </c>
      <c r="D284" s="12" t="s">
        <v>287</v>
      </c>
      <c r="E284" s="102">
        <v>1977</v>
      </c>
      <c r="F284" s="102">
        <v>2013</v>
      </c>
      <c r="G284" s="102" t="s">
        <v>3</v>
      </c>
      <c r="H284" s="102">
        <v>4</v>
      </c>
      <c r="I284" s="102">
        <v>4</v>
      </c>
      <c r="J284" s="62">
        <v>3916.4</v>
      </c>
      <c r="K284" s="62">
        <v>3440.3</v>
      </c>
      <c r="L284" s="62">
        <v>0</v>
      </c>
      <c r="M284" s="103">
        <v>163</v>
      </c>
      <c r="N284" s="28">
        <f t="shared" si="62"/>
        <v>8130696.9100000011</v>
      </c>
      <c r="O284" s="30"/>
      <c r="P284" s="30">
        <v>6995444.4900000002</v>
      </c>
      <c r="Q284" s="31"/>
      <c r="R284" s="31"/>
      <c r="S284" s="30"/>
      <c r="T284" s="31"/>
      <c r="U284" s="31"/>
      <c r="V284" s="30">
        <v>228325.97</v>
      </c>
      <c r="W284" s="31"/>
      <c r="X284" s="31"/>
      <c r="Y284" s="30">
        <v>906926.450000001</v>
      </c>
      <c r="Z284" s="31"/>
      <c r="AA284" s="31"/>
      <c r="AB284" s="30"/>
      <c r="AC284" s="32"/>
      <c r="AD284" s="32"/>
      <c r="AE284" s="62">
        <v>3467.57909790027</v>
      </c>
      <c r="AF284" s="62">
        <v>3467.57909790027</v>
      </c>
      <c r="AG284" s="186">
        <v>2023</v>
      </c>
      <c r="AH284" s="18">
        <f>1681538.39-V107</f>
        <v>-285600.13000000012</v>
      </c>
      <c r="AI284" s="5">
        <f>+(K284*10+L284*20)*12*0.85</f>
        <v>350910.6</v>
      </c>
      <c r="AJ284" s="5">
        <f>+(K284*10+L284*20)*12*30-Y107</f>
        <v>138784.60031340085</v>
      </c>
      <c r="AL284" s="37">
        <f t="shared" si="59"/>
        <v>0</v>
      </c>
      <c r="AM284" s="30"/>
      <c r="AN284" s="30"/>
      <c r="AO284" s="30">
        <v>271883.74</v>
      </c>
      <c r="AP284" s="30">
        <v>1331235.81</v>
      </c>
      <c r="AQ284" s="30"/>
      <c r="AR284" s="30"/>
      <c r="AS284" s="30"/>
      <c r="AT284" s="30"/>
      <c r="AU284" s="30"/>
      <c r="AV284" s="30"/>
      <c r="AW284" s="30"/>
      <c r="AX284" s="30">
        <v>6391541.46</v>
      </c>
      <c r="AY284" s="30">
        <v>124035.9</v>
      </c>
      <c r="AZ284" s="30">
        <v>12000</v>
      </c>
      <c r="BA284" s="40"/>
      <c r="BB284" s="5">
        <f t="shared" si="64"/>
        <v>8130696.9100000011</v>
      </c>
    </row>
    <row r="285" spans="1:54" hidden="1">
      <c r="A285" s="10">
        <f t="shared" si="61"/>
        <v>267</v>
      </c>
      <c r="B285" s="113">
        <f t="shared" si="65"/>
        <v>79</v>
      </c>
      <c r="C285" s="12" t="s">
        <v>185</v>
      </c>
      <c r="D285" s="12" t="s">
        <v>436</v>
      </c>
      <c r="E285" s="102">
        <v>1964</v>
      </c>
      <c r="F285" s="102">
        <v>2009</v>
      </c>
      <c r="G285" s="102" t="s">
        <v>3</v>
      </c>
      <c r="H285" s="102">
        <v>4</v>
      </c>
      <c r="I285" s="102">
        <v>2</v>
      </c>
      <c r="J285" s="62">
        <v>1462.3</v>
      </c>
      <c r="K285" s="62">
        <v>1198.5999999999999</v>
      </c>
      <c r="L285" s="62">
        <v>42.9</v>
      </c>
      <c r="M285" s="103">
        <v>60</v>
      </c>
      <c r="N285" s="28">
        <f t="shared" si="62"/>
        <v>6665821.8799999999</v>
      </c>
      <c r="O285" s="30"/>
      <c r="P285" s="30">
        <f>1803576.66-212153.56</f>
        <v>1591423.0999999999</v>
      </c>
      <c r="Q285" s="31"/>
      <c r="R285" s="31"/>
      <c r="S285" s="30"/>
      <c r="T285" s="31"/>
      <c r="U285" s="31"/>
      <c r="V285" s="30">
        <v>737678.98</v>
      </c>
      <c r="W285" s="31"/>
      <c r="X285" s="31"/>
      <c r="Y285" s="30">
        <v>4336719.8</v>
      </c>
      <c r="Z285" s="31"/>
      <c r="AA285" s="31"/>
      <c r="AB285" s="30"/>
      <c r="AC285" s="32"/>
      <c r="AD285" s="32"/>
      <c r="AE285" s="30">
        <v>9794.7952386896995</v>
      </c>
      <c r="AF285" s="30">
        <v>1311.2830200640001</v>
      </c>
      <c r="AG285" s="186">
        <v>2023</v>
      </c>
      <c r="AH285" s="1">
        <f>686372.31-86252.57</f>
        <v>600119.74</v>
      </c>
      <c r="AI285" s="5">
        <f>+(K285*10.5+L285*21)*12*0.85</f>
        <v>137559.24</v>
      </c>
      <c r="AJ285" s="5">
        <f>+(K285*10.5+L285*21)*12*30</f>
        <v>4855032</v>
      </c>
      <c r="AL285" s="112">
        <f t="shared" si="59"/>
        <v>0</v>
      </c>
      <c r="AM285" s="30">
        <v>2848325.83</v>
      </c>
      <c r="AN285" s="30"/>
      <c r="AO285" s="30"/>
      <c r="AP285" s="30"/>
      <c r="AQ285" s="30"/>
      <c r="AR285" s="30"/>
      <c r="AS285" s="30"/>
      <c r="AT285" s="30">
        <v>0</v>
      </c>
      <c r="AU285" s="30">
        <v>3676704.18</v>
      </c>
      <c r="AV285" s="30">
        <v>0</v>
      </c>
      <c r="AW285" s="30"/>
      <c r="AX285" s="30"/>
      <c r="AY285" s="30">
        <v>133934.73000000001</v>
      </c>
      <c r="AZ285" s="30">
        <v>6857.14</v>
      </c>
      <c r="BA285" s="40"/>
      <c r="BB285" s="5">
        <f t="shared" si="64"/>
        <v>6665821.8799999999</v>
      </c>
    </row>
    <row r="286" spans="1:54" hidden="1">
      <c r="A286" s="10">
        <f t="shared" si="61"/>
        <v>268</v>
      </c>
      <c r="B286" s="113">
        <f t="shared" si="65"/>
        <v>80</v>
      </c>
      <c r="C286" s="101" t="s">
        <v>185</v>
      </c>
      <c r="D286" s="101" t="s">
        <v>547</v>
      </c>
      <c r="E286" s="102">
        <v>1971</v>
      </c>
      <c r="F286" s="102">
        <v>2013</v>
      </c>
      <c r="G286" s="102" t="s">
        <v>3</v>
      </c>
      <c r="H286" s="102">
        <v>4</v>
      </c>
      <c r="I286" s="102">
        <v>4</v>
      </c>
      <c r="J286" s="62">
        <v>4741.46</v>
      </c>
      <c r="K286" s="62">
        <v>3462.3</v>
      </c>
      <c r="L286" s="62">
        <v>0</v>
      </c>
      <c r="M286" s="103">
        <v>145</v>
      </c>
      <c r="N286" s="28">
        <f t="shared" si="62"/>
        <v>1421417.84</v>
      </c>
      <c r="O286" s="62"/>
      <c r="P286" s="30"/>
      <c r="Q286" s="31"/>
      <c r="R286" s="31"/>
      <c r="S286" s="30"/>
      <c r="T286" s="31"/>
      <c r="U286" s="31"/>
      <c r="V286" s="30">
        <v>1392786.91</v>
      </c>
      <c r="W286" s="31"/>
      <c r="X286" s="31"/>
      <c r="Y286" s="30">
        <v>28630.930000000099</v>
      </c>
      <c r="Z286" s="31"/>
      <c r="AA286" s="31"/>
      <c r="AB286" s="30"/>
      <c r="AC286" s="32"/>
      <c r="AD286" s="32"/>
      <c r="AE286" s="62">
        <v>462.57927911405699</v>
      </c>
      <c r="AF286" s="62">
        <v>462.57927911405699</v>
      </c>
      <c r="AG286" s="186">
        <v>2023</v>
      </c>
      <c r="AH286" s="1">
        <v>1642541.21</v>
      </c>
      <c r="AI286" s="5">
        <f t="shared" ref="AI286:AI298" si="66">+(K286*10+L286*20)*12*0.85</f>
        <v>353154.6</v>
      </c>
      <c r="AJ286" s="5">
        <f t="shared" ref="AJ286:AJ292" si="67">+(K286*10+L286*20)*12*30</f>
        <v>12464280</v>
      </c>
      <c r="AL286" s="37">
        <f t="shared" si="59"/>
        <v>0</v>
      </c>
      <c r="AM286" s="30">
        <v>0</v>
      </c>
      <c r="AN286" s="30">
        <v>0</v>
      </c>
      <c r="AO286" s="30">
        <v>0</v>
      </c>
      <c r="AP286" s="30">
        <v>0</v>
      </c>
      <c r="AQ286" s="30">
        <v>1421417.84</v>
      </c>
      <c r="AR286" s="30"/>
      <c r="AS286" s="30"/>
      <c r="AT286" s="30">
        <v>0</v>
      </c>
      <c r="AU286" s="30">
        <v>0</v>
      </c>
      <c r="AV286" s="30">
        <v>0</v>
      </c>
      <c r="AW286" s="30">
        <v>0</v>
      </c>
      <c r="AX286" s="30"/>
      <c r="AY286" s="30"/>
      <c r="AZ286" s="30"/>
      <c r="BA286" s="40"/>
      <c r="BB286" s="5">
        <f t="shared" si="64"/>
        <v>1421417.84</v>
      </c>
    </row>
    <row r="287" spans="1:54" hidden="1">
      <c r="A287" s="10">
        <f t="shared" si="61"/>
        <v>269</v>
      </c>
      <c r="B287" s="113">
        <f t="shared" si="65"/>
        <v>81</v>
      </c>
      <c r="C287" s="101" t="s">
        <v>185</v>
      </c>
      <c r="D287" s="101" t="s">
        <v>549</v>
      </c>
      <c r="E287" s="102">
        <v>1972</v>
      </c>
      <c r="F287" s="102">
        <v>2013</v>
      </c>
      <c r="G287" s="102" t="s">
        <v>3</v>
      </c>
      <c r="H287" s="102">
        <v>4</v>
      </c>
      <c r="I287" s="102">
        <v>4</v>
      </c>
      <c r="J287" s="62">
        <v>4744.0600000000004</v>
      </c>
      <c r="K287" s="62">
        <v>3488.5</v>
      </c>
      <c r="L287" s="62">
        <v>0</v>
      </c>
      <c r="M287" s="103">
        <v>131</v>
      </c>
      <c r="N287" s="28">
        <f t="shared" si="62"/>
        <v>1405107.53</v>
      </c>
      <c r="O287" s="62"/>
      <c r="P287" s="30"/>
      <c r="Q287" s="31"/>
      <c r="R287" s="31"/>
      <c r="S287" s="30"/>
      <c r="T287" s="31"/>
      <c r="U287" s="31"/>
      <c r="V287" s="30">
        <v>1405107.53</v>
      </c>
      <c r="W287" s="31"/>
      <c r="X287" s="31"/>
      <c r="Y287" s="30"/>
      <c r="Z287" s="31"/>
      <c r="AA287" s="31"/>
      <c r="AB287" s="30"/>
      <c r="AC287" s="32"/>
      <c r="AD287" s="32"/>
      <c r="AE287" s="62">
        <v>404.56750585523901</v>
      </c>
      <c r="AF287" s="62">
        <v>404.56750585523901</v>
      </c>
      <c r="AG287" s="186">
        <v>2023</v>
      </c>
      <c r="AH287" s="1">
        <v>1719366.16</v>
      </c>
      <c r="AI287" s="5">
        <f t="shared" si="66"/>
        <v>355827</v>
      </c>
      <c r="AJ287" s="5">
        <f t="shared" si="67"/>
        <v>12558600</v>
      </c>
      <c r="AL287" s="37">
        <f t="shared" si="59"/>
        <v>0</v>
      </c>
      <c r="AM287" s="30">
        <v>0</v>
      </c>
      <c r="AN287" s="30">
        <v>0</v>
      </c>
      <c r="AO287" s="30">
        <v>0</v>
      </c>
      <c r="AP287" s="30">
        <v>0</v>
      </c>
      <c r="AQ287" s="30">
        <v>1405107.53</v>
      </c>
      <c r="AR287" s="30"/>
      <c r="AS287" s="30"/>
      <c r="AT287" s="30">
        <v>0</v>
      </c>
      <c r="AU287" s="30">
        <v>0</v>
      </c>
      <c r="AV287" s="30">
        <v>0</v>
      </c>
      <c r="AW287" s="30">
        <v>0</v>
      </c>
      <c r="AX287" s="30"/>
      <c r="AY287" s="30"/>
      <c r="AZ287" s="30"/>
      <c r="BA287" s="40"/>
      <c r="BB287" s="5">
        <f t="shared" si="64"/>
        <v>1405107.53</v>
      </c>
    </row>
    <row r="288" spans="1:54" hidden="1">
      <c r="A288" s="10">
        <f t="shared" si="61"/>
        <v>270</v>
      </c>
      <c r="B288" s="113">
        <f t="shared" si="65"/>
        <v>82</v>
      </c>
      <c r="C288" s="101" t="s">
        <v>185</v>
      </c>
      <c r="D288" s="101" t="s">
        <v>551</v>
      </c>
      <c r="E288" s="102">
        <v>1972</v>
      </c>
      <c r="F288" s="102">
        <v>2013</v>
      </c>
      <c r="G288" s="102" t="s">
        <v>3</v>
      </c>
      <c r="H288" s="102">
        <v>4</v>
      </c>
      <c r="I288" s="102">
        <v>4</v>
      </c>
      <c r="J288" s="62">
        <v>4681.66</v>
      </c>
      <c r="K288" s="62">
        <v>3441.2</v>
      </c>
      <c r="L288" s="62">
        <v>0</v>
      </c>
      <c r="M288" s="103">
        <v>142</v>
      </c>
      <c r="N288" s="28">
        <f t="shared" si="62"/>
        <v>1413665.12</v>
      </c>
      <c r="O288" s="62"/>
      <c r="P288" s="30"/>
      <c r="Q288" s="31"/>
      <c r="R288" s="31"/>
      <c r="S288" s="30"/>
      <c r="T288" s="31"/>
      <c r="U288" s="31"/>
      <c r="V288" s="30">
        <v>1413665.12</v>
      </c>
      <c r="W288" s="31"/>
      <c r="X288" s="31"/>
      <c r="Y288" s="30"/>
      <c r="Z288" s="31"/>
      <c r="AA288" s="31"/>
      <c r="AB288" s="30"/>
      <c r="AC288" s="32"/>
      <c r="AD288" s="32"/>
      <c r="AE288" s="62">
        <v>412.61608571893498</v>
      </c>
      <c r="AF288" s="62">
        <v>412.61608571893498</v>
      </c>
      <c r="AG288" s="186">
        <v>2023</v>
      </c>
      <c r="AH288" s="1">
        <v>1671383.18</v>
      </c>
      <c r="AI288" s="5">
        <f t="shared" si="66"/>
        <v>351002.39999999997</v>
      </c>
      <c r="AJ288" s="5">
        <f t="shared" si="67"/>
        <v>12388320</v>
      </c>
      <c r="AL288" s="37">
        <f t="shared" si="59"/>
        <v>0</v>
      </c>
      <c r="AM288" s="30">
        <v>0</v>
      </c>
      <c r="AN288" s="30">
        <v>0</v>
      </c>
      <c r="AO288" s="30">
        <v>0</v>
      </c>
      <c r="AP288" s="30">
        <v>0</v>
      </c>
      <c r="AQ288" s="30">
        <v>1413665.12</v>
      </c>
      <c r="AR288" s="30"/>
      <c r="AS288" s="30"/>
      <c r="AT288" s="30">
        <v>0</v>
      </c>
      <c r="AU288" s="30">
        <v>0</v>
      </c>
      <c r="AV288" s="30">
        <v>0</v>
      </c>
      <c r="AW288" s="30">
        <v>0</v>
      </c>
      <c r="AX288" s="30"/>
      <c r="AY288" s="30"/>
      <c r="AZ288" s="30"/>
      <c r="BA288" s="40"/>
      <c r="BB288" s="5">
        <f t="shared" si="64"/>
        <v>1413665.12</v>
      </c>
    </row>
    <row r="289" spans="1:54" hidden="1">
      <c r="A289" s="10">
        <f t="shared" si="61"/>
        <v>271</v>
      </c>
      <c r="B289" s="113">
        <f t="shared" si="65"/>
        <v>83</v>
      </c>
      <c r="C289" s="12" t="s">
        <v>185</v>
      </c>
      <c r="D289" s="12" t="s">
        <v>553</v>
      </c>
      <c r="E289" s="102">
        <v>1968</v>
      </c>
      <c r="F289" s="102">
        <v>2013</v>
      </c>
      <c r="G289" s="102" t="s">
        <v>3</v>
      </c>
      <c r="H289" s="102">
        <v>4</v>
      </c>
      <c r="I289" s="102">
        <v>4</v>
      </c>
      <c r="J289" s="62">
        <v>2683.3</v>
      </c>
      <c r="K289" s="62">
        <v>2455</v>
      </c>
      <c r="L289" s="62">
        <v>0</v>
      </c>
      <c r="M289" s="103">
        <v>116</v>
      </c>
      <c r="N289" s="28">
        <f t="shared" si="62"/>
        <v>17110940.630000003</v>
      </c>
      <c r="O289" s="30"/>
      <c r="P289" s="30">
        <v>3292073.34</v>
      </c>
      <c r="Q289" s="31"/>
      <c r="R289" s="31"/>
      <c r="S289" s="30"/>
      <c r="T289" s="31"/>
      <c r="U289" s="31"/>
      <c r="V289" s="146">
        <v>833638.40000000002</v>
      </c>
      <c r="W289" s="145"/>
      <c r="X289" s="145"/>
      <c r="Y289" s="30">
        <v>10734382.809245801</v>
      </c>
      <c r="Z289" s="31"/>
      <c r="AA289" s="31"/>
      <c r="AB289" s="30">
        <v>2250846.0807542</v>
      </c>
      <c r="AC289" s="32"/>
      <c r="AD289" s="32"/>
      <c r="AE289" s="62">
        <v>10413.6714172969</v>
      </c>
      <c r="AF289" s="62">
        <v>10413.6714172969</v>
      </c>
      <c r="AG289" s="186">
        <v>2023</v>
      </c>
      <c r="AH289" s="1">
        <f>1035919.14-96406.2</f>
        <v>939512.94000000006</v>
      </c>
      <c r="AI289" s="5">
        <f t="shared" si="66"/>
        <v>250410</v>
      </c>
      <c r="AJ289" s="5">
        <f t="shared" si="67"/>
        <v>8838000</v>
      </c>
      <c r="AL289" s="37">
        <f t="shared" si="59"/>
        <v>0</v>
      </c>
      <c r="AM289" s="30">
        <v>5599699.5999999996</v>
      </c>
      <c r="AN289" s="30"/>
      <c r="AO289" s="30">
        <v>2421941.33</v>
      </c>
      <c r="AP289" s="30">
        <v>1626971.98</v>
      </c>
      <c r="AQ289" s="30"/>
      <c r="AR289" s="30"/>
      <c r="AS289" s="30"/>
      <c r="AT289" s="30">
        <v>0</v>
      </c>
      <c r="AU289" s="30">
        <v>7300062.8200000003</v>
      </c>
      <c r="AV289" s="30">
        <v>0</v>
      </c>
      <c r="AW289" s="30">
        <v>0</v>
      </c>
      <c r="AX289" s="30"/>
      <c r="AY289" s="30">
        <v>143064.9</v>
      </c>
      <c r="AZ289" s="30">
        <v>19200</v>
      </c>
      <c r="BA289" s="40"/>
      <c r="BB289" s="5">
        <f t="shared" si="64"/>
        <v>17110940.630000003</v>
      </c>
    </row>
    <row r="290" spans="1:54" hidden="1">
      <c r="A290" s="10">
        <f t="shared" si="61"/>
        <v>272</v>
      </c>
      <c r="B290" s="113">
        <f t="shared" si="65"/>
        <v>84</v>
      </c>
      <c r="C290" s="101" t="s">
        <v>185</v>
      </c>
      <c r="D290" s="101" t="s">
        <v>554</v>
      </c>
      <c r="E290" s="102">
        <v>1970</v>
      </c>
      <c r="F290" s="102">
        <v>2013</v>
      </c>
      <c r="G290" s="102" t="s">
        <v>3</v>
      </c>
      <c r="H290" s="102">
        <v>4</v>
      </c>
      <c r="I290" s="102">
        <v>4</v>
      </c>
      <c r="J290" s="62">
        <v>2722.8</v>
      </c>
      <c r="K290" s="62">
        <v>2468.6999999999998</v>
      </c>
      <c r="L290" s="62">
        <v>72.099999999999994</v>
      </c>
      <c r="M290" s="103">
        <v>146</v>
      </c>
      <c r="N290" s="28">
        <f t="shared" si="62"/>
        <v>16447028.85</v>
      </c>
      <c r="O290" s="30"/>
      <c r="P290" s="30">
        <v>3301463.24</v>
      </c>
      <c r="Q290" s="31"/>
      <c r="R290" s="31"/>
      <c r="S290" s="30"/>
      <c r="T290" s="31"/>
      <c r="U290" s="31"/>
      <c r="V290" s="30">
        <v>1018761</v>
      </c>
      <c r="W290" s="31"/>
      <c r="X290" s="31"/>
      <c r="Y290" s="30">
        <v>11071937.5826097</v>
      </c>
      <c r="Z290" s="31"/>
      <c r="AA290" s="31"/>
      <c r="AB290" s="30">
        <v>1054867.0273903001</v>
      </c>
      <c r="AC290" s="32"/>
      <c r="AD290" s="32"/>
      <c r="AE290" s="62">
        <v>10175.7369118931</v>
      </c>
      <c r="AF290" s="62">
        <v>10175.7369118931</v>
      </c>
      <c r="AG290" s="186">
        <v>2023</v>
      </c>
      <c r="AH290" s="1">
        <f>1230267.29-95960.13</f>
        <v>1134307.1600000001</v>
      </c>
      <c r="AI290" s="5">
        <f t="shared" si="66"/>
        <v>266515.8</v>
      </c>
      <c r="AJ290" s="5">
        <f t="shared" si="67"/>
        <v>9406440</v>
      </c>
      <c r="AL290" s="37">
        <f t="shared" si="59"/>
        <v>0</v>
      </c>
      <c r="AM290" s="30">
        <v>5635685.2699999996</v>
      </c>
      <c r="AN290" s="30"/>
      <c r="AO290" s="30">
        <v>2462247.36</v>
      </c>
      <c r="AP290" s="30">
        <v>1533694.94</v>
      </c>
      <c r="AQ290" s="30"/>
      <c r="AR290" s="30"/>
      <c r="AS290" s="30"/>
      <c r="AT290" s="30">
        <v>0</v>
      </c>
      <c r="AU290" s="30">
        <v>6654965.2300000004</v>
      </c>
      <c r="AV290" s="30">
        <v>0</v>
      </c>
      <c r="AW290" s="30">
        <v>0</v>
      </c>
      <c r="AX290" s="30">
        <v>0</v>
      </c>
      <c r="AY290" s="30">
        <v>141236.04999999999</v>
      </c>
      <c r="AZ290" s="30">
        <v>19200</v>
      </c>
      <c r="BA290" s="40"/>
      <c r="BB290" s="5">
        <f t="shared" si="64"/>
        <v>16447028.85</v>
      </c>
    </row>
    <row r="291" spans="1:54" hidden="1">
      <c r="A291" s="10">
        <f t="shared" si="61"/>
        <v>273</v>
      </c>
      <c r="B291" s="113">
        <f t="shared" si="65"/>
        <v>85</v>
      </c>
      <c r="C291" s="101" t="s">
        <v>185</v>
      </c>
      <c r="D291" s="12" t="s">
        <v>555</v>
      </c>
      <c r="E291" s="102">
        <v>1970</v>
      </c>
      <c r="F291" s="102">
        <v>2013</v>
      </c>
      <c r="G291" s="102" t="s">
        <v>3</v>
      </c>
      <c r="H291" s="102">
        <v>4</v>
      </c>
      <c r="I291" s="102">
        <v>4</v>
      </c>
      <c r="J291" s="62">
        <v>2981.5</v>
      </c>
      <c r="K291" s="62">
        <v>2738.8</v>
      </c>
      <c r="L291" s="62">
        <v>0</v>
      </c>
      <c r="M291" s="103">
        <v>153</v>
      </c>
      <c r="N291" s="28">
        <f t="shared" si="62"/>
        <v>15858041.98</v>
      </c>
      <c r="O291" s="30"/>
      <c r="P291" s="30">
        <v>8901315</v>
      </c>
      <c r="Q291" s="31"/>
      <c r="R291" s="31"/>
      <c r="S291" s="30"/>
      <c r="T291" s="31"/>
      <c r="U291" s="31"/>
      <c r="V291" s="30">
        <v>1403777.48</v>
      </c>
      <c r="W291" s="31"/>
      <c r="X291" s="31"/>
      <c r="Y291" s="30">
        <v>5552949.5</v>
      </c>
      <c r="Z291" s="31"/>
      <c r="AA291" s="31"/>
      <c r="AB291" s="30"/>
      <c r="AC291" s="32"/>
      <c r="AD291" s="32"/>
      <c r="AE291" s="62">
        <v>10190.510401866501</v>
      </c>
      <c r="AF291" s="62">
        <v>10190.510401866501</v>
      </c>
      <c r="AG291" s="186">
        <v>2023</v>
      </c>
      <c r="AH291" s="1">
        <f>1220932.16-96512.28</f>
        <v>1124419.8799999999</v>
      </c>
      <c r="AI291" s="5">
        <f t="shared" si="66"/>
        <v>279357.59999999998</v>
      </c>
      <c r="AJ291" s="5">
        <f t="shared" si="67"/>
        <v>9859680</v>
      </c>
      <c r="AL291" s="37">
        <f t="shared" si="59"/>
        <v>0</v>
      </c>
      <c r="AM291" s="30"/>
      <c r="AN291" s="30"/>
      <c r="AO291" s="30">
        <v>1704018.34</v>
      </c>
      <c r="AP291" s="30">
        <v>1334515.24</v>
      </c>
      <c r="AQ291" s="30"/>
      <c r="AR291" s="30"/>
      <c r="AS291" s="30"/>
      <c r="AT291" s="30">
        <v>0</v>
      </c>
      <c r="AU291" s="30">
        <v>6866520.9800000004</v>
      </c>
      <c r="AV291" s="30">
        <v>0</v>
      </c>
      <c r="AW291" s="30">
        <v>0</v>
      </c>
      <c r="AX291" s="30">
        <v>5952987.4199999999</v>
      </c>
      <c r="AY291" s="30"/>
      <c r="AZ291" s="30"/>
      <c r="BA291" s="40"/>
      <c r="BB291" s="5">
        <f t="shared" si="64"/>
        <v>15858041.98</v>
      </c>
    </row>
    <row r="292" spans="1:54" hidden="1">
      <c r="A292" s="10">
        <f t="shared" si="61"/>
        <v>274</v>
      </c>
      <c r="B292" s="113">
        <f t="shared" si="65"/>
        <v>86</v>
      </c>
      <c r="C292" s="101" t="s">
        <v>185</v>
      </c>
      <c r="D292" s="101" t="s">
        <v>556</v>
      </c>
      <c r="E292" s="102">
        <v>1972</v>
      </c>
      <c r="F292" s="102">
        <v>2013</v>
      </c>
      <c r="G292" s="102" t="s">
        <v>3</v>
      </c>
      <c r="H292" s="102">
        <v>4</v>
      </c>
      <c r="I292" s="102">
        <v>4</v>
      </c>
      <c r="J292" s="62">
        <v>4795.5600000000004</v>
      </c>
      <c r="K292" s="62">
        <v>3559.4</v>
      </c>
      <c r="L292" s="62">
        <v>0</v>
      </c>
      <c r="M292" s="103">
        <v>159</v>
      </c>
      <c r="N292" s="28">
        <f t="shared" si="62"/>
        <v>1512746.4</v>
      </c>
      <c r="O292" s="62"/>
      <c r="P292" s="30"/>
      <c r="Q292" s="31"/>
      <c r="R292" s="31"/>
      <c r="S292" s="30"/>
      <c r="T292" s="31"/>
      <c r="U292" s="31"/>
      <c r="V292" s="30">
        <v>1256015.48</v>
      </c>
      <c r="W292" s="31"/>
      <c r="X292" s="31"/>
      <c r="Y292" s="30">
        <v>256730.92</v>
      </c>
      <c r="Z292" s="31"/>
      <c r="AA292" s="31"/>
      <c r="AB292" s="30"/>
      <c r="AC292" s="32"/>
      <c r="AD292" s="32"/>
      <c r="AE292" s="62">
        <v>426.99511153565197</v>
      </c>
      <c r="AF292" s="62">
        <v>426.99511153565197</v>
      </c>
      <c r="AG292" s="186">
        <v>2023</v>
      </c>
      <c r="AH292" s="1">
        <v>1597911.73</v>
      </c>
      <c r="AI292" s="5">
        <f t="shared" si="66"/>
        <v>363058.8</v>
      </c>
      <c r="AJ292" s="5">
        <f t="shared" si="67"/>
        <v>12813840</v>
      </c>
      <c r="AL292" s="37">
        <f t="shared" si="59"/>
        <v>0</v>
      </c>
      <c r="AM292" s="30">
        <v>0</v>
      </c>
      <c r="AN292" s="30">
        <v>0</v>
      </c>
      <c r="AO292" s="30">
        <v>0</v>
      </c>
      <c r="AP292" s="30">
        <v>0</v>
      </c>
      <c r="AQ292" s="30">
        <v>1512746.4</v>
      </c>
      <c r="AR292" s="30"/>
      <c r="AS292" s="30"/>
      <c r="AT292" s="30">
        <v>0</v>
      </c>
      <c r="AU292" s="30">
        <v>0</v>
      </c>
      <c r="AV292" s="30">
        <v>0</v>
      </c>
      <c r="AW292" s="30">
        <v>0</v>
      </c>
      <c r="AX292" s="30">
        <v>0</v>
      </c>
      <c r="AY292" s="30"/>
      <c r="AZ292" s="30"/>
      <c r="BA292" s="40"/>
      <c r="BB292" s="5">
        <f t="shared" si="64"/>
        <v>1512746.4</v>
      </c>
    </row>
    <row r="293" spans="1:54" hidden="1">
      <c r="A293" s="10">
        <f t="shared" si="61"/>
        <v>275</v>
      </c>
      <c r="B293" s="113">
        <f t="shared" si="65"/>
        <v>87</v>
      </c>
      <c r="C293" s="101" t="s">
        <v>185</v>
      </c>
      <c r="D293" s="101" t="s">
        <v>294</v>
      </c>
      <c r="E293" s="102">
        <v>1973</v>
      </c>
      <c r="F293" s="102">
        <v>2013</v>
      </c>
      <c r="G293" s="102" t="s">
        <v>3</v>
      </c>
      <c r="H293" s="102">
        <v>4</v>
      </c>
      <c r="I293" s="102">
        <v>4</v>
      </c>
      <c r="J293" s="62">
        <v>4678.76</v>
      </c>
      <c r="K293" s="62">
        <v>3451.8</v>
      </c>
      <c r="L293" s="62">
        <v>0</v>
      </c>
      <c r="M293" s="103">
        <v>168</v>
      </c>
      <c r="N293" s="28">
        <f t="shared" si="62"/>
        <v>1512746.4</v>
      </c>
      <c r="O293" s="62"/>
      <c r="P293" s="30"/>
      <c r="Q293" s="31"/>
      <c r="R293" s="31"/>
      <c r="S293" s="30"/>
      <c r="T293" s="31"/>
      <c r="U293" s="31"/>
      <c r="V293" s="30">
        <v>0</v>
      </c>
      <c r="W293" s="31"/>
      <c r="X293" s="31"/>
      <c r="Y293" s="30">
        <v>1512746.4</v>
      </c>
      <c r="Z293" s="31"/>
      <c r="AA293" s="31"/>
      <c r="AB293" s="30"/>
      <c r="AC293" s="32"/>
      <c r="AD293" s="32"/>
      <c r="AE293" s="62">
        <v>440.39040790312299</v>
      </c>
      <c r="AF293" s="62">
        <v>440.39040790312299</v>
      </c>
      <c r="AG293" s="186">
        <v>2023</v>
      </c>
      <c r="AH293" s="18">
        <f>1522745.97-V111</f>
        <v>-352083.60000000009</v>
      </c>
      <c r="AI293" s="5">
        <f t="shared" si="66"/>
        <v>352083.6</v>
      </c>
      <c r="AJ293" s="5">
        <f>+(K293*10+L293*20)*12*30-Y111</f>
        <v>12356573.029999999</v>
      </c>
      <c r="AL293" s="37">
        <f t="shared" si="59"/>
        <v>0</v>
      </c>
      <c r="AM293" s="30">
        <v>0</v>
      </c>
      <c r="AN293" s="30">
        <v>0</v>
      </c>
      <c r="AO293" s="30">
        <v>0</v>
      </c>
      <c r="AP293" s="30">
        <v>0</v>
      </c>
      <c r="AQ293" s="30">
        <v>1512746.4</v>
      </c>
      <c r="AR293" s="30"/>
      <c r="AS293" s="30"/>
      <c r="AT293" s="30">
        <v>0</v>
      </c>
      <c r="AU293" s="30">
        <v>0</v>
      </c>
      <c r="AV293" s="30">
        <v>0</v>
      </c>
      <c r="AW293" s="30">
        <v>0</v>
      </c>
      <c r="AX293" s="30"/>
      <c r="AY293" s="30"/>
      <c r="AZ293" s="30"/>
      <c r="BA293" s="40"/>
      <c r="BB293" s="5">
        <f t="shared" si="64"/>
        <v>1512746.4</v>
      </c>
    </row>
    <row r="294" spans="1:54" hidden="1">
      <c r="A294" s="10">
        <f t="shared" si="61"/>
        <v>276</v>
      </c>
      <c r="B294" s="113">
        <f t="shared" si="65"/>
        <v>88</v>
      </c>
      <c r="C294" s="101" t="s">
        <v>185</v>
      </c>
      <c r="D294" s="101" t="s">
        <v>289</v>
      </c>
      <c r="E294" s="102">
        <v>1992</v>
      </c>
      <c r="F294" s="102">
        <v>2013</v>
      </c>
      <c r="G294" s="102" t="s">
        <v>3</v>
      </c>
      <c r="H294" s="102">
        <v>5</v>
      </c>
      <c r="I294" s="102">
        <v>4</v>
      </c>
      <c r="J294" s="62">
        <v>5274.7</v>
      </c>
      <c r="K294" s="62">
        <v>4397.95</v>
      </c>
      <c r="L294" s="62">
        <v>82.7</v>
      </c>
      <c r="M294" s="103">
        <v>351</v>
      </c>
      <c r="N294" s="28">
        <f t="shared" si="62"/>
        <v>5508552.4900000002</v>
      </c>
      <c r="O294" s="62"/>
      <c r="P294" s="30"/>
      <c r="Q294" s="31"/>
      <c r="R294" s="31"/>
      <c r="S294" s="30"/>
      <c r="T294" s="31"/>
      <c r="U294" s="31"/>
      <c r="V294" s="30"/>
      <c r="W294" s="31"/>
      <c r="X294" s="31"/>
      <c r="Y294" s="30">
        <v>5018775.67284708</v>
      </c>
      <c r="Z294" s="31"/>
      <c r="AA294" s="31"/>
      <c r="AB294" s="30">
        <v>489776.81715292</v>
      </c>
      <c r="AC294" s="32"/>
      <c r="AD294" s="32"/>
      <c r="AE294" s="30">
        <v>2328.4211069481198</v>
      </c>
      <c r="AF294" s="30">
        <v>2328.4211069481198</v>
      </c>
      <c r="AG294" s="186">
        <v>2023</v>
      </c>
      <c r="AH294" s="18">
        <f>1987606.27-V108</f>
        <v>-370610.70000000019</v>
      </c>
      <c r="AI294" s="5">
        <f t="shared" si="66"/>
        <v>465461.7</v>
      </c>
      <c r="AJ294" s="5">
        <f>+(K294*10+L294*20)*12*30-Y108</f>
        <v>3034035.8371529002</v>
      </c>
      <c r="AL294" s="37">
        <f t="shared" si="59"/>
        <v>0</v>
      </c>
      <c r="AM294" s="30">
        <v>5508552.4900000002</v>
      </c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40"/>
      <c r="BB294" s="5">
        <f t="shared" si="64"/>
        <v>5508552.4900000002</v>
      </c>
    </row>
    <row r="295" spans="1:54" hidden="1">
      <c r="A295" s="10">
        <f t="shared" si="61"/>
        <v>277</v>
      </c>
      <c r="B295" s="113">
        <f t="shared" si="65"/>
        <v>89</v>
      </c>
      <c r="C295" s="101" t="s">
        <v>185</v>
      </c>
      <c r="D295" s="101" t="s">
        <v>290</v>
      </c>
      <c r="E295" s="102">
        <v>1987</v>
      </c>
      <c r="F295" s="102">
        <v>1987</v>
      </c>
      <c r="G295" s="102" t="s">
        <v>3</v>
      </c>
      <c r="H295" s="102">
        <v>5</v>
      </c>
      <c r="I295" s="102">
        <v>3</v>
      </c>
      <c r="J295" s="62">
        <v>5170.7</v>
      </c>
      <c r="K295" s="62">
        <v>2871.7</v>
      </c>
      <c r="L295" s="62">
        <v>2299</v>
      </c>
      <c r="M295" s="103">
        <v>334</v>
      </c>
      <c r="N295" s="28">
        <f t="shared" si="62"/>
        <v>4422689.51</v>
      </c>
      <c r="O295" s="30"/>
      <c r="P295" s="30">
        <v>1876558.66</v>
      </c>
      <c r="Q295" s="31"/>
      <c r="R295" s="31"/>
      <c r="S295" s="30"/>
      <c r="T295" s="31"/>
      <c r="U295" s="31"/>
      <c r="V295" s="30">
        <v>1137386.69</v>
      </c>
      <c r="W295" s="31"/>
      <c r="X295" s="31"/>
      <c r="Y295" s="30">
        <v>1408744.16</v>
      </c>
      <c r="Z295" s="31"/>
      <c r="AA295" s="31"/>
      <c r="AB295" s="30"/>
      <c r="AC295" s="32"/>
      <c r="AD295" s="32"/>
      <c r="AE295" s="30">
        <v>2143.11037672055</v>
      </c>
      <c r="AF295" s="30">
        <v>2143.11037672055</v>
      </c>
      <c r="AG295" s="186">
        <v>2023</v>
      </c>
      <c r="AH295" s="18">
        <f>2578731.31-V109</f>
        <v>375477.29000000004</v>
      </c>
      <c r="AI295" s="5">
        <f t="shared" si="66"/>
        <v>761909.4</v>
      </c>
      <c r="AJ295" s="5">
        <f>+(K295*10+L295*20)*12*30-Y109</f>
        <v>18653329.507799998</v>
      </c>
      <c r="AL295" s="37">
        <f t="shared" si="59"/>
        <v>0</v>
      </c>
      <c r="AM295" s="30"/>
      <c r="AN295" s="30">
        <v>2875942.18</v>
      </c>
      <c r="AO295" s="30"/>
      <c r="AP295" s="30">
        <v>1546747.33</v>
      </c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40"/>
      <c r="BB295" s="5">
        <f t="shared" si="64"/>
        <v>4422689.51</v>
      </c>
    </row>
    <row r="296" spans="1:54" hidden="1">
      <c r="A296" s="10">
        <f t="shared" si="61"/>
        <v>278</v>
      </c>
      <c r="B296" s="113">
        <f t="shared" si="65"/>
        <v>90</v>
      </c>
      <c r="C296" s="101" t="s">
        <v>185</v>
      </c>
      <c r="D296" s="101" t="s">
        <v>298</v>
      </c>
      <c r="E296" s="102">
        <v>1980</v>
      </c>
      <c r="F296" s="102">
        <v>2008</v>
      </c>
      <c r="G296" s="102" t="s">
        <v>3</v>
      </c>
      <c r="H296" s="102">
        <v>5</v>
      </c>
      <c r="I296" s="102">
        <v>6</v>
      </c>
      <c r="J296" s="62">
        <v>7149.4</v>
      </c>
      <c r="K296" s="62">
        <v>6325.2</v>
      </c>
      <c r="L296" s="62">
        <v>0</v>
      </c>
      <c r="M296" s="103">
        <v>293</v>
      </c>
      <c r="N296" s="28">
        <f t="shared" si="62"/>
        <v>12520284.640000001</v>
      </c>
      <c r="O296" s="62"/>
      <c r="P296" s="30">
        <f>18366557.28-16152899.91</f>
        <v>2213657.370000001</v>
      </c>
      <c r="Q296" s="31"/>
      <c r="R296" s="31"/>
      <c r="S296" s="30"/>
      <c r="T296" s="31"/>
      <c r="U296" s="31"/>
      <c r="V296" s="30">
        <v>2028430.14</v>
      </c>
      <c r="W296" s="31"/>
      <c r="X296" s="31"/>
      <c r="Y296" s="30">
        <v>8278197.1299999999</v>
      </c>
      <c r="Z296" s="31"/>
      <c r="AA296" s="31"/>
      <c r="AB296" s="30"/>
      <c r="AC296" s="32"/>
      <c r="AD296" s="32"/>
      <c r="AE296" s="62">
        <v>10739.0943856371</v>
      </c>
      <c r="AF296" s="62">
        <v>10739.0943856371</v>
      </c>
      <c r="AG296" s="186">
        <v>2023</v>
      </c>
      <c r="AH296" s="18">
        <f>3044323.81-V114</f>
        <v>1383259.74</v>
      </c>
      <c r="AI296" s="5">
        <f t="shared" si="66"/>
        <v>645170.4</v>
      </c>
      <c r="AJ296" s="5">
        <f>+(K296*10+L296*20)*12*30-Y114</f>
        <v>6727135.9594000001</v>
      </c>
      <c r="AL296" s="37">
        <f t="shared" si="59"/>
        <v>0</v>
      </c>
      <c r="AM296" s="30">
        <v>7864219.1399999997</v>
      </c>
      <c r="AN296" s="30"/>
      <c r="AO296" s="30">
        <v>2874656.38</v>
      </c>
      <c r="AP296" s="30">
        <v>1502641.16</v>
      </c>
      <c r="AQ296" s="30"/>
      <c r="AR296" s="30"/>
      <c r="AS296" s="30"/>
      <c r="AT296" s="30"/>
      <c r="AU296" s="30"/>
      <c r="AV296" s="30"/>
      <c r="AW296" s="30"/>
      <c r="AX296" s="30"/>
      <c r="AY296" s="30">
        <v>112877.92</v>
      </c>
      <c r="AZ296" s="30">
        <v>12000</v>
      </c>
      <c r="BA296" s="109">
        <f>84308.92+34015.04+35566.08</f>
        <v>153890.03999999998</v>
      </c>
      <c r="BB296" s="5">
        <f t="shared" si="64"/>
        <v>12520284.640000001</v>
      </c>
    </row>
    <row r="297" spans="1:54" s="142" customFormat="1" hidden="1">
      <c r="A297" s="10">
        <f t="shared" si="61"/>
        <v>279</v>
      </c>
      <c r="B297" s="113">
        <f t="shared" si="65"/>
        <v>91</v>
      </c>
      <c r="C297" s="101" t="s">
        <v>185</v>
      </c>
      <c r="D297" s="101" t="s">
        <v>454</v>
      </c>
      <c r="E297" s="102" t="s">
        <v>373</v>
      </c>
      <c r="F297" s="102"/>
      <c r="G297" s="102" t="s">
        <v>3</v>
      </c>
      <c r="H297" s="102" t="s">
        <v>169</v>
      </c>
      <c r="I297" s="102" t="s">
        <v>220</v>
      </c>
      <c r="J297" s="62">
        <v>7651.5</v>
      </c>
      <c r="K297" s="62">
        <v>6138</v>
      </c>
      <c r="L297" s="62">
        <v>119</v>
      </c>
      <c r="M297" s="103">
        <v>293</v>
      </c>
      <c r="N297" s="28">
        <f t="shared" si="62"/>
        <v>3423941.2800000031</v>
      </c>
      <c r="O297" s="62">
        <v>0</v>
      </c>
      <c r="P297" s="30"/>
      <c r="Q297" s="31"/>
      <c r="R297" s="31"/>
      <c r="S297" s="30">
        <v>0</v>
      </c>
      <c r="T297" s="31"/>
      <c r="U297" s="31"/>
      <c r="V297" s="30">
        <v>259780.51285714301</v>
      </c>
      <c r="W297" s="31"/>
      <c r="X297" s="31"/>
      <c r="Y297" s="30">
        <v>3164160.7671428602</v>
      </c>
      <c r="Z297" s="31"/>
      <c r="AA297" s="31"/>
      <c r="AB297" s="30"/>
      <c r="AC297" s="32"/>
      <c r="AD297" s="32"/>
      <c r="AE297" s="62">
        <v>4087.9298195094302</v>
      </c>
      <c r="AF297" s="62">
        <v>4087.9298195094302</v>
      </c>
      <c r="AG297" s="186">
        <v>2023</v>
      </c>
      <c r="AH297" s="142">
        <v>2725811.3</v>
      </c>
      <c r="AI297" s="5">
        <f t="shared" si="66"/>
        <v>650352</v>
      </c>
      <c r="AJ297" s="5">
        <f>+(K297*10+L297*20)*12*30</f>
        <v>22953600</v>
      </c>
      <c r="AK297" s="5"/>
      <c r="AL297" s="37">
        <f t="shared" si="59"/>
        <v>0</v>
      </c>
      <c r="AM297" s="30"/>
      <c r="AN297" s="30"/>
      <c r="AO297" s="30">
        <v>3294191.61</v>
      </c>
      <c r="AP297" s="30"/>
      <c r="AQ297" s="30"/>
      <c r="AR297" s="30"/>
      <c r="AS297" s="30"/>
      <c r="AT297" s="30"/>
      <c r="AU297" s="30"/>
      <c r="AV297" s="30"/>
      <c r="AW297" s="30"/>
      <c r="AX297" s="30"/>
      <c r="AY297" s="30">
        <v>125749.67</v>
      </c>
      <c r="AZ297" s="30">
        <v>4000</v>
      </c>
      <c r="BA297" s="40"/>
      <c r="BB297" s="5">
        <f t="shared" si="64"/>
        <v>3423941.2800000031</v>
      </c>
    </row>
    <row r="298" spans="1:54" hidden="1">
      <c r="A298" s="10">
        <f t="shared" si="61"/>
        <v>280</v>
      </c>
      <c r="B298" s="113">
        <f t="shared" si="65"/>
        <v>92</v>
      </c>
      <c r="C298" s="12" t="s">
        <v>185</v>
      </c>
      <c r="D298" s="12" t="s">
        <v>304</v>
      </c>
      <c r="E298" s="102">
        <v>1975</v>
      </c>
      <c r="F298" s="102">
        <v>2013</v>
      </c>
      <c r="G298" s="102" t="s">
        <v>3</v>
      </c>
      <c r="H298" s="102">
        <v>4</v>
      </c>
      <c r="I298" s="102">
        <v>4</v>
      </c>
      <c r="J298" s="62">
        <v>2912.6</v>
      </c>
      <c r="K298" s="62">
        <v>2004.3</v>
      </c>
      <c r="L298" s="62">
        <v>902.2</v>
      </c>
      <c r="M298" s="103">
        <v>104</v>
      </c>
      <c r="N298" s="28">
        <f t="shared" si="62"/>
        <v>11419908.119999999</v>
      </c>
      <c r="O298" s="30"/>
      <c r="P298" s="30">
        <v>2562698.09</v>
      </c>
      <c r="Q298" s="31"/>
      <c r="R298" s="31"/>
      <c r="S298" s="30"/>
      <c r="T298" s="31"/>
      <c r="U298" s="31"/>
      <c r="V298" s="30">
        <v>282303.76</v>
      </c>
      <c r="W298" s="31"/>
      <c r="X298" s="31"/>
      <c r="Y298" s="30">
        <v>8574906.2699999996</v>
      </c>
      <c r="Z298" s="31"/>
      <c r="AA298" s="31"/>
      <c r="AB298" s="30"/>
      <c r="AC298" s="32"/>
      <c r="AD298" s="32"/>
      <c r="AE298" s="62">
        <v>7493.7221680113998</v>
      </c>
      <c r="AF298" s="62">
        <v>7493.7221680113998</v>
      </c>
      <c r="AG298" s="186">
        <v>2023</v>
      </c>
      <c r="AH298" s="1">
        <v>1936703.42</v>
      </c>
      <c r="AI298" s="5">
        <f t="shared" si="66"/>
        <v>388487.39999999997</v>
      </c>
      <c r="AJ298" s="5">
        <f>+(K298*10+L298*20)*12*30</f>
        <v>13711320</v>
      </c>
      <c r="AL298" s="37">
        <f t="shared" si="59"/>
        <v>0</v>
      </c>
      <c r="AM298" s="30"/>
      <c r="AN298" s="30">
        <v>0</v>
      </c>
      <c r="AO298" s="30">
        <v>0</v>
      </c>
      <c r="AP298" s="30">
        <v>0</v>
      </c>
      <c r="AQ298" s="30"/>
      <c r="AR298" s="30"/>
      <c r="AS298" s="30"/>
      <c r="AT298" s="30">
        <v>0</v>
      </c>
      <c r="AU298" s="30">
        <v>7369291.1200000001</v>
      </c>
      <c r="AV298" s="30">
        <v>0</v>
      </c>
      <c r="AW298" s="30">
        <v>0</v>
      </c>
      <c r="AX298" s="30">
        <v>4050617</v>
      </c>
      <c r="AY298" s="30"/>
      <c r="AZ298" s="30"/>
      <c r="BA298" s="40"/>
      <c r="BB298" s="5">
        <f t="shared" si="64"/>
        <v>11419908.119999999</v>
      </c>
    </row>
    <row r="299" spans="1:54" hidden="1">
      <c r="A299" s="10">
        <f t="shared" si="61"/>
        <v>281</v>
      </c>
      <c r="B299" s="113">
        <f t="shared" si="65"/>
        <v>93</v>
      </c>
      <c r="C299" s="101" t="s">
        <v>185</v>
      </c>
      <c r="D299" s="101" t="s">
        <v>563</v>
      </c>
      <c r="E299" s="102">
        <v>1994</v>
      </c>
      <c r="F299" s="102">
        <v>2013</v>
      </c>
      <c r="G299" s="102" t="s">
        <v>3</v>
      </c>
      <c r="H299" s="102">
        <v>4</v>
      </c>
      <c r="I299" s="102">
        <v>2</v>
      </c>
      <c r="J299" s="62">
        <v>1882.24</v>
      </c>
      <c r="K299" s="62">
        <v>1768.8</v>
      </c>
      <c r="L299" s="62">
        <v>0</v>
      </c>
      <c r="M299" s="103">
        <v>61</v>
      </c>
      <c r="N299" s="28">
        <f t="shared" si="62"/>
        <v>1566527.8599999999</v>
      </c>
      <c r="O299" s="62"/>
      <c r="P299" s="30"/>
      <c r="Q299" s="31"/>
      <c r="R299" s="31"/>
      <c r="S299" s="30"/>
      <c r="T299" s="31"/>
      <c r="U299" s="31"/>
      <c r="V299" s="30">
        <v>1133727.23751542</v>
      </c>
      <c r="W299" s="31"/>
      <c r="X299" s="31"/>
      <c r="Y299" s="30">
        <v>432800.62248457997</v>
      </c>
      <c r="Z299" s="31"/>
      <c r="AA299" s="31"/>
      <c r="AB299" s="30"/>
      <c r="AC299" s="32"/>
      <c r="AD299" s="32"/>
      <c r="AE299" s="30">
        <v>889.58450062189104</v>
      </c>
      <c r="AF299" s="30">
        <v>1315.2830200640001</v>
      </c>
      <c r="AG299" s="186">
        <v>2023</v>
      </c>
      <c r="AH299" s="1">
        <v>977961.59</v>
      </c>
      <c r="AI299" s="5">
        <f>+(K299*10.5+L299*21)*12*0.85</f>
        <v>189438.47999999998</v>
      </c>
      <c r="AJ299" s="5">
        <f>+(K299*10.5+L299*21)*12*30</f>
        <v>6686064</v>
      </c>
      <c r="AL299" s="112">
        <f t="shared" si="59"/>
        <v>0</v>
      </c>
      <c r="AM299" s="30">
        <v>0</v>
      </c>
      <c r="AN299" s="30">
        <v>0</v>
      </c>
      <c r="AO299" s="30">
        <v>1566527.86</v>
      </c>
      <c r="AP299" s="30">
        <v>0</v>
      </c>
      <c r="AQ299" s="30">
        <v>0</v>
      </c>
      <c r="AR299" s="30"/>
      <c r="AS299" s="30"/>
      <c r="AT299" s="30">
        <v>0</v>
      </c>
      <c r="AU299" s="30">
        <v>0</v>
      </c>
      <c r="AV299" s="30">
        <v>0</v>
      </c>
      <c r="AW299" s="30"/>
      <c r="AX299" s="30">
        <v>0</v>
      </c>
      <c r="AY299" s="30"/>
      <c r="AZ299" s="30"/>
      <c r="BA299" s="40"/>
      <c r="BB299" s="5">
        <f t="shared" si="64"/>
        <v>1566527.8599999999</v>
      </c>
    </row>
    <row r="300" spans="1:54" hidden="1">
      <c r="A300" s="10">
        <f t="shared" si="61"/>
        <v>282</v>
      </c>
      <c r="B300" s="113">
        <f t="shared" si="65"/>
        <v>94</v>
      </c>
      <c r="C300" s="12" t="s">
        <v>185</v>
      </c>
      <c r="D300" s="12" t="s">
        <v>305</v>
      </c>
      <c r="E300" s="102">
        <v>1993</v>
      </c>
      <c r="F300" s="102">
        <v>2013</v>
      </c>
      <c r="G300" s="102" t="s">
        <v>3</v>
      </c>
      <c r="H300" s="102">
        <v>5</v>
      </c>
      <c r="I300" s="102">
        <v>2</v>
      </c>
      <c r="J300" s="62">
        <v>2382.6999999999998</v>
      </c>
      <c r="K300" s="62">
        <v>2177.75</v>
      </c>
      <c r="L300" s="62">
        <v>0</v>
      </c>
      <c r="M300" s="103">
        <v>103</v>
      </c>
      <c r="N300" s="28">
        <f t="shared" si="62"/>
        <v>2910825.5700000003</v>
      </c>
      <c r="O300" s="30"/>
      <c r="P300" s="30">
        <v>1924919.06</v>
      </c>
      <c r="Q300" s="31"/>
      <c r="R300" s="31"/>
      <c r="S300" s="30"/>
      <c r="T300" s="31"/>
      <c r="U300" s="31"/>
      <c r="V300" s="30">
        <v>72722.84</v>
      </c>
      <c r="W300" s="31"/>
      <c r="X300" s="31"/>
      <c r="Y300" s="30">
        <v>913183.67</v>
      </c>
      <c r="Z300" s="31"/>
      <c r="AA300" s="31"/>
      <c r="AB300" s="30"/>
      <c r="AC300" s="32"/>
      <c r="AD300" s="32"/>
      <c r="AE300" s="30">
        <v>1336.62062679371</v>
      </c>
      <c r="AF300" s="30">
        <v>1316.2830200640001</v>
      </c>
      <c r="AG300" s="186">
        <v>2023</v>
      </c>
      <c r="AL300" s="112">
        <f t="shared" si="59"/>
        <v>0</v>
      </c>
      <c r="AM300" s="30">
        <v>2910825.57</v>
      </c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156"/>
      <c r="BB300" s="5">
        <f t="shared" si="64"/>
        <v>2910825.5700000003</v>
      </c>
    </row>
    <row r="301" spans="1:54" hidden="1">
      <c r="A301" s="10">
        <f t="shared" si="61"/>
        <v>283</v>
      </c>
      <c r="B301" s="113">
        <f t="shared" si="65"/>
        <v>95</v>
      </c>
      <c r="C301" s="101" t="s">
        <v>185</v>
      </c>
      <c r="D301" s="101" t="s">
        <v>566</v>
      </c>
      <c r="E301" s="102">
        <v>1968</v>
      </c>
      <c r="F301" s="102">
        <v>2013</v>
      </c>
      <c r="G301" s="102" t="s">
        <v>3</v>
      </c>
      <c r="H301" s="102">
        <v>4</v>
      </c>
      <c r="I301" s="102">
        <v>2</v>
      </c>
      <c r="J301" s="62">
        <v>1340.1</v>
      </c>
      <c r="K301" s="62">
        <v>1250.0999999999999</v>
      </c>
      <c r="L301" s="62">
        <v>0</v>
      </c>
      <c r="M301" s="103">
        <v>47</v>
      </c>
      <c r="N301" s="28">
        <f t="shared" si="62"/>
        <v>491444.89899999998</v>
      </c>
      <c r="O301" s="62"/>
      <c r="P301" s="30"/>
      <c r="Q301" s="31"/>
      <c r="R301" s="31"/>
      <c r="S301" s="30"/>
      <c r="T301" s="31"/>
      <c r="U301" s="31"/>
      <c r="V301" s="30">
        <v>491444.89899999998</v>
      </c>
      <c r="W301" s="31"/>
      <c r="X301" s="31"/>
      <c r="Y301" s="30"/>
      <c r="Z301" s="31"/>
      <c r="AA301" s="31"/>
      <c r="AB301" s="30"/>
      <c r="AC301" s="32"/>
      <c r="AD301" s="32"/>
      <c r="AE301" s="62">
        <v>395.44598305095599</v>
      </c>
      <c r="AF301" s="62">
        <v>395.44598305095599</v>
      </c>
      <c r="AG301" s="186">
        <v>2023</v>
      </c>
      <c r="AH301" s="1">
        <v>547627.87</v>
      </c>
      <c r="AI301" s="5">
        <f>+(K301*10+L301*20)*12*0.85</f>
        <v>127510.2</v>
      </c>
      <c r="AJ301" s="5">
        <f>+(K301*10+L301*20)*12*30</f>
        <v>4500360</v>
      </c>
      <c r="AL301" s="37">
        <f t="shared" si="59"/>
        <v>0</v>
      </c>
      <c r="AM301" s="30">
        <v>0</v>
      </c>
      <c r="AN301" s="30">
        <v>0</v>
      </c>
      <c r="AO301" s="30">
        <v>0</v>
      </c>
      <c r="AP301" s="30">
        <v>0</v>
      </c>
      <c r="AQ301" s="30">
        <v>491444.89899999998</v>
      </c>
      <c r="AR301" s="30"/>
      <c r="AS301" s="30"/>
      <c r="AT301" s="30">
        <v>0</v>
      </c>
      <c r="AU301" s="30">
        <v>0</v>
      </c>
      <c r="AV301" s="30">
        <v>0</v>
      </c>
      <c r="AW301" s="30"/>
      <c r="AX301" s="30"/>
      <c r="AY301" s="30"/>
      <c r="AZ301" s="30"/>
      <c r="BA301" s="40"/>
      <c r="BB301" s="5">
        <f t="shared" si="64"/>
        <v>491444.89899999998</v>
      </c>
    </row>
    <row r="302" spans="1:54" hidden="1">
      <c r="A302" s="10">
        <f t="shared" si="61"/>
        <v>284</v>
      </c>
      <c r="B302" s="113">
        <f t="shared" si="65"/>
        <v>96</v>
      </c>
      <c r="C302" s="12" t="s">
        <v>185</v>
      </c>
      <c r="D302" s="12" t="s">
        <v>568</v>
      </c>
      <c r="E302" s="102">
        <v>1973</v>
      </c>
      <c r="F302" s="102">
        <v>2011</v>
      </c>
      <c r="G302" s="102" t="s">
        <v>3</v>
      </c>
      <c r="H302" s="102">
        <v>5</v>
      </c>
      <c r="I302" s="102">
        <v>4</v>
      </c>
      <c r="J302" s="62">
        <v>3343.7</v>
      </c>
      <c r="K302" s="62">
        <v>3061.9</v>
      </c>
      <c r="L302" s="62">
        <v>0</v>
      </c>
      <c r="M302" s="103">
        <v>160</v>
      </c>
      <c r="N302" s="28">
        <f t="shared" si="62"/>
        <v>12925050.760000002</v>
      </c>
      <c r="O302" s="30"/>
      <c r="P302" s="30">
        <v>8170424.7400000002</v>
      </c>
      <c r="Q302" s="31"/>
      <c r="R302" s="31"/>
      <c r="S302" s="30"/>
      <c r="T302" s="31"/>
      <c r="U302" s="31"/>
      <c r="V302" s="30">
        <v>1696801.81</v>
      </c>
      <c r="W302" s="31"/>
      <c r="X302" s="31"/>
      <c r="Y302" s="30">
        <v>3057824.21</v>
      </c>
      <c r="Z302" s="31"/>
      <c r="AA302" s="31"/>
      <c r="AB302" s="30"/>
      <c r="AC302" s="32"/>
      <c r="AD302" s="32"/>
      <c r="AE302" s="62">
        <v>5206.53421589557</v>
      </c>
      <c r="AF302" s="62">
        <v>5206.53421589557</v>
      </c>
      <c r="AG302" s="186">
        <v>2023</v>
      </c>
      <c r="AH302" s="1">
        <v>1384488.01</v>
      </c>
      <c r="AI302" s="5">
        <f>+(K302*10+L302*20)*12*0.85</f>
        <v>312313.8</v>
      </c>
      <c r="AJ302" s="5">
        <f>+(K302*10+L302*20)*12*30</f>
        <v>11022840</v>
      </c>
      <c r="AL302" s="37">
        <f t="shared" si="59"/>
        <v>0</v>
      </c>
      <c r="AM302" s="30">
        <v>0</v>
      </c>
      <c r="AN302" s="30">
        <v>0</v>
      </c>
      <c r="AO302" s="30"/>
      <c r="AP302" s="30">
        <v>0</v>
      </c>
      <c r="AQ302" s="30">
        <v>0</v>
      </c>
      <c r="AR302" s="30"/>
      <c r="AS302" s="30"/>
      <c r="AT302" s="30">
        <v>0</v>
      </c>
      <c r="AU302" s="30">
        <v>12925050.76</v>
      </c>
      <c r="AV302" s="30">
        <v>0</v>
      </c>
      <c r="AW302" s="30"/>
      <c r="AX302" s="30">
        <v>0</v>
      </c>
      <c r="AY302" s="30"/>
      <c r="AZ302" s="30"/>
      <c r="BA302" s="40"/>
      <c r="BB302" s="5">
        <f t="shared" si="64"/>
        <v>12925050.760000002</v>
      </c>
    </row>
    <row r="303" spans="1:54" hidden="1">
      <c r="A303" s="10">
        <f t="shared" si="61"/>
        <v>285</v>
      </c>
      <c r="B303" s="113">
        <f t="shared" si="65"/>
        <v>97</v>
      </c>
      <c r="C303" s="101" t="s">
        <v>185</v>
      </c>
      <c r="D303" s="101" t="s">
        <v>570</v>
      </c>
      <c r="E303" s="102">
        <v>1971</v>
      </c>
      <c r="F303" s="102">
        <v>2013</v>
      </c>
      <c r="G303" s="102" t="s">
        <v>3</v>
      </c>
      <c r="H303" s="102">
        <v>4</v>
      </c>
      <c r="I303" s="102">
        <v>4</v>
      </c>
      <c r="J303" s="62">
        <v>3003.8</v>
      </c>
      <c r="K303" s="62">
        <v>2693.7</v>
      </c>
      <c r="L303" s="62">
        <v>0</v>
      </c>
      <c r="M303" s="103">
        <v>120</v>
      </c>
      <c r="N303" s="28">
        <f t="shared" si="62"/>
        <v>8010112.4299999997</v>
      </c>
      <c r="O303" s="62"/>
      <c r="P303" s="30">
        <v>0</v>
      </c>
      <c r="Q303" s="31"/>
      <c r="R303" s="31"/>
      <c r="S303" s="30"/>
      <c r="T303" s="31"/>
      <c r="U303" s="31"/>
      <c r="V303" s="30">
        <v>495408.6</v>
      </c>
      <c r="W303" s="31"/>
      <c r="X303" s="31"/>
      <c r="Y303" s="30">
        <v>7514703.8300000001</v>
      </c>
      <c r="Z303" s="31"/>
      <c r="AA303" s="31"/>
      <c r="AB303" s="30"/>
      <c r="AC303" s="32"/>
      <c r="AD303" s="32"/>
      <c r="AE303" s="62">
        <v>3814.0265960125698</v>
      </c>
      <c r="AF303" s="62">
        <v>3814.0265960125698</v>
      </c>
      <c r="AG303" s="186">
        <v>2023</v>
      </c>
      <c r="AH303" s="1">
        <f>1245150.45-129665.9434</f>
        <v>1115484.5066</v>
      </c>
      <c r="AI303" s="5">
        <f>+(K303*10+L303*20)*12*0.85</f>
        <v>274757.39999999997</v>
      </c>
      <c r="AJ303" s="5">
        <f>+(K303*10+L303*20)*12*30-552777.2166</f>
        <v>9144542.7833999991</v>
      </c>
      <c r="AL303" s="37">
        <f t="shared" ref="AL303:AL321" si="68">SUBTOTAL(9, AM303:BA303)</f>
        <v>0</v>
      </c>
      <c r="AM303" s="30"/>
      <c r="AN303" s="30"/>
      <c r="AO303" s="30"/>
      <c r="AP303" s="30">
        <v>0</v>
      </c>
      <c r="AQ303" s="30">
        <v>1014819.95</v>
      </c>
      <c r="AR303" s="30"/>
      <c r="AS303" s="30"/>
      <c r="AT303" s="30"/>
      <c r="AU303" s="30"/>
      <c r="AV303" s="30"/>
      <c r="AW303" s="30"/>
      <c r="AX303" s="30">
        <v>6995292.4800000004</v>
      </c>
      <c r="AY303" s="30"/>
      <c r="AZ303" s="30"/>
      <c r="BA303" s="40"/>
      <c r="BB303" s="5">
        <f t="shared" si="64"/>
        <v>8010112.4299999997</v>
      </c>
    </row>
    <row r="304" spans="1:54" s="142" customFormat="1" hidden="1">
      <c r="A304" s="10">
        <f t="shared" si="61"/>
        <v>286</v>
      </c>
      <c r="B304" s="113">
        <f t="shared" si="65"/>
        <v>98</v>
      </c>
      <c r="C304" s="101" t="s">
        <v>313</v>
      </c>
      <c r="D304" s="101" t="s">
        <v>572</v>
      </c>
      <c r="E304" s="102" t="s">
        <v>388</v>
      </c>
      <c r="F304" s="102"/>
      <c r="G304" s="102" t="s">
        <v>3</v>
      </c>
      <c r="H304" s="102" t="s">
        <v>183</v>
      </c>
      <c r="I304" s="102" t="s">
        <v>175</v>
      </c>
      <c r="J304" s="62">
        <v>3411.7</v>
      </c>
      <c r="K304" s="62">
        <v>2190.6999999999998</v>
      </c>
      <c r="L304" s="62">
        <v>1221</v>
      </c>
      <c r="M304" s="103">
        <v>86</v>
      </c>
      <c r="N304" s="28">
        <f t="shared" si="62"/>
        <v>2065046.7599999998</v>
      </c>
      <c r="O304" s="62">
        <v>0</v>
      </c>
      <c r="P304" s="30"/>
      <c r="Q304" s="31"/>
      <c r="R304" s="31"/>
      <c r="S304" s="30">
        <v>0</v>
      </c>
      <c r="T304" s="31"/>
      <c r="U304" s="31"/>
      <c r="V304" s="30">
        <v>710919.86</v>
      </c>
      <c r="W304" s="31"/>
      <c r="X304" s="31"/>
      <c r="Y304" s="30">
        <v>1354126.9</v>
      </c>
      <c r="Z304" s="31"/>
      <c r="AA304" s="31"/>
      <c r="AB304" s="30"/>
      <c r="AC304" s="32"/>
      <c r="AD304" s="32"/>
      <c r="AE304" s="30">
        <v>14950.9382357458</v>
      </c>
      <c r="AF304" s="30">
        <v>1322.2830200640001</v>
      </c>
      <c r="AG304" s="186">
        <v>2023</v>
      </c>
      <c r="AH304" s="98">
        <v>2892323.62</v>
      </c>
      <c r="AI304" s="5">
        <f>+(K304*10.5+L304*21)*12*0.85</f>
        <v>496162.16999999993</v>
      </c>
      <c r="AJ304" s="5">
        <f>+(K304*10.5+L304*21)*12*30</f>
        <v>17511606</v>
      </c>
      <c r="AK304" s="5"/>
      <c r="AL304" s="112">
        <f t="shared" si="68"/>
        <v>0</v>
      </c>
      <c r="AM304" s="30"/>
      <c r="AN304" s="30"/>
      <c r="AO304" s="30">
        <v>1394976.29</v>
      </c>
      <c r="AP304" s="30"/>
      <c r="AQ304" s="30"/>
      <c r="AR304" s="30"/>
      <c r="AS304" s="30"/>
      <c r="AT304" s="30">
        <v>0</v>
      </c>
      <c r="AU304" s="30">
        <v>0</v>
      </c>
      <c r="AV304" s="30">
        <v>0</v>
      </c>
      <c r="AW304" s="30"/>
      <c r="AX304" s="30">
        <v>397050</v>
      </c>
      <c r="AY304" s="30">
        <v>266163.33</v>
      </c>
      <c r="AZ304" s="30">
        <v>6857.14</v>
      </c>
      <c r="BA304" s="40"/>
      <c r="BB304" s="5">
        <f t="shared" si="64"/>
        <v>2065046.7599999998</v>
      </c>
    </row>
    <row r="305" spans="1:54" s="142" customFormat="1" hidden="1">
      <c r="A305" s="10">
        <f t="shared" si="61"/>
        <v>287</v>
      </c>
      <c r="B305" s="113">
        <f t="shared" si="65"/>
        <v>99</v>
      </c>
      <c r="C305" s="12" t="s">
        <v>313</v>
      </c>
      <c r="D305" s="12" t="s">
        <v>459</v>
      </c>
      <c r="E305" s="102" t="s">
        <v>81</v>
      </c>
      <c r="F305" s="102"/>
      <c r="G305" s="102" t="s">
        <v>3</v>
      </c>
      <c r="H305" s="102" t="s">
        <v>183</v>
      </c>
      <c r="I305" s="102" t="s">
        <v>220</v>
      </c>
      <c r="J305" s="62">
        <v>5051.1899999999996</v>
      </c>
      <c r="K305" s="62">
        <v>4630.8</v>
      </c>
      <c r="L305" s="62">
        <v>0</v>
      </c>
      <c r="M305" s="103">
        <v>233</v>
      </c>
      <c r="N305" s="28">
        <f t="shared" si="62"/>
        <v>24468478.450000003</v>
      </c>
      <c r="O305" s="30">
        <v>0</v>
      </c>
      <c r="P305" s="30">
        <v>15061072.960000001</v>
      </c>
      <c r="Q305" s="31"/>
      <c r="R305" s="31"/>
      <c r="S305" s="30">
        <v>0</v>
      </c>
      <c r="T305" s="31"/>
      <c r="U305" s="31"/>
      <c r="V305" s="30">
        <v>1286566.96</v>
      </c>
      <c r="W305" s="31"/>
      <c r="X305" s="31"/>
      <c r="Y305" s="30">
        <v>8120838.5300000003</v>
      </c>
      <c r="Z305" s="31"/>
      <c r="AA305" s="31"/>
      <c r="AB305" s="30"/>
      <c r="AC305" s="32"/>
      <c r="AD305" s="32"/>
      <c r="AE305" s="30">
        <v>9933.7457987480193</v>
      </c>
      <c r="AF305" s="30">
        <v>1323.2830200640001</v>
      </c>
      <c r="AG305" s="186">
        <v>2023</v>
      </c>
      <c r="AH305" s="98">
        <v>2825636.52</v>
      </c>
      <c r="AI305" s="5">
        <f>+(K305*10.5+L305*21)*12*0.85</f>
        <v>495958.68000000005</v>
      </c>
      <c r="AJ305" s="5">
        <f>+(K305*10.5+L305*21)*12*30</f>
        <v>17504424</v>
      </c>
      <c r="AK305" s="5"/>
      <c r="AL305" s="112">
        <f t="shared" si="68"/>
        <v>0</v>
      </c>
      <c r="AM305" s="30"/>
      <c r="AN305" s="30"/>
      <c r="AO305" s="30"/>
      <c r="AP305" s="30"/>
      <c r="AQ305" s="30"/>
      <c r="AR305" s="30"/>
      <c r="AS305" s="30"/>
      <c r="AT305" s="30"/>
      <c r="AU305" s="30">
        <v>16572168.380000001</v>
      </c>
      <c r="AV305" s="30"/>
      <c r="AW305" s="30"/>
      <c r="AX305" s="30">
        <v>7332571.2599999998</v>
      </c>
      <c r="AY305" s="30">
        <v>557738.81000000006</v>
      </c>
      <c r="AZ305" s="30">
        <v>6000</v>
      </c>
      <c r="BA305" s="40"/>
      <c r="BB305" s="5">
        <f t="shared" si="64"/>
        <v>24468478.450000003</v>
      </c>
    </row>
    <row r="306" spans="1:54" hidden="1">
      <c r="A306" s="10">
        <f t="shared" ref="A306:A337" si="69">+A305+1</f>
        <v>288</v>
      </c>
      <c r="B306" s="113">
        <f t="shared" si="65"/>
        <v>100</v>
      </c>
      <c r="C306" s="12" t="s">
        <v>185</v>
      </c>
      <c r="D306" s="12" t="s">
        <v>307</v>
      </c>
      <c r="E306" s="102">
        <v>1966</v>
      </c>
      <c r="F306" s="102">
        <v>2013</v>
      </c>
      <c r="G306" s="102" t="s">
        <v>3</v>
      </c>
      <c r="H306" s="102">
        <v>4</v>
      </c>
      <c r="I306" s="102">
        <v>6</v>
      </c>
      <c r="J306" s="62">
        <v>2829.5</v>
      </c>
      <c r="K306" s="62">
        <v>2537.8000000000002</v>
      </c>
      <c r="L306" s="62">
        <v>230.6</v>
      </c>
      <c r="M306" s="103">
        <v>144</v>
      </c>
      <c r="N306" s="28">
        <f t="shared" si="62"/>
        <v>11911375.76</v>
      </c>
      <c r="O306" s="30"/>
      <c r="P306" s="30">
        <f>2935208.39-218044.34</f>
        <v>2717164.0500000003</v>
      </c>
      <c r="Q306" s="31"/>
      <c r="R306" s="31"/>
      <c r="S306" s="30"/>
      <c r="T306" s="31"/>
      <c r="U306" s="31"/>
      <c r="V306" s="30">
        <v>509273.2</v>
      </c>
      <c r="W306" s="31"/>
      <c r="X306" s="31"/>
      <c r="Y306" s="30">
        <v>8684938.5099999998</v>
      </c>
      <c r="Z306" s="31"/>
      <c r="AA306" s="31"/>
      <c r="AB306" s="30"/>
      <c r="AC306" s="32"/>
      <c r="AD306" s="32"/>
      <c r="AE306" s="30">
        <v>9188.1000978513803</v>
      </c>
      <c r="AF306" s="30">
        <v>1324.2830200640001</v>
      </c>
      <c r="AG306" s="186">
        <v>2023</v>
      </c>
      <c r="AH306" s="166">
        <v>1632407.51</v>
      </c>
      <c r="AI306" s="5">
        <f>+(K306*10.5+L306*21)*12*0.85</f>
        <v>321192.89999999997</v>
      </c>
      <c r="AJ306" s="5">
        <f>+(K306*10.5+L306*21)*12*30</f>
        <v>11336220</v>
      </c>
      <c r="AL306" s="112">
        <f t="shared" si="68"/>
        <v>0</v>
      </c>
      <c r="AM306" s="30"/>
      <c r="AN306" s="30"/>
      <c r="AO306" s="30"/>
      <c r="AP306" s="30"/>
      <c r="AQ306" s="30"/>
      <c r="AR306" s="30"/>
      <c r="AS306" s="30"/>
      <c r="AT306" s="30"/>
      <c r="AU306" s="30">
        <v>11436125.949999999</v>
      </c>
      <c r="AV306" s="30">
        <v>0</v>
      </c>
      <c r="AW306" s="30"/>
      <c r="AX306" s="30"/>
      <c r="AY306" s="30">
        <v>459249.81</v>
      </c>
      <c r="AZ306" s="30">
        <v>16000</v>
      </c>
      <c r="BA306" s="40"/>
      <c r="BB306" s="5">
        <f t="shared" si="64"/>
        <v>11911375.76</v>
      </c>
    </row>
    <row r="307" spans="1:54" s="142" customFormat="1" hidden="1">
      <c r="A307" s="10">
        <f t="shared" si="69"/>
        <v>289</v>
      </c>
      <c r="B307" s="113">
        <f t="shared" si="65"/>
        <v>101</v>
      </c>
      <c r="C307" s="12" t="s">
        <v>313</v>
      </c>
      <c r="D307" s="12" t="s">
        <v>463</v>
      </c>
      <c r="E307" s="102" t="s">
        <v>315</v>
      </c>
      <c r="F307" s="102"/>
      <c r="G307" s="102" t="s">
        <v>3</v>
      </c>
      <c r="H307" s="102" t="s">
        <v>183</v>
      </c>
      <c r="I307" s="102" t="s">
        <v>183</v>
      </c>
      <c r="J307" s="62">
        <v>3950.89</v>
      </c>
      <c r="K307" s="62">
        <v>3454.6</v>
      </c>
      <c r="L307" s="62">
        <v>0</v>
      </c>
      <c r="M307" s="103">
        <v>153</v>
      </c>
      <c r="N307" s="28">
        <f t="shared" si="62"/>
        <v>33900034.109999999</v>
      </c>
      <c r="O307" s="30">
        <v>0</v>
      </c>
      <c r="P307" s="30">
        <v>25340403.559999999</v>
      </c>
      <c r="Q307" s="31"/>
      <c r="R307" s="31"/>
      <c r="S307" s="30">
        <v>0</v>
      </c>
      <c r="T307" s="31"/>
      <c r="U307" s="31"/>
      <c r="V307" s="30">
        <v>2414088.9500000002</v>
      </c>
      <c r="W307" s="31"/>
      <c r="X307" s="31"/>
      <c r="Y307" s="30">
        <v>6145541.5999999996</v>
      </c>
      <c r="Z307" s="31"/>
      <c r="AA307" s="31"/>
      <c r="AB307" s="30"/>
      <c r="AC307" s="32"/>
      <c r="AD307" s="32"/>
      <c r="AE307" s="30">
        <v>17703.248516676002</v>
      </c>
      <c r="AF307" s="30">
        <v>1327.2830200640001</v>
      </c>
      <c r="AG307" s="186">
        <v>2023</v>
      </c>
      <c r="AH307" s="98">
        <v>2044101.29</v>
      </c>
      <c r="AI307" s="5">
        <f>+(K307*10.5+L307*21)*12*0.85</f>
        <v>369987.66</v>
      </c>
      <c r="AJ307" s="5">
        <f>+(K307*10.5+L307*21)*12*30</f>
        <v>13058388</v>
      </c>
      <c r="AK307" s="5"/>
      <c r="AL307" s="112">
        <f t="shared" si="68"/>
        <v>0</v>
      </c>
      <c r="AM307" s="30"/>
      <c r="AN307" s="30"/>
      <c r="AO307" s="30"/>
      <c r="AP307" s="30"/>
      <c r="AQ307" s="30"/>
      <c r="AR307" s="30"/>
      <c r="AS307" s="30"/>
      <c r="AT307" s="30">
        <v>0</v>
      </c>
      <c r="AU307" s="30">
        <v>12001166</v>
      </c>
      <c r="AV307" s="30">
        <v>0</v>
      </c>
      <c r="AW307" s="30">
        <v>21351135</v>
      </c>
      <c r="AX307" s="30"/>
      <c r="AY307" s="30">
        <v>544304.54</v>
      </c>
      <c r="AZ307" s="30">
        <v>3428.57</v>
      </c>
      <c r="BA307" s="40"/>
      <c r="BB307" s="5">
        <f t="shared" si="64"/>
        <v>33900034.109999999</v>
      </c>
    </row>
    <row r="308" spans="1:54" hidden="1">
      <c r="A308" s="10">
        <f t="shared" si="69"/>
        <v>290</v>
      </c>
      <c r="B308" s="113">
        <f t="shared" si="65"/>
        <v>102</v>
      </c>
      <c r="C308" s="101" t="s">
        <v>185</v>
      </c>
      <c r="D308" s="101" t="s">
        <v>311</v>
      </c>
      <c r="E308" s="102">
        <v>1995</v>
      </c>
      <c r="F308" s="102">
        <v>2013</v>
      </c>
      <c r="G308" s="102" t="s">
        <v>3</v>
      </c>
      <c r="H308" s="102">
        <v>5</v>
      </c>
      <c r="I308" s="102">
        <v>2</v>
      </c>
      <c r="J308" s="62">
        <v>2325.6999999999998</v>
      </c>
      <c r="K308" s="62">
        <v>1861.6</v>
      </c>
      <c r="L308" s="62">
        <v>0</v>
      </c>
      <c r="M308" s="103">
        <v>45</v>
      </c>
      <c r="N308" s="28">
        <f t="shared" si="62"/>
        <v>786855.41000000015</v>
      </c>
      <c r="O308" s="62"/>
      <c r="P308" s="30"/>
      <c r="Q308" s="31"/>
      <c r="R308" s="31"/>
      <c r="S308" s="30"/>
      <c r="T308" s="31"/>
      <c r="U308" s="31"/>
      <c r="V308" s="30">
        <v>754929.79</v>
      </c>
      <c r="W308" s="31"/>
      <c r="X308" s="31"/>
      <c r="Y308" s="30">
        <v>31925.620000000101</v>
      </c>
      <c r="Z308" s="31"/>
      <c r="AA308" s="31"/>
      <c r="AB308" s="30"/>
      <c r="AC308" s="32"/>
      <c r="AD308" s="32"/>
      <c r="AE308" s="62">
        <v>764.17626166085097</v>
      </c>
      <c r="AF308" s="62">
        <v>764.17626166085097</v>
      </c>
      <c r="AG308" s="186">
        <v>2023</v>
      </c>
      <c r="AH308" s="1">
        <v>717879.06</v>
      </c>
      <c r="AI308" s="5">
        <f>+(K308*10+L308*20)*12*0.85</f>
        <v>189883.19999999998</v>
      </c>
      <c r="AJ308" s="5">
        <f>+(K308*10+L308*20)*12*30</f>
        <v>6701760</v>
      </c>
      <c r="AL308" s="37">
        <f t="shared" si="68"/>
        <v>0</v>
      </c>
      <c r="AM308" s="30"/>
      <c r="AN308" s="30"/>
      <c r="AO308" s="30"/>
      <c r="AP308" s="30">
        <v>754929.79</v>
      </c>
      <c r="AQ308" s="30">
        <v>0</v>
      </c>
      <c r="AR308" s="30"/>
      <c r="AS308" s="30"/>
      <c r="AT308" s="30">
        <v>0</v>
      </c>
      <c r="AU308" s="30"/>
      <c r="AV308" s="30">
        <v>0</v>
      </c>
      <c r="AW308" s="30">
        <v>0</v>
      </c>
      <c r="AX308" s="30"/>
      <c r="AY308" s="30">
        <v>27925.62</v>
      </c>
      <c r="AZ308" s="30">
        <v>4000</v>
      </c>
      <c r="BA308" s="40"/>
      <c r="BB308" s="5">
        <f t="shared" si="64"/>
        <v>786855.41000000015</v>
      </c>
    </row>
    <row r="309" spans="1:54" hidden="1">
      <c r="A309" s="10">
        <f t="shared" si="69"/>
        <v>291</v>
      </c>
      <c r="B309" s="113">
        <f t="shared" si="65"/>
        <v>103</v>
      </c>
      <c r="C309" s="101" t="s">
        <v>185</v>
      </c>
      <c r="D309" s="101" t="s">
        <v>579</v>
      </c>
      <c r="E309" s="102">
        <v>1968</v>
      </c>
      <c r="F309" s="102">
        <v>2013</v>
      </c>
      <c r="G309" s="102" t="s">
        <v>3</v>
      </c>
      <c r="H309" s="102">
        <v>5</v>
      </c>
      <c r="I309" s="102">
        <v>5</v>
      </c>
      <c r="J309" s="62">
        <v>3261.1</v>
      </c>
      <c r="K309" s="62">
        <v>2512.5</v>
      </c>
      <c r="L309" s="62">
        <v>664.8</v>
      </c>
      <c r="M309" s="103">
        <v>128</v>
      </c>
      <c r="N309" s="28">
        <f t="shared" si="62"/>
        <v>982262</v>
      </c>
      <c r="O309" s="62"/>
      <c r="P309" s="30"/>
      <c r="Q309" s="31"/>
      <c r="R309" s="31"/>
      <c r="S309" s="30"/>
      <c r="T309" s="31"/>
      <c r="U309" s="31"/>
      <c r="V309" s="30"/>
      <c r="W309" s="31"/>
      <c r="X309" s="31"/>
      <c r="Y309" s="30">
        <v>982262</v>
      </c>
      <c r="Z309" s="31"/>
      <c r="AA309" s="31"/>
      <c r="AB309" s="30"/>
      <c r="AC309" s="32"/>
      <c r="AD309" s="32"/>
      <c r="AE309" s="62">
        <v>1016.77576941163</v>
      </c>
      <c r="AF309" s="62">
        <v>1016.77576941163</v>
      </c>
      <c r="AG309" s="186">
        <v>2023</v>
      </c>
      <c r="AH309" s="1">
        <v>1018647.82</v>
      </c>
      <c r="AI309" s="5">
        <f>+(K309*10+L309*20)*12*0.85</f>
        <v>391894.2</v>
      </c>
      <c r="AJ309" s="5">
        <f>+(K309*10+L309*20)*12*30</f>
        <v>13831560</v>
      </c>
      <c r="AL309" s="37">
        <f t="shared" si="68"/>
        <v>0</v>
      </c>
      <c r="AM309" s="30"/>
      <c r="AN309" s="30"/>
      <c r="AO309" s="30"/>
      <c r="AP309" s="30"/>
      <c r="AQ309" s="30">
        <v>982262</v>
      </c>
      <c r="AR309" s="30"/>
      <c r="AS309" s="30"/>
      <c r="AT309" s="30"/>
      <c r="AU309" s="30"/>
      <c r="AV309" s="30"/>
      <c r="AW309" s="30"/>
      <c r="AX309" s="30">
        <v>0</v>
      </c>
      <c r="AY309" s="30"/>
      <c r="AZ309" s="30"/>
      <c r="BA309" s="40"/>
      <c r="BB309" s="5">
        <f t="shared" si="64"/>
        <v>982262</v>
      </c>
    </row>
    <row r="310" spans="1:54" s="142" customFormat="1" hidden="1">
      <c r="A310" s="10">
        <f t="shared" si="69"/>
        <v>292</v>
      </c>
      <c r="B310" s="113">
        <f t="shared" si="65"/>
        <v>104</v>
      </c>
      <c r="C310" s="12" t="s">
        <v>185</v>
      </c>
      <c r="D310" s="12" t="s">
        <v>319</v>
      </c>
      <c r="E310" s="102" t="s">
        <v>81</v>
      </c>
      <c r="F310" s="102"/>
      <c r="G310" s="102" t="s">
        <v>3</v>
      </c>
      <c r="H310" s="102" t="s">
        <v>183</v>
      </c>
      <c r="I310" s="102" t="s">
        <v>316</v>
      </c>
      <c r="J310" s="62">
        <v>5678.2</v>
      </c>
      <c r="K310" s="62">
        <v>4923.8</v>
      </c>
      <c r="L310" s="62">
        <v>69.900000000000006</v>
      </c>
      <c r="M310" s="103">
        <v>205</v>
      </c>
      <c r="N310" s="28">
        <f t="shared" si="62"/>
        <v>37756385.57</v>
      </c>
      <c r="O310" s="30">
        <v>0</v>
      </c>
      <c r="P310" s="30">
        <v>14385532.07</v>
      </c>
      <c r="Q310" s="31"/>
      <c r="R310" s="31"/>
      <c r="S310" s="30">
        <v>0</v>
      </c>
      <c r="T310" s="31"/>
      <c r="U310" s="31"/>
      <c r="V310" s="30">
        <v>1148817.27</v>
      </c>
      <c r="W310" s="31"/>
      <c r="X310" s="31"/>
      <c r="Y310" s="30">
        <v>12054694.5414431</v>
      </c>
      <c r="Z310" s="31"/>
      <c r="AA310" s="31"/>
      <c r="AB310" s="30">
        <v>10167341.6885569</v>
      </c>
      <c r="AC310" s="32"/>
      <c r="AD310" s="32"/>
      <c r="AE310" s="62">
        <v>13256.845144132099</v>
      </c>
      <c r="AF310" s="62">
        <v>13256.845144132099</v>
      </c>
      <c r="AG310" s="186">
        <v>2023</v>
      </c>
      <c r="AH310" s="142">
        <v>2280888.52</v>
      </c>
      <c r="AI310" s="5">
        <f>+(K310*10+L310*20)*12*0.85</f>
        <v>516487.2</v>
      </c>
      <c r="AJ310" s="5">
        <f>+(K310*10+L310*20)*12*30</f>
        <v>18228960</v>
      </c>
      <c r="AK310" s="5"/>
      <c r="AL310" s="37">
        <f t="shared" si="68"/>
        <v>0</v>
      </c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>
        <v>31442611.48</v>
      </c>
      <c r="AX310" s="30">
        <v>5699540.9800000004</v>
      </c>
      <c r="AY310" s="30">
        <v>607375.97</v>
      </c>
      <c r="AZ310" s="30">
        <v>6857.14</v>
      </c>
      <c r="BA310" s="40"/>
      <c r="BB310" s="5">
        <f t="shared" ref="BB310:BB341" si="70">N310-AL310</f>
        <v>37756385.57</v>
      </c>
    </row>
    <row r="311" spans="1:54" s="142" customFormat="1" hidden="1">
      <c r="A311" s="10">
        <f t="shared" si="69"/>
        <v>293</v>
      </c>
      <c r="B311" s="113">
        <f t="shared" si="65"/>
        <v>105</v>
      </c>
      <c r="C311" s="101" t="s">
        <v>185</v>
      </c>
      <c r="D311" s="101" t="s">
        <v>470</v>
      </c>
      <c r="E311" s="102" t="s">
        <v>81</v>
      </c>
      <c r="F311" s="102"/>
      <c r="G311" s="102" t="s">
        <v>3</v>
      </c>
      <c r="H311" s="102" t="s">
        <v>183</v>
      </c>
      <c r="I311" s="102" t="s">
        <v>316</v>
      </c>
      <c r="J311" s="62">
        <v>5563.5</v>
      </c>
      <c r="K311" s="62">
        <v>4878.8999999999996</v>
      </c>
      <c r="L311" s="62">
        <v>141.30000000000001</v>
      </c>
      <c r="M311" s="103">
        <v>202</v>
      </c>
      <c r="N311" s="28">
        <f t="shared" si="62"/>
        <v>6472175.1600000001</v>
      </c>
      <c r="O311" s="62">
        <v>0</v>
      </c>
      <c r="P311" s="30"/>
      <c r="Q311" s="31"/>
      <c r="R311" s="31"/>
      <c r="S311" s="30">
        <v>0</v>
      </c>
      <c r="T311" s="31"/>
      <c r="U311" s="31"/>
      <c r="V311" s="30">
        <v>1687675.76663143</v>
      </c>
      <c r="W311" s="31"/>
      <c r="X311" s="31"/>
      <c r="Y311" s="30">
        <v>4784499.3933685701</v>
      </c>
      <c r="Z311" s="31"/>
      <c r="AA311" s="31"/>
      <c r="AB311" s="30"/>
      <c r="AC311" s="32"/>
      <c r="AD311" s="32"/>
      <c r="AE311" s="62">
        <v>4093.5248052566299</v>
      </c>
      <c r="AF311" s="62">
        <v>4093.5248052566299</v>
      </c>
      <c r="AG311" s="186">
        <v>2023</v>
      </c>
      <c r="AH311" s="142">
        <v>2384583.81</v>
      </c>
      <c r="AI311" s="5">
        <f>+(K311*10+L311*20)*12*0.85</f>
        <v>526473</v>
      </c>
      <c r="AJ311" s="5">
        <f>+(K311*10+L311*20)*12*30</f>
        <v>18581400</v>
      </c>
      <c r="AK311" s="5"/>
      <c r="AL311" s="37">
        <f t="shared" si="68"/>
        <v>0</v>
      </c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>
        <v>6215148.2999999998</v>
      </c>
      <c r="AY311" s="30">
        <v>253598.29</v>
      </c>
      <c r="AZ311" s="30">
        <v>3428.57</v>
      </c>
      <c r="BA311" s="40"/>
      <c r="BB311" s="5">
        <f t="shared" si="70"/>
        <v>6472175.1600000001</v>
      </c>
    </row>
    <row r="312" spans="1:54" s="142" customFormat="1" hidden="1">
      <c r="A312" s="10">
        <f t="shared" si="69"/>
        <v>294</v>
      </c>
      <c r="B312" s="113">
        <f t="shared" si="65"/>
        <v>106</v>
      </c>
      <c r="C312" s="101" t="s">
        <v>313</v>
      </c>
      <c r="D312" s="101" t="s">
        <v>471</v>
      </c>
      <c r="E312" s="102" t="s">
        <v>315</v>
      </c>
      <c r="F312" s="102"/>
      <c r="G312" s="102" t="s">
        <v>3</v>
      </c>
      <c r="H312" s="102" t="s">
        <v>183</v>
      </c>
      <c r="I312" s="102" t="s">
        <v>316</v>
      </c>
      <c r="J312" s="62">
        <v>5751.1</v>
      </c>
      <c r="K312" s="62">
        <v>4971.6000000000004</v>
      </c>
      <c r="L312" s="62">
        <v>0</v>
      </c>
      <c r="M312" s="103">
        <v>221</v>
      </c>
      <c r="N312" s="28">
        <f t="shared" si="62"/>
        <v>22551866.780000001</v>
      </c>
      <c r="O312" s="62">
        <v>0</v>
      </c>
      <c r="P312" s="30"/>
      <c r="Q312" s="31"/>
      <c r="R312" s="31"/>
      <c r="S312" s="30">
        <v>0</v>
      </c>
      <c r="T312" s="31"/>
      <c r="U312" s="31"/>
      <c r="V312" s="30">
        <v>2732123.25</v>
      </c>
      <c r="W312" s="31"/>
      <c r="X312" s="31"/>
      <c r="Y312" s="30">
        <v>19819743.530000001</v>
      </c>
      <c r="Z312" s="31"/>
      <c r="AA312" s="31"/>
      <c r="AB312" s="30"/>
      <c r="AC312" s="32"/>
      <c r="AD312" s="32"/>
      <c r="AE312" s="30">
        <v>10054.0694105366</v>
      </c>
      <c r="AF312" s="30">
        <v>1330.2830200640001</v>
      </c>
      <c r="AG312" s="186">
        <v>2023</v>
      </c>
      <c r="AH312" s="98">
        <v>2885684.78</v>
      </c>
      <c r="AI312" s="5">
        <f>+(K312*10.5+L312*21)*12*0.85</f>
        <v>532458.3600000001</v>
      </c>
      <c r="AJ312" s="5">
        <f>+(K312*10.5+L312*21)*12*30</f>
        <v>18792648.000000004</v>
      </c>
      <c r="AK312" s="5"/>
      <c r="AL312" s="112">
        <f t="shared" si="68"/>
        <v>0</v>
      </c>
      <c r="AM312" s="30"/>
      <c r="AN312" s="30"/>
      <c r="AO312" s="30"/>
      <c r="AP312" s="30"/>
      <c r="AQ312" s="30"/>
      <c r="AR312" s="30"/>
      <c r="AS312" s="30"/>
      <c r="AT312" s="30"/>
      <c r="AU312" s="30">
        <v>11858145.5</v>
      </c>
      <c r="AV312" s="30">
        <v>0</v>
      </c>
      <c r="AW312" s="30"/>
      <c r="AX312" s="30">
        <v>10159720.210000001</v>
      </c>
      <c r="AY312" s="30">
        <v>524401.06999999995</v>
      </c>
      <c r="AZ312" s="30">
        <v>9600</v>
      </c>
      <c r="BA312" s="40"/>
      <c r="BB312" s="5">
        <f t="shared" si="70"/>
        <v>22551866.780000001</v>
      </c>
    </row>
    <row r="313" spans="1:54" s="142" customFormat="1" ht="14.25" hidden="1" customHeight="1">
      <c r="A313" s="10">
        <f t="shared" si="69"/>
        <v>295</v>
      </c>
      <c r="B313" s="113">
        <f t="shared" ref="B313:B344" si="71">+B312+1</f>
        <v>107</v>
      </c>
      <c r="C313" s="12" t="s">
        <v>185</v>
      </c>
      <c r="D313" s="101" t="s">
        <v>584</v>
      </c>
      <c r="E313" s="102" t="s">
        <v>315</v>
      </c>
      <c r="F313" s="102"/>
      <c r="G313" s="102" t="s">
        <v>3</v>
      </c>
      <c r="H313" s="102" t="s">
        <v>183</v>
      </c>
      <c r="I313" s="102" t="s">
        <v>316</v>
      </c>
      <c r="J313" s="62">
        <v>5677.5</v>
      </c>
      <c r="K313" s="62">
        <v>4896.3999999999996</v>
      </c>
      <c r="L313" s="62">
        <v>72</v>
      </c>
      <c r="M313" s="103">
        <v>216</v>
      </c>
      <c r="N313" s="28">
        <f t="shared" si="62"/>
        <v>19322281.259999998</v>
      </c>
      <c r="O313" s="30">
        <v>0</v>
      </c>
      <c r="P313" s="30">
        <v>2611305.66</v>
      </c>
      <c r="Q313" s="31"/>
      <c r="R313" s="31"/>
      <c r="S313" s="30"/>
      <c r="T313" s="31"/>
      <c r="U313" s="31"/>
      <c r="V313" s="30">
        <v>933265.76</v>
      </c>
      <c r="W313" s="31"/>
      <c r="X313" s="31"/>
      <c r="Y313" s="30">
        <v>14891325.129023399</v>
      </c>
      <c r="Z313" s="31"/>
      <c r="AA313" s="31"/>
      <c r="AB313" s="30">
        <v>886384.710976601</v>
      </c>
      <c r="AC313" s="32"/>
      <c r="AD313" s="32"/>
      <c r="AE313" s="62">
        <v>4733.6101241229198</v>
      </c>
      <c r="AF313" s="62">
        <v>4733.6101241229198</v>
      </c>
      <c r="AG313" s="186">
        <v>2023</v>
      </c>
      <c r="AH313" s="157">
        <f>2265420.6-V122</f>
        <v>-280804.35999999987</v>
      </c>
      <c r="AI313" s="5">
        <f>+(K313*10+L313*20)*12*0.85</f>
        <v>514120.8</v>
      </c>
      <c r="AJ313" s="5">
        <f>+(K313*10.5+L313*21)*12*30</f>
        <v>19052711.999999996</v>
      </c>
      <c r="AK313" s="5"/>
      <c r="AL313" s="37">
        <f t="shared" si="68"/>
        <v>0</v>
      </c>
      <c r="AM313" s="30">
        <v>9193389.0299999993</v>
      </c>
      <c r="AN313" s="30">
        <v>2924499.67</v>
      </c>
      <c r="AO313" s="30">
        <v>3230753.86</v>
      </c>
      <c r="AP313" s="30">
        <v>3708442.52</v>
      </c>
      <c r="AQ313" s="30"/>
      <c r="AR313" s="30"/>
      <c r="AS313" s="30"/>
      <c r="AT313" s="30"/>
      <c r="AU313" s="30"/>
      <c r="AV313" s="30"/>
      <c r="AW313" s="30"/>
      <c r="AX313" s="30"/>
      <c r="AY313" s="30">
        <v>226850.47</v>
      </c>
      <c r="AZ313" s="30">
        <v>38345.71</v>
      </c>
      <c r="BA313" s="40"/>
      <c r="BB313" s="5">
        <f t="shared" si="70"/>
        <v>19322281.259999998</v>
      </c>
    </row>
    <row r="314" spans="1:54" hidden="1">
      <c r="A314" s="10">
        <f t="shared" si="69"/>
        <v>296</v>
      </c>
      <c r="B314" s="113">
        <f t="shared" si="71"/>
        <v>108</v>
      </c>
      <c r="C314" s="101" t="s">
        <v>185</v>
      </c>
      <c r="D314" s="101" t="s">
        <v>472</v>
      </c>
      <c r="E314" s="102">
        <v>1968</v>
      </c>
      <c r="F314" s="102">
        <v>2013</v>
      </c>
      <c r="G314" s="102" t="s">
        <v>3</v>
      </c>
      <c r="H314" s="102">
        <v>4</v>
      </c>
      <c r="I314" s="102">
        <v>3</v>
      </c>
      <c r="J314" s="62">
        <v>2488.5</v>
      </c>
      <c r="K314" s="62">
        <v>2348.1999999999998</v>
      </c>
      <c r="L314" s="62">
        <v>69.599999999999994</v>
      </c>
      <c r="M314" s="103">
        <v>56</v>
      </c>
      <c r="N314" s="28">
        <f t="shared" si="62"/>
        <v>5865383.1000000006</v>
      </c>
      <c r="O314" s="62"/>
      <c r="P314" s="30"/>
      <c r="Q314" s="31"/>
      <c r="R314" s="31"/>
      <c r="S314" s="30"/>
      <c r="T314" s="31"/>
      <c r="U314" s="31"/>
      <c r="V314" s="30">
        <v>149451.85999999999</v>
      </c>
      <c r="W314" s="31"/>
      <c r="X314" s="31"/>
      <c r="Y314" s="30">
        <v>5715931.2400000002</v>
      </c>
      <c r="Z314" s="31"/>
      <c r="AA314" s="31"/>
      <c r="AB314" s="62"/>
      <c r="AC314" s="106"/>
      <c r="AD314" s="106"/>
      <c r="AE314" s="30">
        <v>4337.0781914909303</v>
      </c>
      <c r="AF314" s="30">
        <v>4337.0781914909303</v>
      </c>
      <c r="AG314" s="186">
        <v>2023</v>
      </c>
      <c r="AH314" s="1">
        <v>1248740.06</v>
      </c>
      <c r="AI314" s="5">
        <f>+(K314*10+L314*20)*12*0.85</f>
        <v>253714.8</v>
      </c>
      <c r="AJ314" s="5">
        <f>+(K314*10+L314*20)*12*30</f>
        <v>8954640</v>
      </c>
      <c r="AL314" s="37">
        <f t="shared" si="68"/>
        <v>0</v>
      </c>
      <c r="AM314" s="30">
        <v>0</v>
      </c>
      <c r="AN314" s="30"/>
      <c r="AO314" s="30">
        <v>0</v>
      </c>
      <c r="AP314" s="30"/>
      <c r="AQ314" s="30"/>
      <c r="AR314" s="30"/>
      <c r="AS314" s="30"/>
      <c r="AT314" s="30">
        <v>0</v>
      </c>
      <c r="AU314" s="30">
        <v>0</v>
      </c>
      <c r="AV314" s="30">
        <v>0</v>
      </c>
      <c r="AW314" s="30">
        <v>0</v>
      </c>
      <c r="AX314" s="30">
        <v>5650467.8200000003</v>
      </c>
      <c r="AY314" s="30">
        <v>202915.28</v>
      </c>
      <c r="AZ314" s="30">
        <v>12000</v>
      </c>
      <c r="BA314" s="40"/>
      <c r="BB314" s="5">
        <f t="shared" si="70"/>
        <v>5865383.1000000006</v>
      </c>
    </row>
    <row r="315" spans="1:54" s="142" customFormat="1" hidden="1">
      <c r="A315" s="10">
        <f t="shared" si="69"/>
        <v>297</v>
      </c>
      <c r="B315" s="113">
        <f t="shared" si="71"/>
        <v>109</v>
      </c>
      <c r="C315" s="101" t="s">
        <v>185</v>
      </c>
      <c r="D315" s="101" t="s">
        <v>476</v>
      </c>
      <c r="E315" s="102" t="s">
        <v>370</v>
      </c>
      <c r="F315" s="102"/>
      <c r="G315" s="102" t="s">
        <v>3</v>
      </c>
      <c r="H315" s="102" t="s">
        <v>183</v>
      </c>
      <c r="I315" s="102" t="s">
        <v>183</v>
      </c>
      <c r="J315" s="62">
        <v>2960.3</v>
      </c>
      <c r="K315" s="62">
        <v>2725</v>
      </c>
      <c r="L315" s="62">
        <v>0</v>
      </c>
      <c r="M315" s="103">
        <v>121</v>
      </c>
      <c r="N315" s="28">
        <f t="shared" si="62"/>
        <v>3976195.3</v>
      </c>
      <c r="O315" s="62">
        <v>0</v>
      </c>
      <c r="P315" s="30"/>
      <c r="Q315" s="31"/>
      <c r="R315" s="31"/>
      <c r="S315" s="30">
        <v>0</v>
      </c>
      <c r="T315" s="31"/>
      <c r="U315" s="31"/>
      <c r="V315" s="30">
        <v>756433.77</v>
      </c>
      <c r="W315" s="31"/>
      <c r="X315" s="31"/>
      <c r="Y315" s="30">
        <v>3219761.53</v>
      </c>
      <c r="Z315" s="31"/>
      <c r="AA315" s="31"/>
      <c r="AB315" s="30"/>
      <c r="AC315" s="32"/>
      <c r="AD315" s="32"/>
      <c r="AE315" s="62">
        <v>3792.1895109411298</v>
      </c>
      <c r="AF315" s="62">
        <v>3792.1895109411298</v>
      </c>
      <c r="AG315" s="186">
        <v>2023</v>
      </c>
      <c r="AH315" s="142">
        <v>1333137.2</v>
      </c>
      <c r="AI315" s="5">
        <f>+(K315*10+L315*20)*12*0.85</f>
        <v>277950</v>
      </c>
      <c r="AJ315" s="5">
        <f>+(K315*10+L315*20)*12*30</f>
        <v>9810000</v>
      </c>
      <c r="AK315" s="5"/>
      <c r="AL315" s="37">
        <f t="shared" si="68"/>
        <v>0</v>
      </c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>
        <v>3781253.22</v>
      </c>
      <c r="AY315" s="30">
        <v>188942.07999999999</v>
      </c>
      <c r="AZ315" s="30">
        <v>6000</v>
      </c>
      <c r="BA315" s="40"/>
      <c r="BB315" s="5">
        <f t="shared" si="70"/>
        <v>3976195.3</v>
      </c>
    </row>
    <row r="316" spans="1:54" hidden="1">
      <c r="A316" s="10">
        <f t="shared" si="69"/>
        <v>298</v>
      </c>
      <c r="B316" s="113">
        <f t="shared" si="71"/>
        <v>110</v>
      </c>
      <c r="C316" s="12" t="s">
        <v>185</v>
      </c>
      <c r="D316" s="12" t="s">
        <v>331</v>
      </c>
      <c r="E316" s="102">
        <v>1975</v>
      </c>
      <c r="F316" s="102">
        <v>2013</v>
      </c>
      <c r="G316" s="102" t="s">
        <v>3</v>
      </c>
      <c r="H316" s="102">
        <v>4</v>
      </c>
      <c r="I316" s="102">
        <v>6</v>
      </c>
      <c r="J316" s="62">
        <v>5531.3</v>
      </c>
      <c r="K316" s="62">
        <v>4842.7</v>
      </c>
      <c r="L316" s="62">
        <v>189.7</v>
      </c>
      <c r="M316" s="103">
        <v>224</v>
      </c>
      <c r="N316" s="28">
        <f t="shared" si="62"/>
        <v>14411004.84</v>
      </c>
      <c r="O316" s="30"/>
      <c r="P316" s="30">
        <v>10669071.289999999</v>
      </c>
      <c r="Q316" s="31"/>
      <c r="R316" s="31"/>
      <c r="S316" s="30"/>
      <c r="T316" s="31"/>
      <c r="U316" s="31"/>
      <c r="V316" s="30">
        <v>242999.65</v>
      </c>
      <c r="W316" s="31"/>
      <c r="X316" s="31"/>
      <c r="Y316" s="30">
        <v>3498933.9</v>
      </c>
      <c r="Z316" s="31"/>
      <c r="AA316" s="31"/>
      <c r="AB316" s="30"/>
      <c r="AC316" s="32"/>
      <c r="AD316" s="32"/>
      <c r="AE316" s="62">
        <v>5890.5510426559904</v>
      </c>
      <c r="AF316" s="62">
        <v>5890.5510426559904</v>
      </c>
      <c r="AG316" s="186">
        <v>2023</v>
      </c>
      <c r="AH316" s="1">
        <f>2505054.36-114158.29-322925.86</f>
        <v>2067970.21</v>
      </c>
      <c r="AI316" s="5">
        <f>+(K316*10+L316*20)*12*0.85</f>
        <v>532654.19999999995</v>
      </c>
      <c r="AJ316" s="5">
        <f>+(K316*10+L316*20)*12*30</f>
        <v>18799560</v>
      </c>
      <c r="AL316" s="37">
        <f t="shared" si="68"/>
        <v>0</v>
      </c>
      <c r="AM316" s="30"/>
      <c r="AN316" s="30"/>
      <c r="AO316" s="30">
        <v>3542032.19</v>
      </c>
      <c r="AP316" s="30"/>
      <c r="AQ316" s="30"/>
      <c r="AR316" s="30"/>
      <c r="AS316" s="30"/>
      <c r="AT316" s="30">
        <v>0</v>
      </c>
      <c r="AU316" s="30">
        <v>10714681.140000001</v>
      </c>
      <c r="AV316" s="30">
        <v>0</v>
      </c>
      <c r="AW316" s="30"/>
      <c r="AX316" s="30"/>
      <c r="AY316" s="30"/>
      <c r="AZ316" s="30"/>
      <c r="BA316" s="109">
        <f>39596.34+114695.17</f>
        <v>154291.51</v>
      </c>
      <c r="BB316" s="5">
        <f t="shared" si="70"/>
        <v>14411004.84</v>
      </c>
    </row>
    <row r="317" spans="1:54" hidden="1">
      <c r="A317" s="10">
        <f t="shared" si="69"/>
        <v>299</v>
      </c>
      <c r="B317" s="113">
        <f t="shared" si="71"/>
        <v>111</v>
      </c>
      <c r="C317" s="12" t="s">
        <v>185</v>
      </c>
      <c r="D317" s="12" t="s">
        <v>589</v>
      </c>
      <c r="E317" s="102">
        <v>1984</v>
      </c>
      <c r="F317" s="102">
        <v>2013</v>
      </c>
      <c r="G317" s="102" t="s">
        <v>3</v>
      </c>
      <c r="H317" s="102">
        <v>5</v>
      </c>
      <c r="I317" s="102">
        <v>6</v>
      </c>
      <c r="J317" s="62">
        <v>7065.3</v>
      </c>
      <c r="K317" s="62">
        <v>6214.8</v>
      </c>
      <c r="L317" s="62">
        <v>0</v>
      </c>
      <c r="M317" s="103">
        <v>231</v>
      </c>
      <c r="N317" s="28">
        <f t="shared" si="62"/>
        <v>41231126.859999999</v>
      </c>
      <c r="O317" s="30"/>
      <c r="P317" s="30">
        <v>10971366.01</v>
      </c>
      <c r="Q317" s="31"/>
      <c r="R317" s="31"/>
      <c r="S317" s="30"/>
      <c r="T317" s="31"/>
      <c r="U317" s="31"/>
      <c r="V317" s="30">
        <v>4107609.7</v>
      </c>
      <c r="W317" s="31"/>
      <c r="X317" s="31"/>
      <c r="Y317" s="30">
        <v>26152151.149999999</v>
      </c>
      <c r="Z317" s="31"/>
      <c r="AA317" s="31"/>
      <c r="AB317" s="30"/>
      <c r="AC317" s="32"/>
      <c r="AD317" s="32"/>
      <c r="AE317" s="30">
        <v>8369.8040906568604</v>
      </c>
      <c r="AF317" s="30">
        <v>1340.2830200640001</v>
      </c>
      <c r="AG317" s="186">
        <v>2023</v>
      </c>
      <c r="AH317" s="98">
        <v>3442004.62</v>
      </c>
      <c r="AI317" s="5">
        <f>+(K317*10.5+L317*21)*12*0.85</f>
        <v>665605.08000000007</v>
      </c>
      <c r="AJ317" s="5">
        <f>+(K317*10.5+L317*21)*12*30</f>
        <v>23491944</v>
      </c>
      <c r="AL317" s="112">
        <f t="shared" si="68"/>
        <v>0</v>
      </c>
      <c r="AM317" s="30">
        <v>10074980.949999999</v>
      </c>
      <c r="AN317" s="30">
        <v>4483956.54</v>
      </c>
      <c r="AO317" s="30">
        <v>3411282.04</v>
      </c>
      <c r="AP317" s="30">
        <v>5243801.6900000004</v>
      </c>
      <c r="AQ317" s="30"/>
      <c r="AR317" s="30"/>
      <c r="AS317" s="30"/>
      <c r="AT317" s="30">
        <v>0</v>
      </c>
      <c r="AU317" s="30">
        <v>9153591.6999999993</v>
      </c>
      <c r="AV317" s="30">
        <v>0</v>
      </c>
      <c r="AW317" s="30"/>
      <c r="AX317" s="30">
        <v>8863513.9399999995</v>
      </c>
      <c r="AY317" s="30"/>
      <c r="AZ317" s="30"/>
      <c r="BA317" s="40"/>
      <c r="BB317" s="5">
        <f t="shared" si="70"/>
        <v>41231126.859999999</v>
      </c>
    </row>
    <row r="318" spans="1:54" hidden="1">
      <c r="A318" s="10">
        <f t="shared" si="69"/>
        <v>300</v>
      </c>
      <c r="B318" s="113">
        <f t="shared" si="71"/>
        <v>112</v>
      </c>
      <c r="C318" s="101" t="s">
        <v>185</v>
      </c>
      <c r="D318" s="101" t="s">
        <v>325</v>
      </c>
      <c r="E318" s="102">
        <v>1977</v>
      </c>
      <c r="F318" s="102">
        <v>2013</v>
      </c>
      <c r="G318" s="102" t="s">
        <v>3</v>
      </c>
      <c r="H318" s="102">
        <v>9</v>
      </c>
      <c r="I318" s="102">
        <v>1</v>
      </c>
      <c r="J318" s="62">
        <v>2365.9899999999998</v>
      </c>
      <c r="K318" s="62">
        <v>1903.5</v>
      </c>
      <c r="L318" s="62">
        <v>136</v>
      </c>
      <c r="M318" s="103">
        <v>70</v>
      </c>
      <c r="N318" s="28">
        <f t="shared" si="62"/>
        <v>2721466.55</v>
      </c>
      <c r="O318" s="62"/>
      <c r="P318" s="30">
        <v>1617078.18</v>
      </c>
      <c r="Q318" s="31"/>
      <c r="R318" s="31"/>
      <c r="S318" s="30"/>
      <c r="T318" s="31"/>
      <c r="U318" s="31"/>
      <c r="V318" s="30"/>
      <c r="W318" s="31"/>
      <c r="X318" s="31"/>
      <c r="Y318" s="30">
        <v>1104388.3700000001</v>
      </c>
      <c r="Z318" s="31"/>
      <c r="AA318" s="31"/>
      <c r="AB318" s="62"/>
      <c r="AC318" s="106"/>
      <c r="AD318" s="106"/>
      <c r="AE318" s="30">
        <v>2456.01274302308</v>
      </c>
      <c r="AF318" s="30">
        <v>2456.01274302308</v>
      </c>
      <c r="AG318" s="186">
        <v>2023</v>
      </c>
      <c r="AH318" s="5">
        <f>1333569.91-680973.2372-75663.69-V128</f>
        <v>398156.45340441988</v>
      </c>
      <c r="AI318" s="5">
        <f>+(K318*13.29+L318*22.52)*12*0.85</f>
        <v>289274.397</v>
      </c>
      <c r="AJ318" s="5">
        <f>+(K318*13.29+L318*22.52)*12*30-6485.14-39928.49-Y128</f>
        <v>9841864.089395579</v>
      </c>
      <c r="AL318" s="37">
        <f t="shared" si="68"/>
        <v>0</v>
      </c>
      <c r="AM318" s="30">
        <v>2721466.55</v>
      </c>
      <c r="AN318" s="30"/>
      <c r="AO318" s="30">
        <v>0</v>
      </c>
      <c r="AP318" s="30"/>
      <c r="AQ318" s="30"/>
      <c r="AR318" s="30"/>
      <c r="AS318" s="30"/>
      <c r="AT318" s="30">
        <v>0</v>
      </c>
      <c r="AU318" s="30">
        <v>0</v>
      </c>
      <c r="AV318" s="30">
        <v>0</v>
      </c>
      <c r="AW318" s="30"/>
      <c r="AX318" s="30">
        <v>0</v>
      </c>
      <c r="AY318" s="30"/>
      <c r="AZ318" s="30"/>
      <c r="BA318" s="40"/>
      <c r="BB318" s="5">
        <f t="shared" si="70"/>
        <v>2721466.55</v>
      </c>
    </row>
    <row r="319" spans="1:54" hidden="1">
      <c r="A319" s="10">
        <f t="shared" si="69"/>
        <v>301</v>
      </c>
      <c r="B319" s="113">
        <f t="shared" si="71"/>
        <v>113</v>
      </c>
      <c r="C319" s="12" t="s">
        <v>185</v>
      </c>
      <c r="D319" s="12" t="s">
        <v>479</v>
      </c>
      <c r="E319" s="102">
        <v>1977</v>
      </c>
      <c r="F319" s="102">
        <v>2013</v>
      </c>
      <c r="G319" s="102" t="s">
        <v>3</v>
      </c>
      <c r="H319" s="102">
        <v>9</v>
      </c>
      <c r="I319" s="102">
        <v>1</v>
      </c>
      <c r="J319" s="62">
        <v>2366.89</v>
      </c>
      <c r="K319" s="62">
        <v>1904.8</v>
      </c>
      <c r="L319" s="62">
        <v>41.8</v>
      </c>
      <c r="M319" s="103">
        <v>59</v>
      </c>
      <c r="N319" s="28">
        <f t="shared" si="62"/>
        <v>740900.59000000008</v>
      </c>
      <c r="O319" s="30"/>
      <c r="P319" s="30">
        <v>293106.81</v>
      </c>
      <c r="Q319" s="31"/>
      <c r="R319" s="31"/>
      <c r="S319" s="30"/>
      <c r="T319" s="31"/>
      <c r="U319" s="31"/>
      <c r="V319" s="30"/>
      <c r="W319" s="31"/>
      <c r="X319" s="31"/>
      <c r="Y319" s="30">
        <v>447793.78</v>
      </c>
      <c r="Z319" s="31"/>
      <c r="AA319" s="31"/>
      <c r="AB319" s="30"/>
      <c r="AC319" s="32"/>
      <c r="AD319" s="32"/>
      <c r="AE319" s="30">
        <v>3589.8107892940402</v>
      </c>
      <c r="AF319" s="30">
        <v>3589.8107892940402</v>
      </c>
      <c r="AG319" s="186">
        <v>2023</v>
      </c>
      <c r="AH319" s="1">
        <f>1227927.06-726007.6004</f>
        <v>501919.45960000006</v>
      </c>
      <c r="AI319" s="5">
        <f>+(K319*13.29+L319*22.52)*12*0.85</f>
        <v>267812.50559999997</v>
      </c>
      <c r="AJ319" s="5">
        <f>+(K319*13.29+L319*22.52)*12*30-9115.31</f>
        <v>9443090.7699999977</v>
      </c>
      <c r="AL319" s="37">
        <f t="shared" si="68"/>
        <v>0</v>
      </c>
      <c r="AM319" s="30"/>
      <c r="AN319" s="30"/>
      <c r="AO319" s="30">
        <v>740900.59</v>
      </c>
      <c r="AP319" s="30"/>
      <c r="AQ319" s="30"/>
      <c r="AR319" s="30"/>
      <c r="AS319" s="30"/>
      <c r="AT319" s="30">
        <v>0</v>
      </c>
      <c r="AU319" s="30">
        <v>0</v>
      </c>
      <c r="AV319" s="30">
        <v>0</v>
      </c>
      <c r="AW319" s="30"/>
      <c r="AX319" s="30">
        <v>0</v>
      </c>
      <c r="AY319" s="30"/>
      <c r="AZ319" s="30"/>
      <c r="BA319" s="40"/>
      <c r="BB319" s="5">
        <f t="shared" si="70"/>
        <v>740900.59000000008</v>
      </c>
    </row>
    <row r="320" spans="1:54" hidden="1">
      <c r="A320" s="10">
        <f t="shared" si="69"/>
        <v>302</v>
      </c>
      <c r="B320" s="113">
        <f t="shared" si="71"/>
        <v>114</v>
      </c>
      <c r="C320" s="12" t="s">
        <v>185</v>
      </c>
      <c r="D320" s="12" t="s">
        <v>592</v>
      </c>
      <c r="E320" s="102">
        <v>1994</v>
      </c>
      <c r="F320" s="102">
        <v>2005</v>
      </c>
      <c r="G320" s="102" t="s">
        <v>3</v>
      </c>
      <c r="H320" s="102">
        <v>5</v>
      </c>
      <c r="I320" s="102">
        <v>2</v>
      </c>
      <c r="J320" s="62">
        <v>2052</v>
      </c>
      <c r="K320" s="62">
        <v>1876.9</v>
      </c>
      <c r="L320" s="62">
        <v>0</v>
      </c>
      <c r="M320" s="103">
        <v>80</v>
      </c>
      <c r="N320" s="28">
        <f t="shared" si="62"/>
        <v>9608691.6799999997</v>
      </c>
      <c r="O320" s="30"/>
      <c r="P320" s="30">
        <v>5762795.10290151</v>
      </c>
      <c r="Q320" s="31"/>
      <c r="R320" s="31"/>
      <c r="S320" s="30"/>
      <c r="T320" s="31"/>
      <c r="U320" s="31"/>
      <c r="V320" s="30">
        <v>335067.79499999998</v>
      </c>
      <c r="W320" s="31"/>
      <c r="X320" s="31"/>
      <c r="Y320" s="30">
        <v>3510828.7820984898</v>
      </c>
      <c r="Z320" s="31"/>
      <c r="AA320" s="31"/>
      <c r="AB320" s="30"/>
      <c r="AC320" s="32"/>
      <c r="AD320" s="32"/>
      <c r="AE320" s="30">
        <v>14282.406253241399</v>
      </c>
      <c r="AF320" s="30">
        <v>1336.2830200640001</v>
      </c>
      <c r="AG320" s="186">
        <v>2023</v>
      </c>
      <c r="AH320" s="1">
        <v>1111921.7</v>
      </c>
      <c r="AI320" s="5">
        <f>+(K320*10.5+L320*21)*12*0.85</f>
        <v>201015.99000000002</v>
      </c>
      <c r="AJ320" s="5">
        <f>+(K320*10.5+L320*21)*12*30</f>
        <v>7094682.0000000009</v>
      </c>
      <c r="AL320" s="112">
        <f t="shared" si="68"/>
        <v>0</v>
      </c>
      <c r="AM320" s="30"/>
      <c r="AN320" s="30"/>
      <c r="AO320" s="30">
        <v>691534.88</v>
      </c>
      <c r="AP320" s="30"/>
      <c r="AQ320" s="30"/>
      <c r="AR320" s="30"/>
      <c r="AS320" s="30"/>
      <c r="AT320" s="30">
        <v>0</v>
      </c>
      <c r="AU320" s="30">
        <v>4297021.2</v>
      </c>
      <c r="AV320" s="30">
        <v>0</v>
      </c>
      <c r="AW320" s="30">
        <v>4620135.5999999996</v>
      </c>
      <c r="AX320" s="30"/>
      <c r="AY320" s="30"/>
      <c r="AZ320" s="30"/>
      <c r="BA320" s="40"/>
      <c r="BB320" s="5">
        <f t="shared" si="70"/>
        <v>9608691.6799999997</v>
      </c>
    </row>
    <row r="321" spans="1:54" hidden="1">
      <c r="A321" s="10">
        <f t="shared" si="69"/>
        <v>303</v>
      </c>
      <c r="B321" s="113">
        <f t="shared" si="71"/>
        <v>115</v>
      </c>
      <c r="C321" s="101" t="s">
        <v>185</v>
      </c>
      <c r="D321" s="101" t="s">
        <v>594</v>
      </c>
      <c r="E321" s="102">
        <v>1978</v>
      </c>
      <c r="F321" s="102">
        <v>2013</v>
      </c>
      <c r="G321" s="102" t="s">
        <v>3</v>
      </c>
      <c r="H321" s="102">
        <v>4</v>
      </c>
      <c r="I321" s="102">
        <v>4</v>
      </c>
      <c r="J321" s="62">
        <v>3933.3</v>
      </c>
      <c r="K321" s="62">
        <v>3440.6</v>
      </c>
      <c r="L321" s="62">
        <v>0</v>
      </c>
      <c r="M321" s="103">
        <v>158</v>
      </c>
      <c r="N321" s="28">
        <f t="shared" si="62"/>
        <v>9943011.6300000008</v>
      </c>
      <c r="O321" s="62"/>
      <c r="P321" s="30"/>
      <c r="Q321" s="31"/>
      <c r="R321" s="31"/>
      <c r="S321" s="30"/>
      <c r="T321" s="31"/>
      <c r="U321" s="31"/>
      <c r="V321" s="30">
        <v>1030658.64</v>
      </c>
      <c r="W321" s="31"/>
      <c r="X321" s="31"/>
      <c r="Y321" s="30">
        <v>8912352.9900000002</v>
      </c>
      <c r="Z321" s="31"/>
      <c r="AA321" s="31"/>
      <c r="AB321" s="30"/>
      <c r="AC321" s="32"/>
      <c r="AD321" s="32"/>
      <c r="AE321" s="30">
        <v>1627.6608760220299</v>
      </c>
      <c r="AF321" s="30">
        <v>1338.2830200640001</v>
      </c>
      <c r="AG321" s="186">
        <v>2023</v>
      </c>
      <c r="AH321" s="1">
        <f>2137015.38-102526.12</f>
        <v>2034489.2599999998</v>
      </c>
      <c r="AI321" s="5">
        <f>+(K321*10.5+L321*21)*12*0.85</f>
        <v>368488.25999999995</v>
      </c>
      <c r="AJ321" s="5">
        <f>+(K321*10.5+L321*21)*12*30</f>
        <v>13005468</v>
      </c>
      <c r="AL321" s="112">
        <f t="shared" si="68"/>
        <v>0</v>
      </c>
      <c r="AM321" s="30">
        <v>5602096.1600000001</v>
      </c>
      <c r="AN321" s="30"/>
      <c r="AO321" s="30">
        <v>2119328.04</v>
      </c>
      <c r="AP321" s="30">
        <v>2021455.51</v>
      </c>
      <c r="AQ321" s="30"/>
      <c r="AR321" s="30"/>
      <c r="AS321" s="30"/>
      <c r="AT321" s="30">
        <v>0</v>
      </c>
      <c r="AU321" s="30">
        <v>0</v>
      </c>
      <c r="AV321" s="30">
        <v>0</v>
      </c>
      <c r="AW321" s="30">
        <v>0</v>
      </c>
      <c r="AX321" s="30">
        <v>0</v>
      </c>
      <c r="AY321" s="30">
        <v>75973.289999999994</v>
      </c>
      <c r="AZ321" s="30">
        <v>18000</v>
      </c>
      <c r="BA321" s="109">
        <f>57091.46+25343.66+23723.51</f>
        <v>106158.62999999999</v>
      </c>
      <c r="BB321" s="5">
        <f t="shared" si="70"/>
        <v>9943011.6300000008</v>
      </c>
    </row>
    <row r="322" spans="1:54" hidden="1">
      <c r="A322" s="203">
        <f t="shared" si="69"/>
        <v>304</v>
      </c>
      <c r="B322" s="203">
        <f t="shared" si="71"/>
        <v>116</v>
      </c>
      <c r="C322" s="204" t="s">
        <v>22</v>
      </c>
      <c r="D322" s="204" t="s">
        <v>596</v>
      </c>
      <c r="E322" s="15" t="s">
        <v>441</v>
      </c>
      <c r="F322" s="15"/>
      <c r="G322" s="15" t="s">
        <v>3</v>
      </c>
      <c r="H322" s="15" t="s">
        <v>27</v>
      </c>
      <c r="I322" s="15" t="s">
        <v>27</v>
      </c>
      <c r="J322" s="14">
        <v>799.54</v>
      </c>
      <c r="K322" s="14">
        <v>733.52</v>
      </c>
      <c r="L322" s="14">
        <v>0</v>
      </c>
      <c r="M322" s="14">
        <v>29</v>
      </c>
      <c r="N322" s="28">
        <f t="shared" si="62"/>
        <v>4371808.87</v>
      </c>
      <c r="O322" s="204"/>
      <c r="P322" s="97">
        <v>1006518.21</v>
      </c>
      <c r="Q322" s="31"/>
      <c r="R322" s="31"/>
      <c r="S322" s="30">
        <v>507855.56</v>
      </c>
      <c r="T322" s="31"/>
      <c r="U322" s="31"/>
      <c r="V322" s="30">
        <v>461470.00199999998</v>
      </c>
      <c r="W322" s="31"/>
      <c r="X322" s="31"/>
      <c r="Y322" s="30">
        <v>2395965.0980000002</v>
      </c>
      <c r="Z322" s="31"/>
      <c r="AA322" s="31"/>
      <c r="AB322" s="30"/>
      <c r="AC322" s="32"/>
      <c r="AD322" s="32"/>
      <c r="AE322" s="30">
        <v>8420.69037638175</v>
      </c>
      <c r="AF322" s="30">
        <v>8420.69037638175</v>
      </c>
      <c r="AG322" s="186">
        <v>2023</v>
      </c>
      <c r="AH322" s="1">
        <v>382910.01</v>
      </c>
      <c r="AI322" s="5">
        <v>78559.991999999998</v>
      </c>
      <c r="AJ322" s="5">
        <v>2772705.6</v>
      </c>
      <c r="AL322" s="37">
        <f>SUM(AM322:BA322)</f>
        <v>4371808.87</v>
      </c>
      <c r="AM322" s="12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>
        <v>4363808.87</v>
      </c>
      <c r="AX322" s="30"/>
      <c r="AY322" s="30"/>
      <c r="AZ322" s="30">
        <v>8000</v>
      </c>
      <c r="BA322" s="40"/>
      <c r="BB322" s="5">
        <f t="shared" si="70"/>
        <v>0</v>
      </c>
    </row>
    <row r="323" spans="1:54" hidden="1">
      <c r="A323" s="203">
        <f t="shared" si="69"/>
        <v>305</v>
      </c>
      <c r="B323" s="203">
        <f t="shared" si="71"/>
        <v>117</v>
      </c>
      <c r="C323" s="204" t="s">
        <v>22</v>
      </c>
      <c r="D323" s="204" t="s">
        <v>597</v>
      </c>
      <c r="E323" s="15" t="s">
        <v>441</v>
      </c>
      <c r="F323" s="15"/>
      <c r="G323" s="15" t="s">
        <v>3</v>
      </c>
      <c r="H323" s="15" t="s">
        <v>27</v>
      </c>
      <c r="I323" s="15" t="s">
        <v>27</v>
      </c>
      <c r="J323" s="14">
        <v>715.4</v>
      </c>
      <c r="K323" s="14">
        <v>684.9</v>
      </c>
      <c r="L323" s="14">
        <v>0</v>
      </c>
      <c r="M323" s="14">
        <v>38</v>
      </c>
      <c r="N323" s="28">
        <f t="shared" si="62"/>
        <v>4868835.68</v>
      </c>
      <c r="O323" s="204"/>
      <c r="P323" s="97">
        <v>1477681.91</v>
      </c>
      <c r="Q323" s="31"/>
      <c r="R323" s="31"/>
      <c r="S323" s="30">
        <v>507855.56</v>
      </c>
      <c r="T323" s="31"/>
      <c r="U323" s="31"/>
      <c r="V323" s="30">
        <v>417637.24</v>
      </c>
      <c r="W323" s="31"/>
      <c r="X323" s="31"/>
      <c r="Y323" s="30">
        <v>2465660.9700000002</v>
      </c>
      <c r="Z323" s="31"/>
      <c r="AA323" s="31"/>
      <c r="AB323" s="30"/>
      <c r="AC323" s="32"/>
      <c r="AD323" s="32"/>
      <c r="AE323" s="30">
        <v>8421.4645989302207</v>
      </c>
      <c r="AF323" s="30">
        <v>8421.4645989302207</v>
      </c>
      <c r="AG323" s="186">
        <v>2023</v>
      </c>
      <c r="AH323" s="1">
        <v>344284.45</v>
      </c>
      <c r="AI323" s="5">
        <v>73352.789999999994</v>
      </c>
      <c r="AJ323" s="5">
        <v>2588922</v>
      </c>
      <c r="AL323" s="37">
        <f>SUM(AM323:BA323)</f>
        <v>4868835.68</v>
      </c>
      <c r="AM323" s="12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>
        <v>4860835.68</v>
      </c>
      <c r="AX323" s="30"/>
      <c r="AY323" s="30"/>
      <c r="AZ323" s="30">
        <v>8000</v>
      </c>
      <c r="BA323" s="40"/>
      <c r="BB323" s="5">
        <f t="shared" si="70"/>
        <v>0</v>
      </c>
    </row>
    <row r="324" spans="1:54" hidden="1">
      <c r="A324" s="203">
        <f t="shared" si="69"/>
        <v>306</v>
      </c>
      <c r="B324" s="203">
        <f t="shared" si="71"/>
        <v>118</v>
      </c>
      <c r="C324" s="204" t="s">
        <v>22</v>
      </c>
      <c r="D324" s="204" t="s">
        <v>600</v>
      </c>
      <c r="E324" s="15" t="s">
        <v>420</v>
      </c>
      <c r="F324" s="15"/>
      <c r="G324" s="15" t="s">
        <v>3</v>
      </c>
      <c r="H324" s="15" t="s">
        <v>27</v>
      </c>
      <c r="I324" s="15" t="s">
        <v>27</v>
      </c>
      <c r="J324" s="14">
        <v>670.37</v>
      </c>
      <c r="K324" s="14">
        <v>618.66</v>
      </c>
      <c r="L324" s="14">
        <v>0</v>
      </c>
      <c r="M324" s="14">
        <v>30</v>
      </c>
      <c r="N324" s="28">
        <f t="shared" si="62"/>
        <v>4279157.95</v>
      </c>
      <c r="O324" s="204"/>
      <c r="P324" s="97">
        <v>1139775.23</v>
      </c>
      <c r="Q324" s="31"/>
      <c r="R324" s="31"/>
      <c r="S324" s="30">
        <v>507855.52</v>
      </c>
      <c r="T324" s="31"/>
      <c r="U324" s="31"/>
      <c r="V324" s="30">
        <v>407532.25599999999</v>
      </c>
      <c r="W324" s="31"/>
      <c r="X324" s="31"/>
      <c r="Y324" s="30">
        <v>2223994.9440000001</v>
      </c>
      <c r="Z324" s="31"/>
      <c r="AA324" s="31"/>
      <c r="AB324" s="30"/>
      <c r="AC324" s="32"/>
      <c r="AD324" s="32"/>
      <c r="AE324" s="30">
        <v>8422.7152354528098</v>
      </c>
      <c r="AF324" s="30">
        <v>8422.7152354528098</v>
      </c>
      <c r="AG324" s="186">
        <v>2023</v>
      </c>
      <c r="AH324" s="1">
        <v>341273.77</v>
      </c>
      <c r="AI324" s="5">
        <v>66258.486000000004</v>
      </c>
      <c r="AJ324" s="5">
        <v>2338534.7999999998</v>
      </c>
      <c r="AL324" s="37">
        <f>SUM(AM324:BA324)</f>
        <v>4279157.95</v>
      </c>
      <c r="AM324" s="12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>
        <v>4274357.95</v>
      </c>
      <c r="AX324" s="30"/>
      <c r="AY324" s="30"/>
      <c r="AZ324" s="30">
        <v>4800</v>
      </c>
      <c r="BA324" s="40"/>
      <c r="BB324" s="5">
        <f t="shared" si="70"/>
        <v>0</v>
      </c>
    </row>
    <row r="325" spans="1:54" hidden="1">
      <c r="A325" s="203">
        <f t="shared" si="69"/>
        <v>307</v>
      </c>
      <c r="B325" s="203">
        <f t="shared" si="71"/>
        <v>119</v>
      </c>
      <c r="C325" s="204" t="s">
        <v>82</v>
      </c>
      <c r="D325" s="204" t="s">
        <v>602</v>
      </c>
      <c r="E325" s="15">
        <v>1975</v>
      </c>
      <c r="F325" s="15">
        <v>1975</v>
      </c>
      <c r="G325" s="15" t="s">
        <v>3</v>
      </c>
      <c r="H325" s="15">
        <v>2</v>
      </c>
      <c r="I325" s="15">
        <v>2</v>
      </c>
      <c r="J325" s="19">
        <v>785.47</v>
      </c>
      <c r="K325" s="19">
        <v>729.06</v>
      </c>
      <c r="L325" s="19">
        <v>0</v>
      </c>
      <c r="M325" s="22">
        <v>32</v>
      </c>
      <c r="N325" s="28">
        <f t="shared" si="62"/>
        <v>3709381.2000000011</v>
      </c>
      <c r="O325" s="97"/>
      <c r="P325" s="97">
        <v>771438.08416600095</v>
      </c>
      <c r="Q325" s="31"/>
      <c r="R325" s="31"/>
      <c r="S325" s="30"/>
      <c r="T325" s="31"/>
      <c r="U325" s="31"/>
      <c r="V325" s="30">
        <v>436046.95</v>
      </c>
      <c r="W325" s="31"/>
      <c r="X325" s="31"/>
      <c r="Y325" s="30">
        <v>2501896.1658339999</v>
      </c>
      <c r="Z325" s="31"/>
      <c r="AA325" s="31"/>
      <c r="AB325" s="30"/>
      <c r="AC325" s="32"/>
      <c r="AD325" s="32"/>
      <c r="AE325" s="30">
        <v>7950.3641949908097</v>
      </c>
      <c r="AF325" s="30">
        <v>1356.2830200640001</v>
      </c>
      <c r="AG325" s="186">
        <v>2023</v>
      </c>
      <c r="AH325" s="98">
        <v>361682.83</v>
      </c>
      <c r="AI325" s="5">
        <f t="shared" ref="AI325:AI333" si="72">+(K325*10+L325*20)*12*0.85</f>
        <v>74364.12</v>
      </c>
      <c r="AJ325" s="5">
        <f>+(K325*10+L325*20)*12*30</f>
        <v>2624616</v>
      </c>
      <c r="AL325" s="37">
        <f t="shared" ref="AL325:AL356" si="73">SUBTOTAL(9, AM325:BA325)</f>
        <v>0</v>
      </c>
      <c r="AM325" s="30">
        <v>0</v>
      </c>
      <c r="AN325" s="30">
        <v>0</v>
      </c>
      <c r="AO325" s="30">
        <v>0</v>
      </c>
      <c r="AP325" s="30">
        <v>0</v>
      </c>
      <c r="AQ325" s="30">
        <v>0</v>
      </c>
      <c r="AR325" s="30"/>
      <c r="AS325" s="30"/>
      <c r="AT325" s="30">
        <v>0</v>
      </c>
      <c r="AU325" s="30">
        <v>0</v>
      </c>
      <c r="AV325" s="30">
        <v>0</v>
      </c>
      <c r="AW325" s="30">
        <v>3647660.37</v>
      </c>
      <c r="AX325" s="30">
        <v>0</v>
      </c>
      <c r="AY325" s="30">
        <v>37720.83</v>
      </c>
      <c r="AZ325" s="30">
        <v>24000</v>
      </c>
      <c r="BA325" s="40"/>
      <c r="BB325" s="5">
        <f t="shared" si="70"/>
        <v>3709381.2000000011</v>
      </c>
    </row>
    <row r="326" spans="1:54" hidden="1">
      <c r="A326" s="203">
        <f t="shared" si="69"/>
        <v>308</v>
      </c>
      <c r="B326" s="203">
        <f t="shared" si="71"/>
        <v>120</v>
      </c>
      <c r="C326" s="204" t="s">
        <v>87</v>
      </c>
      <c r="D326" s="204" t="s">
        <v>604</v>
      </c>
      <c r="E326" s="15">
        <v>1989</v>
      </c>
      <c r="F326" s="15">
        <v>1989</v>
      </c>
      <c r="G326" s="15" t="s">
        <v>3</v>
      </c>
      <c r="H326" s="102">
        <v>2</v>
      </c>
      <c r="I326" s="102">
        <v>2</v>
      </c>
      <c r="J326" s="62">
        <v>915</v>
      </c>
      <c r="K326" s="62">
        <v>892.81</v>
      </c>
      <c r="L326" s="62">
        <v>0</v>
      </c>
      <c r="M326" s="103">
        <v>32</v>
      </c>
      <c r="N326" s="28">
        <f t="shared" si="62"/>
        <v>8466256.1400000006</v>
      </c>
      <c r="O326" s="30"/>
      <c r="P326" s="62">
        <v>2483086.2799999998</v>
      </c>
      <c r="Q326" s="29"/>
      <c r="R326" s="29"/>
      <c r="S326" s="30"/>
      <c r="T326" s="31"/>
      <c r="U326" s="31"/>
      <c r="V326" s="30">
        <v>482392.32000000001</v>
      </c>
      <c r="W326" s="31"/>
      <c r="X326" s="31"/>
      <c r="Y326" s="30">
        <v>3439921.51816</v>
      </c>
      <c r="Z326" s="31"/>
      <c r="AA326" s="31"/>
      <c r="AB326" s="30">
        <v>2060856.0218400001</v>
      </c>
      <c r="AC326" s="32"/>
      <c r="AD326" s="32"/>
      <c r="AE326" s="30">
        <v>8999.6044826558791</v>
      </c>
      <c r="AF326" s="30">
        <v>8999.6044826558791</v>
      </c>
      <c r="AG326" s="186">
        <v>2023</v>
      </c>
      <c r="AH326" s="1">
        <v>367325.7</v>
      </c>
      <c r="AI326" s="5">
        <f t="shared" si="72"/>
        <v>91066.619999999981</v>
      </c>
      <c r="AJ326" s="5">
        <f>+(K326*10+L326*20)*12*30</f>
        <v>3214115.9999999995</v>
      </c>
      <c r="AL326" s="37">
        <f t="shared" si="73"/>
        <v>0</v>
      </c>
      <c r="AM326" s="30">
        <v>0</v>
      </c>
      <c r="AN326" s="30">
        <v>0</v>
      </c>
      <c r="AO326" s="30">
        <v>0</v>
      </c>
      <c r="AP326" s="30">
        <v>0</v>
      </c>
      <c r="AQ326" s="30">
        <v>0</v>
      </c>
      <c r="AR326" s="30"/>
      <c r="AS326" s="30"/>
      <c r="AT326" s="30">
        <v>0</v>
      </c>
      <c r="AU326" s="30">
        <v>8397877.9900000002</v>
      </c>
      <c r="AV326" s="30">
        <v>0</v>
      </c>
      <c r="AW326" s="30">
        <v>0</v>
      </c>
      <c r="AX326" s="30">
        <v>0</v>
      </c>
      <c r="AY326" s="30">
        <v>44378.15</v>
      </c>
      <c r="AZ326" s="30">
        <v>24000</v>
      </c>
      <c r="BA326" s="40"/>
      <c r="BB326" s="5">
        <f t="shared" si="70"/>
        <v>8466256.1400000006</v>
      </c>
    </row>
    <row r="327" spans="1:54" hidden="1">
      <c r="A327" s="203">
        <f t="shared" si="69"/>
        <v>309</v>
      </c>
      <c r="B327" s="203">
        <f t="shared" si="71"/>
        <v>121</v>
      </c>
      <c r="C327" s="204" t="s">
        <v>87</v>
      </c>
      <c r="D327" s="204" t="s">
        <v>606</v>
      </c>
      <c r="E327" s="15">
        <v>1989</v>
      </c>
      <c r="F327" s="15">
        <v>1989</v>
      </c>
      <c r="G327" s="15" t="s">
        <v>3</v>
      </c>
      <c r="H327" s="102">
        <v>3</v>
      </c>
      <c r="I327" s="102">
        <v>2</v>
      </c>
      <c r="J327" s="62">
        <v>1225.2</v>
      </c>
      <c r="K327" s="62">
        <v>861.78</v>
      </c>
      <c r="L327" s="62">
        <v>363.42</v>
      </c>
      <c r="M327" s="103">
        <v>38</v>
      </c>
      <c r="N327" s="28">
        <f t="shared" si="62"/>
        <v>5347241.1099999994</v>
      </c>
      <c r="O327" s="30"/>
      <c r="P327" s="30">
        <v>1136928.29</v>
      </c>
      <c r="Q327" s="31"/>
      <c r="R327" s="31"/>
      <c r="S327" s="30"/>
      <c r="T327" s="31"/>
      <c r="U327" s="31"/>
      <c r="V327" s="30">
        <v>496995.11</v>
      </c>
      <c r="W327" s="31"/>
      <c r="X327" s="31"/>
      <c r="Y327" s="30">
        <v>3713317.71</v>
      </c>
      <c r="Z327" s="31"/>
      <c r="AA327" s="31"/>
      <c r="AB327" s="30"/>
      <c r="AC327" s="32"/>
      <c r="AD327" s="32"/>
      <c r="AE327" s="30">
        <v>4507.8222796767895</v>
      </c>
      <c r="AF327" s="30">
        <v>4507.8222796767895</v>
      </c>
      <c r="AG327" s="186">
        <v>2023</v>
      </c>
      <c r="AH327" s="1">
        <v>334955.87</v>
      </c>
      <c r="AI327" s="5">
        <f t="shared" si="72"/>
        <v>162039.24000000002</v>
      </c>
      <c r="AJ327" s="5">
        <f>+(K327*10+L327*20)*12*30</f>
        <v>5719032.0000000009</v>
      </c>
      <c r="AL327" s="37">
        <f t="shared" si="73"/>
        <v>0</v>
      </c>
      <c r="AM327" s="30">
        <v>0</v>
      </c>
      <c r="AN327" s="30">
        <v>0</v>
      </c>
      <c r="AO327" s="30">
        <v>0</v>
      </c>
      <c r="AP327" s="30">
        <v>0</v>
      </c>
      <c r="AQ327" s="30">
        <v>0</v>
      </c>
      <c r="AR327" s="30"/>
      <c r="AS327" s="30"/>
      <c r="AT327" s="30">
        <v>0</v>
      </c>
      <c r="AU327" s="30">
        <v>5277865.75</v>
      </c>
      <c r="AV327" s="30">
        <v>0</v>
      </c>
      <c r="AW327" s="30">
        <v>0</v>
      </c>
      <c r="AX327" s="30">
        <v>0</v>
      </c>
      <c r="AY327" s="30">
        <v>45375.360000000001</v>
      </c>
      <c r="AZ327" s="30">
        <v>24000</v>
      </c>
      <c r="BA327" s="40"/>
      <c r="BB327" s="5">
        <f t="shared" si="70"/>
        <v>5347241.1099999994</v>
      </c>
    </row>
    <row r="328" spans="1:54" hidden="1">
      <c r="A328" s="203">
        <f t="shared" si="69"/>
        <v>310</v>
      </c>
      <c r="B328" s="203">
        <f t="shared" si="71"/>
        <v>122</v>
      </c>
      <c r="C328" s="14" t="s">
        <v>87</v>
      </c>
      <c r="D328" s="14" t="s">
        <v>97</v>
      </c>
      <c r="E328" s="15">
        <v>1976</v>
      </c>
      <c r="F328" s="15">
        <v>2008</v>
      </c>
      <c r="G328" s="15" t="s">
        <v>3</v>
      </c>
      <c r="H328" s="102">
        <v>4</v>
      </c>
      <c r="I328" s="102">
        <v>4</v>
      </c>
      <c r="J328" s="62">
        <v>4257.32</v>
      </c>
      <c r="K328" s="62">
        <v>3128.38</v>
      </c>
      <c r="L328" s="62">
        <v>991.08</v>
      </c>
      <c r="M328" s="103">
        <v>124</v>
      </c>
      <c r="N328" s="28">
        <f t="shared" si="62"/>
        <v>2289454.4300000002</v>
      </c>
      <c r="O328" s="62"/>
      <c r="P328" s="30"/>
      <c r="Q328" s="31"/>
      <c r="R328" s="31"/>
      <c r="S328" s="30"/>
      <c r="T328" s="31"/>
      <c r="U328" s="31"/>
      <c r="V328" s="30">
        <v>0</v>
      </c>
      <c r="W328" s="31"/>
      <c r="X328" s="31"/>
      <c r="Y328" s="30">
        <v>2289454.4300000002</v>
      </c>
      <c r="Z328" s="31"/>
      <c r="AA328" s="31"/>
      <c r="AB328" s="30"/>
      <c r="AC328" s="32"/>
      <c r="AD328" s="32"/>
      <c r="AE328" s="62">
        <v>1050.5361310073999</v>
      </c>
      <c r="AF328" s="62">
        <v>1050.5361310073999</v>
      </c>
      <c r="AG328" s="186">
        <v>2023</v>
      </c>
      <c r="AH328" s="18">
        <f>1377282.4-565094.81-V140</f>
        <v>-521275.08000000007</v>
      </c>
      <c r="AI328" s="5">
        <f t="shared" si="72"/>
        <v>521275.08</v>
      </c>
      <c r="AJ328" s="5">
        <f>+(K328*10+L328*20)*12*30-180969.62-Y140</f>
        <v>14316986.094099998</v>
      </c>
      <c r="AL328" s="37">
        <f t="shared" si="73"/>
        <v>0</v>
      </c>
      <c r="AM328" s="30"/>
      <c r="AN328" s="30"/>
      <c r="AO328" s="30">
        <v>0</v>
      </c>
      <c r="AP328" s="30"/>
      <c r="AQ328" s="30"/>
      <c r="AR328" s="30"/>
      <c r="AS328" s="30"/>
      <c r="AT328" s="30">
        <v>0</v>
      </c>
      <c r="AU328" s="30">
        <v>0</v>
      </c>
      <c r="AV328" s="30">
        <v>2289454.4300000002</v>
      </c>
      <c r="AW328" s="30">
        <v>0</v>
      </c>
      <c r="AX328" s="30"/>
      <c r="AY328" s="30"/>
      <c r="AZ328" s="30"/>
      <c r="BA328" s="40"/>
      <c r="BB328" s="5">
        <f t="shared" si="70"/>
        <v>2289454.4300000002</v>
      </c>
    </row>
    <row r="329" spans="1:54" hidden="1">
      <c r="A329" s="203">
        <f t="shared" si="69"/>
        <v>311</v>
      </c>
      <c r="B329" s="203">
        <f t="shared" si="71"/>
        <v>123</v>
      </c>
      <c r="C329" s="204" t="s">
        <v>87</v>
      </c>
      <c r="D329" s="204" t="s">
        <v>100</v>
      </c>
      <c r="E329" s="15">
        <v>1975</v>
      </c>
      <c r="F329" s="15">
        <v>2008</v>
      </c>
      <c r="G329" s="15" t="s">
        <v>3</v>
      </c>
      <c r="H329" s="102">
        <v>4</v>
      </c>
      <c r="I329" s="102">
        <v>4</v>
      </c>
      <c r="J329" s="62">
        <v>4182.96</v>
      </c>
      <c r="K329" s="62">
        <v>3048.03</v>
      </c>
      <c r="L329" s="62">
        <v>978.37</v>
      </c>
      <c r="M329" s="103">
        <v>135</v>
      </c>
      <c r="N329" s="28">
        <f t="shared" si="62"/>
        <v>3010833.6999999997</v>
      </c>
      <c r="O329" s="30"/>
      <c r="P329" s="30">
        <v>963170.08</v>
      </c>
      <c r="Q329" s="31"/>
      <c r="R329" s="31"/>
      <c r="S329" s="30"/>
      <c r="T329" s="31"/>
      <c r="U329" s="31"/>
      <c r="V329" s="30">
        <v>298481.96999999997</v>
      </c>
      <c r="W329" s="31"/>
      <c r="X329" s="31"/>
      <c r="Y329" s="30">
        <v>1749181.65</v>
      </c>
      <c r="Z329" s="31"/>
      <c r="AA329" s="31"/>
      <c r="AB329" s="30"/>
      <c r="AC329" s="32"/>
      <c r="AD329" s="32"/>
      <c r="AE329" s="62">
        <v>1849.23882793194</v>
      </c>
      <c r="AF329" s="62">
        <v>1849.23882793194</v>
      </c>
      <c r="AG329" s="186">
        <v>2023</v>
      </c>
      <c r="AH329" s="1">
        <f>1500891.17-445165.35</f>
        <v>1055725.8199999998</v>
      </c>
      <c r="AI329" s="5">
        <f t="shared" si="72"/>
        <v>510486.54</v>
      </c>
      <c r="AJ329" s="5">
        <f>+(K329*10+L329*20)*12*30-179374.89</f>
        <v>17837797.109999999</v>
      </c>
      <c r="AL329" s="37">
        <f t="shared" si="73"/>
        <v>0</v>
      </c>
      <c r="AM329" s="30"/>
      <c r="AN329" s="30"/>
      <c r="AO329" s="30">
        <v>0</v>
      </c>
      <c r="AP329" s="30"/>
      <c r="AQ329" s="30"/>
      <c r="AR329" s="30"/>
      <c r="AS329" s="30"/>
      <c r="AT329" s="30">
        <v>0</v>
      </c>
      <c r="AU329" s="30">
        <v>0</v>
      </c>
      <c r="AV329" s="30">
        <v>3010833.7</v>
      </c>
      <c r="AW329" s="30">
        <v>0</v>
      </c>
      <c r="AX329" s="30"/>
      <c r="AY329" s="30"/>
      <c r="AZ329" s="30"/>
      <c r="BA329" s="40"/>
      <c r="BB329" s="5">
        <f t="shared" si="70"/>
        <v>3010833.6999999997</v>
      </c>
    </row>
    <row r="330" spans="1:54" hidden="1">
      <c r="A330" s="203">
        <f t="shared" si="69"/>
        <v>312</v>
      </c>
      <c r="B330" s="203">
        <f t="shared" si="71"/>
        <v>124</v>
      </c>
      <c r="C330" s="14" t="s">
        <v>104</v>
      </c>
      <c r="D330" s="14" t="s">
        <v>608</v>
      </c>
      <c r="E330" s="15">
        <v>1969</v>
      </c>
      <c r="F330" s="15">
        <v>2013</v>
      </c>
      <c r="G330" s="15" t="s">
        <v>3</v>
      </c>
      <c r="H330" s="102">
        <v>4</v>
      </c>
      <c r="I330" s="102">
        <v>2</v>
      </c>
      <c r="J330" s="62">
        <v>1421.6</v>
      </c>
      <c r="K330" s="62">
        <v>1089.9000000000001</v>
      </c>
      <c r="L330" s="62">
        <v>300.27999999999997</v>
      </c>
      <c r="M330" s="103">
        <v>49</v>
      </c>
      <c r="N330" s="28">
        <f t="shared" si="62"/>
        <v>1652498.41</v>
      </c>
      <c r="O330" s="62"/>
      <c r="P330" s="30"/>
      <c r="Q330" s="31"/>
      <c r="R330" s="31"/>
      <c r="S330" s="30"/>
      <c r="T330" s="31"/>
      <c r="U330" s="31"/>
      <c r="V330" s="30">
        <v>657903.43999999994</v>
      </c>
      <c r="W330" s="31"/>
      <c r="X330" s="31"/>
      <c r="Y330" s="30">
        <v>994594.97</v>
      </c>
      <c r="Z330" s="31"/>
      <c r="AA330" s="31"/>
      <c r="AB330" s="228"/>
      <c r="AC330" s="229"/>
      <c r="AD330" s="229"/>
      <c r="AE330" s="62">
        <v>1402.4192459171099</v>
      </c>
      <c r="AF330" s="62">
        <v>1402.4192459171099</v>
      </c>
      <c r="AG330" s="186">
        <v>2023</v>
      </c>
      <c r="AH330" s="1">
        <v>485476.52</v>
      </c>
      <c r="AI330" s="5">
        <f t="shared" si="72"/>
        <v>172426.91999999998</v>
      </c>
      <c r="AJ330" s="5">
        <f>+(K330*10+L330*20)*12*30</f>
        <v>6085655.9999999991</v>
      </c>
      <c r="AL330" s="37">
        <f t="shared" si="73"/>
        <v>0</v>
      </c>
      <c r="AM330" s="30">
        <v>0</v>
      </c>
      <c r="AN330" s="30">
        <v>0</v>
      </c>
      <c r="AO330" s="30">
        <v>1652498.41</v>
      </c>
      <c r="AP330" s="30">
        <v>0</v>
      </c>
      <c r="AQ330" s="30">
        <v>0</v>
      </c>
      <c r="AR330" s="30"/>
      <c r="AS330" s="30"/>
      <c r="AT330" s="30">
        <v>0</v>
      </c>
      <c r="AU330" s="30">
        <v>0</v>
      </c>
      <c r="AV330" s="30">
        <v>0</v>
      </c>
      <c r="AW330" s="30">
        <v>0</v>
      </c>
      <c r="AX330" s="30">
        <v>0</v>
      </c>
      <c r="AY330" s="30"/>
      <c r="AZ330" s="30"/>
      <c r="BA330" s="40"/>
      <c r="BB330" s="5">
        <f t="shared" si="70"/>
        <v>1652498.41</v>
      </c>
    </row>
    <row r="331" spans="1:54" hidden="1">
      <c r="A331" s="203">
        <f t="shared" si="69"/>
        <v>313</v>
      </c>
      <c r="B331" s="203">
        <f t="shared" si="71"/>
        <v>125</v>
      </c>
      <c r="C331" s="14" t="s">
        <v>104</v>
      </c>
      <c r="D331" s="14" t="s">
        <v>610</v>
      </c>
      <c r="E331" s="15">
        <v>1970</v>
      </c>
      <c r="F331" s="15">
        <v>2013</v>
      </c>
      <c r="G331" s="15" t="s">
        <v>3</v>
      </c>
      <c r="H331" s="102">
        <v>4</v>
      </c>
      <c r="I331" s="102">
        <v>2</v>
      </c>
      <c r="J331" s="62">
        <v>1437.6</v>
      </c>
      <c r="K331" s="62">
        <v>1362.7</v>
      </c>
      <c r="L331" s="62">
        <v>0</v>
      </c>
      <c r="M331" s="103">
        <v>55</v>
      </c>
      <c r="N331" s="28">
        <f t="shared" si="62"/>
        <v>1424229.1800000002</v>
      </c>
      <c r="O331" s="62"/>
      <c r="P331" s="30"/>
      <c r="Q331" s="31"/>
      <c r="R331" s="31"/>
      <c r="S331" s="30"/>
      <c r="T331" s="31"/>
      <c r="U331" s="31"/>
      <c r="V331" s="30">
        <v>706857.29</v>
      </c>
      <c r="W331" s="31"/>
      <c r="X331" s="31"/>
      <c r="Y331" s="30">
        <v>717371.89</v>
      </c>
      <c r="Z331" s="31"/>
      <c r="AA331" s="31"/>
      <c r="AB331" s="62"/>
      <c r="AC331" s="106"/>
      <c r="AD331" s="106"/>
      <c r="AE331" s="62">
        <v>1075.4766070666001</v>
      </c>
      <c r="AF331" s="62">
        <v>1075.4766070666001</v>
      </c>
      <c r="AG331" s="186">
        <v>2023</v>
      </c>
      <c r="AH331" s="1">
        <v>567861.89</v>
      </c>
      <c r="AI331" s="5">
        <f t="shared" si="72"/>
        <v>138995.4</v>
      </c>
      <c r="AJ331" s="5">
        <f>+(K331*10+L331*20)*12*30</f>
        <v>4905720</v>
      </c>
      <c r="AL331" s="37">
        <f t="shared" si="73"/>
        <v>0</v>
      </c>
      <c r="AM331" s="30">
        <v>0</v>
      </c>
      <c r="AN331" s="30">
        <v>0</v>
      </c>
      <c r="AO331" s="30">
        <v>1424229.18</v>
      </c>
      <c r="AP331" s="30">
        <v>0</v>
      </c>
      <c r="AQ331" s="30">
        <v>0</v>
      </c>
      <c r="AR331" s="30"/>
      <c r="AS331" s="30"/>
      <c r="AT331" s="30">
        <v>0</v>
      </c>
      <c r="AU331" s="30">
        <v>0</v>
      </c>
      <c r="AV331" s="30">
        <v>0</v>
      </c>
      <c r="AW331" s="30">
        <v>0</v>
      </c>
      <c r="AX331" s="30">
        <v>0</v>
      </c>
      <c r="AY331" s="30"/>
      <c r="AZ331" s="30"/>
      <c r="BA331" s="40"/>
      <c r="BB331" s="5">
        <f t="shared" si="70"/>
        <v>1424229.1800000002</v>
      </c>
    </row>
    <row r="332" spans="1:54" hidden="1">
      <c r="A332" s="203">
        <f t="shared" si="69"/>
        <v>314</v>
      </c>
      <c r="B332" s="203">
        <f t="shared" si="71"/>
        <v>126</v>
      </c>
      <c r="C332" s="204" t="s">
        <v>350</v>
      </c>
      <c r="D332" s="204" t="s">
        <v>611</v>
      </c>
      <c r="E332" s="15">
        <v>1977</v>
      </c>
      <c r="F332" s="15">
        <v>1977</v>
      </c>
      <c r="G332" s="15" t="s">
        <v>3</v>
      </c>
      <c r="H332" s="102">
        <v>5</v>
      </c>
      <c r="I332" s="102">
        <v>1</v>
      </c>
      <c r="J332" s="62">
        <v>1730.3</v>
      </c>
      <c r="K332" s="62">
        <v>1456.4</v>
      </c>
      <c r="L332" s="62">
        <v>0</v>
      </c>
      <c r="M332" s="103">
        <v>49</v>
      </c>
      <c r="N332" s="28">
        <f t="shared" si="62"/>
        <v>17277398.859999999</v>
      </c>
      <c r="O332" s="30"/>
      <c r="P332" s="30">
        <f>8955461.07+1753973.84-196116.1+3050599.92</f>
        <v>13563918.73</v>
      </c>
      <c r="Q332" s="31"/>
      <c r="R332" s="31"/>
      <c r="S332" s="30"/>
      <c r="T332" s="31"/>
      <c r="U332" s="31"/>
      <c r="V332" s="30">
        <v>1315.8</v>
      </c>
      <c r="W332" s="31"/>
      <c r="X332" s="31"/>
      <c r="Y332" s="30">
        <v>3712164.33</v>
      </c>
      <c r="Z332" s="31"/>
      <c r="AA332" s="31"/>
      <c r="AB332" s="62"/>
      <c r="AC332" s="106"/>
      <c r="AD332" s="106"/>
      <c r="AE332" s="62">
        <v>12258.2707206344</v>
      </c>
      <c r="AF332" s="62">
        <v>12258.2707206344</v>
      </c>
      <c r="AG332" s="186">
        <v>2023</v>
      </c>
      <c r="AH332" s="18">
        <f>590020.37-V145</f>
        <v>-147237</v>
      </c>
      <c r="AI332" s="5">
        <f t="shared" si="72"/>
        <v>148552.79999999999</v>
      </c>
      <c r="AJ332" s="5">
        <f>+(K332*10+L332*20)*12*30-Y145</f>
        <v>3789794.2800000003</v>
      </c>
      <c r="AL332" s="37">
        <f t="shared" si="73"/>
        <v>0</v>
      </c>
      <c r="AM332" s="30">
        <v>5026597.2300000004</v>
      </c>
      <c r="AN332" s="30">
        <v>1761810.43</v>
      </c>
      <c r="AO332" s="30">
        <v>2190965.2999999998</v>
      </c>
      <c r="AP332" s="30">
        <v>962343.08</v>
      </c>
      <c r="AQ332" s="30"/>
      <c r="AR332" s="30"/>
      <c r="AS332" s="30"/>
      <c r="AT332" s="30"/>
      <c r="AU332" s="30"/>
      <c r="AV332" s="30">
        <v>0</v>
      </c>
      <c r="AW332" s="30"/>
      <c r="AX332" s="30">
        <v>7229466.9100000001</v>
      </c>
      <c r="AY332" s="30"/>
      <c r="AZ332" s="30"/>
      <c r="BA332" s="109">
        <f>143369.99-37154.08</f>
        <v>106215.90999999999</v>
      </c>
      <c r="BB332" s="5">
        <f t="shared" si="70"/>
        <v>17277398.859999999</v>
      </c>
    </row>
    <row r="333" spans="1:54" hidden="1">
      <c r="A333" s="203">
        <f t="shared" si="69"/>
        <v>315</v>
      </c>
      <c r="B333" s="203">
        <f t="shared" si="71"/>
        <v>127</v>
      </c>
      <c r="C333" s="204" t="s">
        <v>112</v>
      </c>
      <c r="D333" s="204" t="s">
        <v>113</v>
      </c>
      <c r="E333" s="15">
        <v>1984</v>
      </c>
      <c r="F333" s="15">
        <v>1984</v>
      </c>
      <c r="G333" s="15" t="s">
        <v>3</v>
      </c>
      <c r="H333" s="102">
        <v>5</v>
      </c>
      <c r="I333" s="102">
        <v>4</v>
      </c>
      <c r="J333" s="62">
        <v>3359.4</v>
      </c>
      <c r="K333" s="62">
        <v>2391.8000000000002</v>
      </c>
      <c r="L333" s="62">
        <v>553.20000000000005</v>
      </c>
      <c r="M333" s="103">
        <v>62</v>
      </c>
      <c r="N333" s="28">
        <f t="shared" si="62"/>
        <v>17387080.559999999</v>
      </c>
      <c r="O333" s="30"/>
      <c r="P333" s="30">
        <f>10041027.15+2382250.6+408269.66+234825.18</f>
        <v>13066372.59</v>
      </c>
      <c r="Q333" s="31"/>
      <c r="R333" s="31"/>
      <c r="S333" s="30"/>
      <c r="T333" s="31"/>
      <c r="U333" s="31"/>
      <c r="V333" s="30">
        <v>442334.41</v>
      </c>
      <c r="W333" s="31"/>
      <c r="X333" s="31"/>
      <c r="Y333" s="30">
        <v>3878373.56</v>
      </c>
      <c r="Z333" s="31"/>
      <c r="AA333" s="31"/>
      <c r="AB333" s="62"/>
      <c r="AC333" s="106"/>
      <c r="AD333" s="106"/>
      <c r="AE333" s="62">
        <v>9447.5019991094505</v>
      </c>
      <c r="AF333" s="62">
        <v>9447.5019991094505</v>
      </c>
      <c r="AG333" s="186">
        <v>2023</v>
      </c>
      <c r="AH333" s="18">
        <f>1110865.63-V146</f>
        <v>618086.44999999995</v>
      </c>
      <c r="AI333" s="5">
        <f t="shared" si="72"/>
        <v>356816.39999999997</v>
      </c>
      <c r="AJ333" s="5">
        <f>+(K333*10+L333*20)*12*30-3112059.45-Y146</f>
        <v>3807576.7500000009</v>
      </c>
      <c r="AL333" s="37">
        <f t="shared" si="73"/>
        <v>0</v>
      </c>
      <c r="AM333" s="30"/>
      <c r="AN333" s="30"/>
      <c r="AO333" s="30">
        <v>3897843.76</v>
      </c>
      <c r="AP333" s="30"/>
      <c r="AQ333" s="30">
        <v>0</v>
      </c>
      <c r="AR333" s="30"/>
      <c r="AS333" s="30"/>
      <c r="AT333" s="30">
        <v>0</v>
      </c>
      <c r="AU333" s="30"/>
      <c r="AV333" s="30">
        <v>0</v>
      </c>
      <c r="AW333" s="30"/>
      <c r="AX333" s="30">
        <v>13397912.35</v>
      </c>
      <c r="AY333" s="30"/>
      <c r="AZ333" s="30"/>
      <c r="BA333" s="109">
        <v>91324.45</v>
      </c>
      <c r="BB333" s="5">
        <f t="shared" si="70"/>
        <v>17387080.559999999</v>
      </c>
    </row>
    <row r="334" spans="1:54" hidden="1">
      <c r="A334" s="203">
        <f t="shared" si="69"/>
        <v>316</v>
      </c>
      <c r="B334" s="203">
        <f t="shared" si="71"/>
        <v>128</v>
      </c>
      <c r="C334" s="14" t="s">
        <v>355</v>
      </c>
      <c r="D334" s="14" t="s">
        <v>612</v>
      </c>
      <c r="E334" s="15">
        <v>1972</v>
      </c>
      <c r="F334" s="15">
        <v>2013</v>
      </c>
      <c r="G334" s="15" t="s">
        <v>3</v>
      </c>
      <c r="H334" s="102">
        <v>4</v>
      </c>
      <c r="I334" s="102">
        <v>3</v>
      </c>
      <c r="J334" s="62">
        <v>1348.9</v>
      </c>
      <c r="K334" s="62">
        <v>1047.4000000000001</v>
      </c>
      <c r="L334" s="62">
        <v>182.5</v>
      </c>
      <c r="M334" s="103">
        <v>50</v>
      </c>
      <c r="N334" s="28">
        <f t="shared" si="62"/>
        <v>723055.9</v>
      </c>
      <c r="O334" s="62"/>
      <c r="P334" s="30"/>
      <c r="Q334" s="31"/>
      <c r="R334" s="31"/>
      <c r="S334" s="30"/>
      <c r="T334" s="31"/>
      <c r="U334" s="31"/>
      <c r="V334" s="30">
        <v>425426.03964238602</v>
      </c>
      <c r="W334" s="31"/>
      <c r="X334" s="31"/>
      <c r="Y334" s="30">
        <v>297629.860357614</v>
      </c>
      <c r="Z334" s="31"/>
      <c r="AA334" s="31"/>
      <c r="AB334" s="62"/>
      <c r="AC334" s="106"/>
      <c r="AD334" s="106"/>
      <c r="AE334" s="30">
        <v>3239.3243803168498</v>
      </c>
      <c r="AF334" s="30">
        <v>1362.2830200640001</v>
      </c>
      <c r="AG334" s="186">
        <v>2023</v>
      </c>
      <c r="AH334" s="98">
        <v>655483.31000000006</v>
      </c>
      <c r="AI334" s="5">
        <f>+(K334*10.5+L334*21)*12*0.85</f>
        <v>151268.04</v>
      </c>
      <c r="AJ334" s="5">
        <f>+(K334*10.5+L334*21)*12*30</f>
        <v>5338872.0000000009</v>
      </c>
      <c r="AL334" s="112">
        <f t="shared" si="73"/>
        <v>0</v>
      </c>
      <c r="AM334" s="30">
        <v>0</v>
      </c>
      <c r="AN334" s="30">
        <v>0</v>
      </c>
      <c r="AO334" s="30"/>
      <c r="AP334" s="30">
        <v>0</v>
      </c>
      <c r="AQ334" s="30">
        <v>0</v>
      </c>
      <c r="AR334" s="30"/>
      <c r="AS334" s="30"/>
      <c r="AT334" s="30">
        <v>0</v>
      </c>
      <c r="AU334" s="30">
        <v>0</v>
      </c>
      <c r="AV334" s="30"/>
      <c r="AW334" s="30">
        <v>0</v>
      </c>
      <c r="AX334" s="30">
        <v>723055.9</v>
      </c>
      <c r="AY334" s="30"/>
      <c r="AZ334" s="30"/>
      <c r="BA334" s="40"/>
      <c r="BB334" s="5">
        <f t="shared" si="70"/>
        <v>723055.9</v>
      </c>
    </row>
    <row r="335" spans="1:54" hidden="1">
      <c r="A335" s="203">
        <f t="shared" si="69"/>
        <v>317</v>
      </c>
      <c r="B335" s="203">
        <f t="shared" si="71"/>
        <v>129</v>
      </c>
      <c r="C335" s="14" t="s">
        <v>355</v>
      </c>
      <c r="D335" s="14" t="s">
        <v>614</v>
      </c>
      <c r="E335" s="15">
        <v>1977</v>
      </c>
      <c r="F335" s="15">
        <v>1977</v>
      </c>
      <c r="G335" s="15" t="s">
        <v>3</v>
      </c>
      <c r="H335" s="102">
        <v>4</v>
      </c>
      <c r="I335" s="102">
        <v>1</v>
      </c>
      <c r="J335" s="62">
        <v>1434.1</v>
      </c>
      <c r="K335" s="62">
        <v>1287.5999999999999</v>
      </c>
      <c r="L335" s="62">
        <v>100.6</v>
      </c>
      <c r="M335" s="103">
        <v>46</v>
      </c>
      <c r="N335" s="28">
        <f t="shared" si="62"/>
        <v>17170798.84</v>
      </c>
      <c r="O335" s="62"/>
      <c r="P335" s="238">
        <v>4825024.43</v>
      </c>
      <c r="Q335" s="239"/>
      <c r="R335" s="239"/>
      <c r="S335" s="30"/>
      <c r="T335" s="31"/>
      <c r="U335" s="31"/>
      <c r="V335" s="30">
        <v>755102.63</v>
      </c>
      <c r="W335" s="31"/>
      <c r="X335" s="31"/>
      <c r="Y335" s="30">
        <v>11590671.779999999</v>
      </c>
      <c r="Z335" s="31"/>
      <c r="AA335" s="31"/>
      <c r="AB335" s="30"/>
      <c r="AC335" s="32"/>
      <c r="AD335" s="32"/>
      <c r="AE335" s="30">
        <v>14353.416300094699</v>
      </c>
      <c r="AF335" s="30">
        <v>1374.2830200640001</v>
      </c>
      <c r="AG335" s="186">
        <v>2023</v>
      </c>
      <c r="AH335" s="98">
        <v>595652.15</v>
      </c>
      <c r="AI335" s="5">
        <f>+(K335*10.5+L335*21)*12*0.85</f>
        <v>159450.47999999998</v>
      </c>
      <c r="AJ335" s="5">
        <f>+(K335*10.5+L335*21)*12*30</f>
        <v>5627664</v>
      </c>
      <c r="AL335" s="112">
        <f t="shared" si="73"/>
        <v>0</v>
      </c>
      <c r="AM335" s="30">
        <v>4702523.4800000004</v>
      </c>
      <c r="AN335" s="30">
        <v>2022696.79</v>
      </c>
      <c r="AO335" s="30">
        <v>1167206.26</v>
      </c>
      <c r="AP335" s="30">
        <v>727220.9</v>
      </c>
      <c r="AQ335" s="30">
        <v>0</v>
      </c>
      <c r="AR335" s="30"/>
      <c r="AS335" s="30"/>
      <c r="AT335" s="30">
        <v>0</v>
      </c>
      <c r="AU335" s="30">
        <v>8051725.5099999998</v>
      </c>
      <c r="AV335" s="30"/>
      <c r="AW335" s="30"/>
      <c r="AX335" s="30">
        <v>499425.9</v>
      </c>
      <c r="AY335" s="30"/>
      <c r="AZ335" s="30"/>
      <c r="BA335" s="40"/>
      <c r="BB335" s="5">
        <f t="shared" si="70"/>
        <v>17170798.84</v>
      </c>
    </row>
    <row r="336" spans="1:54" s="142" customFormat="1" hidden="1">
      <c r="A336" s="203">
        <f t="shared" si="69"/>
        <v>318</v>
      </c>
      <c r="B336" s="203">
        <f t="shared" si="71"/>
        <v>130</v>
      </c>
      <c r="C336" s="204" t="s">
        <v>355</v>
      </c>
      <c r="D336" s="204" t="s">
        <v>615</v>
      </c>
      <c r="E336" s="15" t="s">
        <v>168</v>
      </c>
      <c r="F336" s="15"/>
      <c r="G336" s="15" t="s">
        <v>3</v>
      </c>
      <c r="H336" s="102" t="s">
        <v>169</v>
      </c>
      <c r="I336" s="102" t="s">
        <v>183</v>
      </c>
      <c r="J336" s="62">
        <v>6010.4</v>
      </c>
      <c r="K336" s="62">
        <v>4246.1000000000004</v>
      </c>
      <c r="L336" s="62">
        <v>999.9</v>
      </c>
      <c r="M336" s="103">
        <v>135</v>
      </c>
      <c r="N336" s="28">
        <f t="shared" si="62"/>
        <v>48104587.040000007</v>
      </c>
      <c r="O336" s="30">
        <v>0</v>
      </c>
      <c r="P336" s="30">
        <v>21572351.43</v>
      </c>
      <c r="Q336" s="31"/>
      <c r="R336" s="31"/>
      <c r="S336" s="30">
        <v>1821800</v>
      </c>
      <c r="T336" s="31"/>
      <c r="U336" s="31"/>
      <c r="V336" s="30">
        <v>4098343.92</v>
      </c>
      <c r="W336" s="31"/>
      <c r="X336" s="31"/>
      <c r="Y336" s="30">
        <v>20612091.690000001</v>
      </c>
      <c r="Z336" s="31"/>
      <c r="AA336" s="31"/>
      <c r="AB336" s="30"/>
      <c r="AC336" s="32"/>
      <c r="AD336" s="32"/>
      <c r="AE336" s="62">
        <v>10376.1525433728</v>
      </c>
      <c r="AF336" s="62">
        <v>10376.1525433728</v>
      </c>
      <c r="AG336" s="186">
        <v>2023</v>
      </c>
      <c r="AH336" s="166">
        <v>3461262.12</v>
      </c>
      <c r="AI336" s="5">
        <f>+(K336*10+L336*20)*12*0.85</f>
        <v>637081.79999999993</v>
      </c>
      <c r="AJ336" s="5">
        <f>+(K336*10+L336*20)*12*30</f>
        <v>22485240</v>
      </c>
      <c r="AK336" s="5"/>
      <c r="AL336" s="37">
        <f t="shared" si="73"/>
        <v>0</v>
      </c>
      <c r="AM336" s="30">
        <v>7902876.3399999999</v>
      </c>
      <c r="AN336" s="30">
        <v>4092711.1</v>
      </c>
      <c r="AO336" s="30">
        <v>4295794.0999999996</v>
      </c>
      <c r="AP336" s="30"/>
      <c r="AQ336" s="30"/>
      <c r="AR336" s="30"/>
      <c r="AS336" s="30"/>
      <c r="AT336" s="30"/>
      <c r="AU336" s="30">
        <v>28212794</v>
      </c>
      <c r="AV336" s="30"/>
      <c r="AW336" s="30"/>
      <c r="AX336" s="30">
        <v>2361500.36</v>
      </c>
      <c r="AY336" s="30">
        <v>1221768.28</v>
      </c>
      <c r="AZ336" s="30">
        <v>17142.86</v>
      </c>
      <c r="BA336" s="40"/>
      <c r="BB336" s="5">
        <f t="shared" si="70"/>
        <v>48104587.040000007</v>
      </c>
    </row>
    <row r="337" spans="1:54" hidden="1">
      <c r="A337" s="203">
        <f t="shared" si="69"/>
        <v>319</v>
      </c>
      <c r="B337" s="203">
        <f t="shared" si="71"/>
        <v>131</v>
      </c>
      <c r="C337" s="204" t="s">
        <v>355</v>
      </c>
      <c r="D337" s="204" t="s">
        <v>616</v>
      </c>
      <c r="E337" s="15">
        <v>1970</v>
      </c>
      <c r="F337" s="15">
        <v>1970</v>
      </c>
      <c r="G337" s="15" t="s">
        <v>3</v>
      </c>
      <c r="H337" s="102">
        <v>4</v>
      </c>
      <c r="I337" s="102">
        <v>1</v>
      </c>
      <c r="J337" s="62">
        <v>1343.6</v>
      </c>
      <c r="K337" s="62">
        <v>929.1</v>
      </c>
      <c r="L337" s="62">
        <v>317.89999999999998</v>
      </c>
      <c r="M337" s="103">
        <v>43</v>
      </c>
      <c r="N337" s="28">
        <f t="shared" si="62"/>
        <v>12188197.199999999</v>
      </c>
      <c r="O337" s="30"/>
      <c r="P337" s="30">
        <v>5781379.3947980097</v>
      </c>
      <c r="Q337" s="31"/>
      <c r="R337" s="31"/>
      <c r="S337" s="30"/>
      <c r="T337" s="31"/>
      <c r="U337" s="31"/>
      <c r="V337" s="30">
        <v>973196.25</v>
      </c>
      <c r="W337" s="31"/>
      <c r="X337" s="31"/>
      <c r="Y337" s="30">
        <v>5433621.5552019896</v>
      </c>
      <c r="Z337" s="31"/>
      <c r="AA337" s="31"/>
      <c r="AB337" s="30"/>
      <c r="AC337" s="32"/>
      <c r="AD337" s="32"/>
      <c r="AE337" s="30">
        <v>17559.785110085599</v>
      </c>
      <c r="AF337" s="30">
        <v>1364.2830200640001</v>
      </c>
      <c r="AG337" s="186">
        <v>2023</v>
      </c>
      <c r="AH337" s="98">
        <v>805595.46</v>
      </c>
      <c r="AI337" s="5">
        <f>+(K337*10.5+L337*21)*12*0.85</f>
        <v>167600.79</v>
      </c>
      <c r="AJ337" s="5">
        <f>+(K337*10.5+L337*21)*12*30</f>
        <v>5915322.0000000009</v>
      </c>
      <c r="AL337" s="112">
        <f t="shared" si="73"/>
        <v>0</v>
      </c>
      <c r="AM337" s="30">
        <v>2561264.63</v>
      </c>
      <c r="AN337" s="30">
        <v>1831960.83</v>
      </c>
      <c r="AO337" s="30">
        <v>1491883.2</v>
      </c>
      <c r="AP337" s="30">
        <v>879028.5</v>
      </c>
      <c r="AQ337" s="30">
        <v>0</v>
      </c>
      <c r="AR337" s="30"/>
      <c r="AS337" s="30"/>
      <c r="AT337" s="30"/>
      <c r="AU337" s="30">
        <v>4643142.2300000004</v>
      </c>
      <c r="AV337" s="30"/>
      <c r="AW337" s="30">
        <v>0</v>
      </c>
      <c r="AX337" s="30">
        <v>780917.81</v>
      </c>
      <c r="AY337" s="30"/>
      <c r="AZ337" s="30"/>
      <c r="BA337" s="40"/>
      <c r="BB337" s="5">
        <f t="shared" si="70"/>
        <v>12188197.199999999</v>
      </c>
    </row>
    <row r="338" spans="1:54" hidden="1">
      <c r="A338" s="203">
        <f t="shared" ref="A338:A369" si="74">+A337+1</f>
        <v>320</v>
      </c>
      <c r="B338" s="203">
        <f t="shared" si="71"/>
        <v>132</v>
      </c>
      <c r="C338" s="14" t="s">
        <v>355</v>
      </c>
      <c r="D338" s="14" t="s">
        <v>526</v>
      </c>
      <c r="E338" s="15">
        <v>1975</v>
      </c>
      <c r="F338" s="15">
        <v>1975</v>
      </c>
      <c r="G338" s="15" t="s">
        <v>3</v>
      </c>
      <c r="H338" s="102">
        <v>5</v>
      </c>
      <c r="I338" s="102">
        <v>5</v>
      </c>
      <c r="J338" s="62">
        <v>3670.4</v>
      </c>
      <c r="K338" s="62">
        <v>2958</v>
      </c>
      <c r="L338" s="62">
        <v>417.2</v>
      </c>
      <c r="M338" s="103">
        <v>116</v>
      </c>
      <c r="N338" s="28">
        <f t="shared" ref="N338:N401" si="75">SUM(P338:AB338)</f>
        <v>13503759.23</v>
      </c>
      <c r="O338" s="62"/>
      <c r="P338" s="30"/>
      <c r="Q338" s="31"/>
      <c r="R338" s="31"/>
      <c r="S338" s="30"/>
      <c r="T338" s="31"/>
      <c r="U338" s="31"/>
      <c r="V338" s="30">
        <v>1002672.83</v>
      </c>
      <c r="W338" s="31"/>
      <c r="X338" s="31"/>
      <c r="Y338" s="30">
        <v>12501086.4</v>
      </c>
      <c r="Z338" s="31"/>
      <c r="AA338" s="31"/>
      <c r="AB338" s="30"/>
      <c r="AC338" s="32"/>
      <c r="AD338" s="32"/>
      <c r="AE338" s="30">
        <v>17616.2217731655</v>
      </c>
      <c r="AF338" s="30">
        <v>1375.2830200640001</v>
      </c>
      <c r="AG338" s="186">
        <v>2023</v>
      </c>
      <c r="AH338" s="98">
        <v>1791489.77</v>
      </c>
      <c r="AI338" s="5">
        <f>+(K338*10.5+L338*21)*12*0.85</f>
        <v>406166.04</v>
      </c>
      <c r="AJ338" s="5">
        <f>+(K338*10.5+L338*21)*12*30</f>
        <v>14335271.999999998</v>
      </c>
      <c r="AL338" s="112">
        <f t="shared" si="73"/>
        <v>0</v>
      </c>
      <c r="AM338" s="30">
        <v>10796865.48</v>
      </c>
      <c r="AN338" s="30"/>
      <c r="AO338" s="30">
        <v>2146766.7400000002</v>
      </c>
      <c r="AP338" s="30"/>
      <c r="AQ338" s="30">
        <v>0</v>
      </c>
      <c r="AR338" s="30"/>
      <c r="AS338" s="30"/>
      <c r="AT338" s="30">
        <v>0</v>
      </c>
      <c r="AU338" s="30"/>
      <c r="AV338" s="30">
        <v>0</v>
      </c>
      <c r="AW338" s="30"/>
      <c r="AX338" s="30">
        <v>560127.01</v>
      </c>
      <c r="AY338" s="30"/>
      <c r="AZ338" s="30"/>
      <c r="BA338" s="40"/>
      <c r="BB338" s="5">
        <f t="shared" si="70"/>
        <v>13503759.23</v>
      </c>
    </row>
    <row r="339" spans="1:54" hidden="1">
      <c r="A339" s="203">
        <f t="shared" si="74"/>
        <v>321</v>
      </c>
      <c r="B339" s="203">
        <f t="shared" si="71"/>
        <v>133</v>
      </c>
      <c r="C339" s="14" t="s">
        <v>355</v>
      </c>
      <c r="D339" s="14" t="s">
        <v>618</v>
      </c>
      <c r="E339" s="15">
        <v>2002</v>
      </c>
      <c r="F339" s="15">
        <v>2002</v>
      </c>
      <c r="G339" s="15" t="s">
        <v>3</v>
      </c>
      <c r="H339" s="102">
        <v>9</v>
      </c>
      <c r="I339" s="102">
        <v>2</v>
      </c>
      <c r="J339" s="62">
        <v>5167.8999999999996</v>
      </c>
      <c r="K339" s="62">
        <v>4391.8999999999996</v>
      </c>
      <c r="L339" s="62">
        <v>0</v>
      </c>
      <c r="M339" s="103">
        <v>172</v>
      </c>
      <c r="N339" s="28">
        <f t="shared" si="75"/>
        <v>5375027</v>
      </c>
      <c r="O339" s="62"/>
      <c r="P339" s="30"/>
      <c r="Q339" s="31"/>
      <c r="R339" s="31"/>
      <c r="S339" s="30">
        <v>718272</v>
      </c>
      <c r="T339" s="31"/>
      <c r="U339" s="31"/>
      <c r="V339" s="30">
        <v>3024815.9802000001</v>
      </c>
      <c r="W339" s="31"/>
      <c r="X339" s="31"/>
      <c r="Y339" s="30">
        <v>1631939.0197999999</v>
      </c>
      <c r="Z339" s="31"/>
      <c r="AA339" s="31"/>
      <c r="AB339" s="30"/>
      <c r="AC339" s="32"/>
      <c r="AD339" s="32"/>
      <c r="AE339" s="62">
        <v>1635.44707302079</v>
      </c>
      <c r="AF339" s="62">
        <v>1635.44707302079</v>
      </c>
      <c r="AG339" s="186">
        <v>2023</v>
      </c>
      <c r="AH339" s="1">
        <v>2429458.7999999998</v>
      </c>
      <c r="AI339" s="5">
        <f>+(K339*13.29+L339*22.52)*12*0.85</f>
        <v>595357.18019999983</v>
      </c>
      <c r="AJ339" s="5">
        <f>+(K339*13.29+L339*22.52)*12*30</f>
        <v>21012606.359999996</v>
      </c>
      <c r="AL339" s="37">
        <f t="shared" si="73"/>
        <v>0</v>
      </c>
      <c r="AM339" s="188"/>
      <c r="AN339" s="30"/>
      <c r="AO339" s="30"/>
      <c r="AP339" s="30"/>
      <c r="AQ339" s="30"/>
      <c r="AR339" s="30"/>
      <c r="AS339" s="30"/>
      <c r="AT339" s="30">
        <v>5252854.22</v>
      </c>
      <c r="AU339" s="30"/>
      <c r="AV339" s="30"/>
      <c r="AW339" s="30"/>
      <c r="AX339" s="30"/>
      <c r="AY339" s="30">
        <v>103820.17</v>
      </c>
      <c r="AZ339" s="30">
        <v>18352.61</v>
      </c>
      <c r="BA339" s="40"/>
      <c r="BB339" s="5">
        <f t="shared" si="70"/>
        <v>5375027</v>
      </c>
    </row>
    <row r="340" spans="1:54" hidden="1">
      <c r="A340" s="203">
        <f t="shared" si="74"/>
        <v>322</v>
      </c>
      <c r="B340" s="203">
        <f t="shared" si="71"/>
        <v>134</v>
      </c>
      <c r="C340" s="14" t="s">
        <v>355</v>
      </c>
      <c r="D340" s="14" t="s">
        <v>529</v>
      </c>
      <c r="E340" s="15">
        <v>1970</v>
      </c>
      <c r="F340" s="15">
        <v>1970</v>
      </c>
      <c r="G340" s="15" t="s">
        <v>3</v>
      </c>
      <c r="H340" s="102">
        <v>4</v>
      </c>
      <c r="I340" s="102">
        <v>4</v>
      </c>
      <c r="J340" s="62">
        <v>1365.1</v>
      </c>
      <c r="K340" s="62">
        <v>1195.1600000000001</v>
      </c>
      <c r="L340" s="62">
        <v>66.400000000000006</v>
      </c>
      <c r="M340" s="103">
        <v>42</v>
      </c>
      <c r="N340" s="28">
        <f t="shared" si="75"/>
        <v>4053363.43</v>
      </c>
      <c r="O340" s="62"/>
      <c r="P340" s="30"/>
      <c r="Q340" s="31"/>
      <c r="R340" s="31"/>
      <c r="S340" s="30"/>
      <c r="T340" s="31"/>
      <c r="U340" s="31"/>
      <c r="V340" s="30">
        <v>558986.37600000005</v>
      </c>
      <c r="W340" s="31"/>
      <c r="X340" s="31"/>
      <c r="Y340" s="30">
        <v>3494377.054</v>
      </c>
      <c r="Z340" s="31"/>
      <c r="AA340" s="31"/>
      <c r="AB340" s="30"/>
      <c r="AC340" s="32"/>
      <c r="AD340" s="32"/>
      <c r="AE340" s="30">
        <v>4957.5323953059997</v>
      </c>
      <c r="AF340" s="30">
        <v>1366.2830200640001</v>
      </c>
      <c r="AG340" s="186">
        <v>2023</v>
      </c>
      <c r="AH340" s="1">
        <f>578197.03-161435.17</f>
        <v>416761.86</v>
      </c>
      <c r="AI340" s="5">
        <f>+(K340*10.5+L340*21)*12*0.85</f>
        <v>142224.516</v>
      </c>
      <c r="AJ340" s="5">
        <f>+(K340*10.5+L340*21)*12*30-1010645.26</f>
        <v>4009043.54</v>
      </c>
      <c r="AL340" s="112">
        <f t="shared" si="73"/>
        <v>0</v>
      </c>
      <c r="AM340" s="30"/>
      <c r="AN340" s="30"/>
      <c r="AO340" s="30"/>
      <c r="AP340" s="30"/>
      <c r="AQ340" s="30">
        <v>0</v>
      </c>
      <c r="AR340" s="30"/>
      <c r="AS340" s="30"/>
      <c r="AT340" s="30">
        <v>0</v>
      </c>
      <c r="AU340" s="30">
        <v>4053363.43</v>
      </c>
      <c r="AV340" s="30">
        <v>0</v>
      </c>
      <c r="AW340" s="30"/>
      <c r="AX340" s="30"/>
      <c r="AY340" s="30"/>
      <c r="AZ340" s="30"/>
      <c r="BA340" s="40"/>
      <c r="BB340" s="5">
        <f t="shared" si="70"/>
        <v>4053363.43</v>
      </c>
    </row>
    <row r="341" spans="1:54" hidden="1">
      <c r="A341" s="203">
        <f t="shared" si="74"/>
        <v>323</v>
      </c>
      <c r="B341" s="203">
        <f t="shared" si="71"/>
        <v>135</v>
      </c>
      <c r="C341" s="204" t="s">
        <v>355</v>
      </c>
      <c r="D341" s="204" t="s">
        <v>530</v>
      </c>
      <c r="E341" s="15">
        <v>1965</v>
      </c>
      <c r="F341" s="15">
        <v>1965</v>
      </c>
      <c r="G341" s="15" t="s">
        <v>3</v>
      </c>
      <c r="H341" s="102">
        <v>3</v>
      </c>
      <c r="I341" s="102">
        <v>2</v>
      </c>
      <c r="J341" s="62">
        <v>987.3</v>
      </c>
      <c r="K341" s="62">
        <v>918.1</v>
      </c>
      <c r="L341" s="62">
        <v>68.099999999999994</v>
      </c>
      <c r="M341" s="103">
        <v>38</v>
      </c>
      <c r="N341" s="28">
        <f t="shared" si="75"/>
        <v>11760430.970000001</v>
      </c>
      <c r="O341" s="30"/>
      <c r="P341" s="30">
        <v>9279245.7300000004</v>
      </c>
      <c r="Q341" s="31"/>
      <c r="R341" s="31"/>
      <c r="S341" s="30"/>
      <c r="T341" s="31"/>
      <c r="U341" s="31"/>
      <c r="V341" s="30">
        <v>516779.02</v>
      </c>
      <c r="W341" s="31"/>
      <c r="X341" s="31"/>
      <c r="Y341" s="30">
        <v>1964406.22</v>
      </c>
      <c r="Z341" s="31"/>
      <c r="AA341" s="31"/>
      <c r="AB341" s="30"/>
      <c r="AC341" s="32"/>
      <c r="AD341" s="32"/>
      <c r="AE341" s="30">
        <v>30592.073124501701</v>
      </c>
      <c r="AF341" s="30">
        <v>1367.2830200640001</v>
      </c>
      <c r="AG341" s="186">
        <v>2023</v>
      </c>
      <c r="AH341" s="98">
        <v>403863.49</v>
      </c>
      <c r="AI341" s="5">
        <f>+(K341*10.5+L341*21)*12*0.85</f>
        <v>112915.53000000001</v>
      </c>
      <c r="AJ341" s="5">
        <f>+(K341*10.5+L341*21)*12*30</f>
        <v>3985254.0000000005</v>
      </c>
      <c r="AL341" s="112">
        <f t="shared" si="73"/>
        <v>0</v>
      </c>
      <c r="AM341" s="30"/>
      <c r="AN341" s="30"/>
      <c r="AO341" s="30"/>
      <c r="AP341" s="30"/>
      <c r="AQ341" s="30"/>
      <c r="AR341" s="30"/>
      <c r="AS341" s="30"/>
      <c r="AT341" s="30">
        <v>0</v>
      </c>
      <c r="AU341" s="30">
        <v>10962284.210000001</v>
      </c>
      <c r="AV341" s="30">
        <v>0</v>
      </c>
      <c r="AW341" s="30"/>
      <c r="AX341" s="30">
        <v>798146.76</v>
      </c>
      <c r="AY341" s="30"/>
      <c r="AZ341" s="30"/>
      <c r="BA341" s="40"/>
      <c r="BB341" s="5">
        <f t="shared" si="70"/>
        <v>11760430.970000001</v>
      </c>
    </row>
    <row r="342" spans="1:54" hidden="1">
      <c r="A342" s="203">
        <f t="shared" si="74"/>
        <v>324</v>
      </c>
      <c r="B342" s="203">
        <f t="shared" si="71"/>
        <v>136</v>
      </c>
      <c r="C342" s="14" t="s">
        <v>355</v>
      </c>
      <c r="D342" s="14" t="s">
        <v>533</v>
      </c>
      <c r="E342" s="15">
        <v>1964</v>
      </c>
      <c r="F342" s="15">
        <v>1964</v>
      </c>
      <c r="G342" s="15" t="s">
        <v>3</v>
      </c>
      <c r="H342" s="102">
        <v>3</v>
      </c>
      <c r="I342" s="102">
        <v>1</v>
      </c>
      <c r="J342" s="62">
        <v>998.5</v>
      </c>
      <c r="K342" s="62">
        <v>928.6</v>
      </c>
      <c r="L342" s="62">
        <v>69.900000000000006</v>
      </c>
      <c r="M342" s="103">
        <v>43</v>
      </c>
      <c r="N342" s="28">
        <f t="shared" si="75"/>
        <v>5428761.3099999996</v>
      </c>
      <c r="O342" s="62"/>
      <c r="P342" s="30"/>
      <c r="Q342" s="31"/>
      <c r="R342" s="31"/>
      <c r="S342" s="30"/>
      <c r="T342" s="31"/>
      <c r="U342" s="31"/>
      <c r="V342" s="30">
        <v>597721.75</v>
      </c>
      <c r="W342" s="31"/>
      <c r="X342" s="31"/>
      <c r="Y342" s="30">
        <v>4831039.5599999996</v>
      </c>
      <c r="Z342" s="31"/>
      <c r="AA342" s="31"/>
      <c r="AB342" s="30"/>
      <c r="AC342" s="32"/>
      <c r="AD342" s="32"/>
      <c r="AE342" s="30">
        <v>30578.200032160199</v>
      </c>
      <c r="AF342" s="30">
        <v>1368.2830200640001</v>
      </c>
      <c r="AG342" s="186">
        <v>2023</v>
      </c>
      <c r="AH342" s="98">
        <v>483296.11</v>
      </c>
      <c r="AI342" s="5">
        <f>+(K342*10.5+L342*21)*12*0.85</f>
        <v>114425.64000000001</v>
      </c>
      <c r="AJ342" s="5">
        <f>+(K342*10.5+L342*21)*12*30</f>
        <v>4038552.0000000009</v>
      </c>
      <c r="AL342" s="112">
        <f t="shared" si="73"/>
        <v>0</v>
      </c>
      <c r="AM342" s="30"/>
      <c r="AN342" s="30"/>
      <c r="AO342" s="30"/>
      <c r="AP342" s="30"/>
      <c r="AQ342" s="30"/>
      <c r="AR342" s="30"/>
      <c r="AS342" s="30"/>
      <c r="AT342" s="30">
        <v>0</v>
      </c>
      <c r="AU342" s="30">
        <v>4587330.62</v>
      </c>
      <c r="AV342" s="30">
        <v>0</v>
      </c>
      <c r="AW342" s="30"/>
      <c r="AX342" s="30">
        <v>841430.69</v>
      </c>
      <c r="AY342" s="30"/>
      <c r="AZ342" s="30"/>
      <c r="BA342" s="40"/>
      <c r="BB342" s="5">
        <f t="shared" ref="BB342:BB359" si="76">N342-AL342</f>
        <v>5428761.3099999996</v>
      </c>
    </row>
    <row r="343" spans="1:54" hidden="1">
      <c r="A343" s="203">
        <f t="shared" si="74"/>
        <v>325</v>
      </c>
      <c r="B343" s="203">
        <f t="shared" si="71"/>
        <v>137</v>
      </c>
      <c r="C343" s="14" t="s">
        <v>355</v>
      </c>
      <c r="D343" s="14" t="s">
        <v>620</v>
      </c>
      <c r="E343" s="15">
        <v>1976</v>
      </c>
      <c r="F343" s="15">
        <v>1976</v>
      </c>
      <c r="G343" s="15" t="s">
        <v>3</v>
      </c>
      <c r="H343" s="102">
        <v>5</v>
      </c>
      <c r="I343" s="102">
        <v>5</v>
      </c>
      <c r="J343" s="62">
        <v>3760.4</v>
      </c>
      <c r="K343" s="62">
        <v>2861.4</v>
      </c>
      <c r="L343" s="62">
        <v>798.2</v>
      </c>
      <c r="M343" s="103">
        <v>103</v>
      </c>
      <c r="N343" s="28">
        <f t="shared" si="75"/>
        <v>1345945.45</v>
      </c>
      <c r="O343" s="62"/>
      <c r="P343" s="30"/>
      <c r="Q343" s="31"/>
      <c r="R343" s="31"/>
      <c r="S343" s="30"/>
      <c r="T343" s="31"/>
      <c r="U343" s="31"/>
      <c r="V343" s="30">
        <v>294555.73</v>
      </c>
      <c r="W343" s="31"/>
      <c r="X343" s="31"/>
      <c r="Y343" s="30">
        <v>1051389.72</v>
      </c>
      <c r="Z343" s="31"/>
      <c r="AA343" s="31"/>
      <c r="AB343" s="30"/>
      <c r="AC343" s="32"/>
      <c r="AD343" s="32"/>
      <c r="AE343" s="30">
        <v>12570.0152707284</v>
      </c>
      <c r="AF343" s="30">
        <v>1376.2830200640001</v>
      </c>
      <c r="AG343" s="186">
        <v>2023</v>
      </c>
      <c r="AH343" s="98">
        <v>1678565.67</v>
      </c>
      <c r="AI343" s="5">
        <f>+(K343*10.5+L343*21)*12*0.85</f>
        <v>477430.38</v>
      </c>
      <c r="AJ343" s="5">
        <f>+(K343*10.5+L343*21)*12*30</f>
        <v>16850484</v>
      </c>
      <c r="AL343" s="112">
        <f t="shared" si="73"/>
        <v>0</v>
      </c>
      <c r="AM343" s="30"/>
      <c r="AN343" s="30"/>
      <c r="AO343" s="30"/>
      <c r="AP343" s="30"/>
      <c r="AQ343" s="30">
        <v>0</v>
      </c>
      <c r="AR343" s="30"/>
      <c r="AS343" s="30"/>
      <c r="AT343" s="30">
        <v>0</v>
      </c>
      <c r="AU343" s="30"/>
      <c r="AV343" s="30"/>
      <c r="AW343" s="30"/>
      <c r="AX343" s="30">
        <v>1345945.45</v>
      </c>
      <c r="AY343" s="30"/>
      <c r="AZ343" s="30"/>
      <c r="BA343" s="40"/>
      <c r="BB343" s="5">
        <f t="shared" si="76"/>
        <v>1345945.45</v>
      </c>
    </row>
    <row r="344" spans="1:54" hidden="1">
      <c r="A344" s="203">
        <f t="shared" si="74"/>
        <v>326</v>
      </c>
      <c r="B344" s="203">
        <f t="shared" si="71"/>
        <v>138</v>
      </c>
      <c r="C344" s="204" t="s">
        <v>355</v>
      </c>
      <c r="D344" s="204" t="s">
        <v>538</v>
      </c>
      <c r="E344" s="15">
        <v>1967</v>
      </c>
      <c r="F344" s="15">
        <v>1967</v>
      </c>
      <c r="G344" s="15" t="s">
        <v>3</v>
      </c>
      <c r="H344" s="102">
        <v>3</v>
      </c>
      <c r="I344" s="102">
        <v>2</v>
      </c>
      <c r="J344" s="62">
        <v>994.3</v>
      </c>
      <c r="K344" s="62">
        <v>775.2</v>
      </c>
      <c r="L344" s="62">
        <v>168.7</v>
      </c>
      <c r="M344" s="103">
        <v>26</v>
      </c>
      <c r="N344" s="28">
        <f t="shared" si="75"/>
        <v>17534237.759999998</v>
      </c>
      <c r="O344" s="30"/>
      <c r="P344" s="30">
        <v>6263171.3899999997</v>
      </c>
      <c r="Q344" s="31"/>
      <c r="R344" s="31"/>
      <c r="S344" s="30"/>
      <c r="T344" s="31"/>
      <c r="U344" s="31"/>
      <c r="V344" s="30">
        <v>283126.34999999998</v>
      </c>
      <c r="W344" s="31"/>
      <c r="X344" s="31"/>
      <c r="Y344" s="30">
        <v>10987940.02</v>
      </c>
      <c r="Z344" s="31"/>
      <c r="AA344" s="31"/>
      <c r="AB344" s="30"/>
      <c r="AC344" s="32"/>
      <c r="AD344" s="32"/>
      <c r="AE344" s="62">
        <v>20448.435422200801</v>
      </c>
      <c r="AF344" s="62">
        <v>20448.435422200801</v>
      </c>
      <c r="AG344" s="186">
        <v>2023</v>
      </c>
      <c r="AH344" s="1">
        <v>373291.08</v>
      </c>
      <c r="AI344" s="5">
        <f>+(K344*10+L344*20)*12*0.85</f>
        <v>113485.2</v>
      </c>
      <c r="AJ344" s="5">
        <f>+(K344*10+L344*20)*12*30</f>
        <v>4005360</v>
      </c>
      <c r="AL344" s="37">
        <f t="shared" si="73"/>
        <v>0</v>
      </c>
      <c r="AM344" s="30"/>
      <c r="AN344" s="30"/>
      <c r="AO344" s="30"/>
      <c r="AP344" s="30"/>
      <c r="AQ344" s="30">
        <v>0</v>
      </c>
      <c r="AR344" s="30"/>
      <c r="AS344" s="30"/>
      <c r="AT344" s="30">
        <v>0</v>
      </c>
      <c r="AU344" s="30">
        <v>8787135.9700000007</v>
      </c>
      <c r="AV344" s="30">
        <v>0</v>
      </c>
      <c r="AW344" s="30">
        <v>8747101.7899999991</v>
      </c>
      <c r="AX344" s="30"/>
      <c r="AY344" s="30"/>
      <c r="AZ344" s="30"/>
      <c r="BA344" s="40"/>
      <c r="BB344" s="5">
        <f t="shared" si="76"/>
        <v>17534237.759999998</v>
      </c>
    </row>
    <row r="345" spans="1:54" hidden="1">
      <c r="A345" s="203">
        <f t="shared" si="74"/>
        <v>327</v>
      </c>
      <c r="B345" s="203">
        <f t="shared" ref="B345:B378" si="77">+B344+1</f>
        <v>139</v>
      </c>
      <c r="C345" s="204" t="s">
        <v>355</v>
      </c>
      <c r="D345" s="204" t="s">
        <v>539</v>
      </c>
      <c r="E345" s="15">
        <v>1970</v>
      </c>
      <c r="F345" s="15">
        <v>1970</v>
      </c>
      <c r="G345" s="15" t="s">
        <v>3</v>
      </c>
      <c r="H345" s="102">
        <v>3</v>
      </c>
      <c r="I345" s="102">
        <v>3</v>
      </c>
      <c r="J345" s="62">
        <v>1002.4</v>
      </c>
      <c r="K345" s="62">
        <v>930.4</v>
      </c>
      <c r="L345" s="62">
        <v>71.8</v>
      </c>
      <c r="M345" s="103">
        <v>40</v>
      </c>
      <c r="N345" s="28">
        <f t="shared" si="75"/>
        <v>12625636.219999999</v>
      </c>
      <c r="O345" s="30"/>
      <c r="P345" s="30">
        <v>7402149.0800000001</v>
      </c>
      <c r="Q345" s="31"/>
      <c r="R345" s="31"/>
      <c r="S345" s="30"/>
      <c r="T345" s="31"/>
      <c r="U345" s="31"/>
      <c r="V345" s="30">
        <v>618572.46</v>
      </c>
      <c r="W345" s="31"/>
      <c r="X345" s="31"/>
      <c r="Y345" s="30">
        <v>4604914.68</v>
      </c>
      <c r="Z345" s="31"/>
      <c r="AA345" s="31"/>
      <c r="AB345" s="30"/>
      <c r="AC345" s="32"/>
      <c r="AD345" s="32"/>
      <c r="AE345" s="30">
        <v>30704.5547820676</v>
      </c>
      <c r="AF345" s="30">
        <v>1370.2830200640001</v>
      </c>
      <c r="AG345" s="186">
        <v>2023</v>
      </c>
      <c r="AH345" s="98">
        <v>503547.06</v>
      </c>
      <c r="AI345" s="5">
        <f>+(K345*10.5+L345*21)*12*0.85</f>
        <v>115025.39999999997</v>
      </c>
      <c r="AJ345" s="5">
        <f>+(K345*10.5+L345*21)*12*30</f>
        <v>4059719.9999999991</v>
      </c>
      <c r="AL345" s="112">
        <f t="shared" si="73"/>
        <v>0</v>
      </c>
      <c r="AM345" s="30"/>
      <c r="AN345" s="30"/>
      <c r="AO345" s="30"/>
      <c r="AP345" s="30"/>
      <c r="AQ345" s="30">
        <v>0</v>
      </c>
      <c r="AR345" s="30"/>
      <c r="AS345" s="30"/>
      <c r="AT345" s="30">
        <v>0</v>
      </c>
      <c r="AU345" s="30">
        <v>11687466.91</v>
      </c>
      <c r="AV345" s="30">
        <v>0</v>
      </c>
      <c r="AW345" s="30"/>
      <c r="AX345" s="30">
        <v>938169.31</v>
      </c>
      <c r="AY345" s="30"/>
      <c r="AZ345" s="30"/>
      <c r="BA345" s="40"/>
      <c r="BB345" s="5">
        <f t="shared" si="76"/>
        <v>12625636.219999999</v>
      </c>
    </row>
    <row r="346" spans="1:54" hidden="1">
      <c r="A346" s="203">
        <f t="shared" si="74"/>
        <v>328</v>
      </c>
      <c r="B346" s="203">
        <f t="shared" si="77"/>
        <v>140</v>
      </c>
      <c r="C346" s="204" t="s">
        <v>355</v>
      </c>
      <c r="D346" s="204" t="s">
        <v>621</v>
      </c>
      <c r="E346" s="15">
        <v>1975</v>
      </c>
      <c r="F346" s="15">
        <v>1975</v>
      </c>
      <c r="G346" s="15" t="s">
        <v>3</v>
      </c>
      <c r="H346" s="102">
        <v>4</v>
      </c>
      <c r="I346" s="102">
        <v>1</v>
      </c>
      <c r="J346" s="62">
        <v>1425.2</v>
      </c>
      <c r="K346" s="62">
        <v>1131.8</v>
      </c>
      <c r="L346" s="62">
        <v>129.9</v>
      </c>
      <c r="M346" s="103">
        <v>56</v>
      </c>
      <c r="N346" s="28">
        <f t="shared" si="75"/>
        <v>14985012.029999999</v>
      </c>
      <c r="O346" s="30"/>
      <c r="P346" s="30">
        <v>8246837.0284967097</v>
      </c>
      <c r="Q346" s="31"/>
      <c r="R346" s="31"/>
      <c r="S346" s="30"/>
      <c r="T346" s="31"/>
      <c r="U346" s="31"/>
      <c r="V346" s="30">
        <v>873157.21</v>
      </c>
      <c r="W346" s="31"/>
      <c r="X346" s="31"/>
      <c r="Y346" s="30">
        <v>5865017.7915032897</v>
      </c>
      <c r="Z346" s="31"/>
      <c r="AA346" s="31"/>
      <c r="AB346" s="30"/>
      <c r="AC346" s="32"/>
      <c r="AD346" s="32"/>
      <c r="AE346" s="30">
        <v>12907.6391731851</v>
      </c>
      <c r="AF346" s="30">
        <v>1379.2830200640001</v>
      </c>
      <c r="AG346" s="186">
        <v>2023</v>
      </c>
      <c r="AH346" s="98">
        <v>575076.49</v>
      </c>
      <c r="AI346" s="5">
        <f>+(K346*10.5+L346*21)*12*0.85</f>
        <v>149040.35999999999</v>
      </c>
      <c r="AJ346" s="5">
        <f>+(K346*10.5+L346*21)*12*30</f>
        <v>5260247.9999999991</v>
      </c>
      <c r="AL346" s="112">
        <f t="shared" si="73"/>
        <v>0</v>
      </c>
      <c r="AM346" s="30">
        <v>3850862.68</v>
      </c>
      <c r="AN346" s="30">
        <v>1527090.45</v>
      </c>
      <c r="AO346" s="30">
        <v>1632419.86</v>
      </c>
      <c r="AP346" s="30">
        <v>1086100.56</v>
      </c>
      <c r="AQ346" s="30">
        <v>0</v>
      </c>
      <c r="AR346" s="30"/>
      <c r="AS346" s="30"/>
      <c r="AT346" s="30">
        <v>0</v>
      </c>
      <c r="AU346" s="30">
        <v>5722546.3200000003</v>
      </c>
      <c r="AV346" s="30"/>
      <c r="AW346" s="30"/>
      <c r="AX346" s="30">
        <v>1165992.1599999999</v>
      </c>
      <c r="AY346" s="30"/>
      <c r="AZ346" s="30"/>
      <c r="BA346" s="40"/>
      <c r="BB346" s="5">
        <f t="shared" si="76"/>
        <v>14985012.029999999</v>
      </c>
    </row>
    <row r="347" spans="1:54" hidden="1">
      <c r="A347" s="203">
        <f t="shared" si="74"/>
        <v>329</v>
      </c>
      <c r="B347" s="203">
        <f t="shared" si="77"/>
        <v>141</v>
      </c>
      <c r="C347" s="204" t="s">
        <v>355</v>
      </c>
      <c r="D347" s="204" t="s">
        <v>360</v>
      </c>
      <c r="E347" s="15">
        <v>1962</v>
      </c>
      <c r="F347" s="15">
        <v>1962</v>
      </c>
      <c r="G347" s="15" t="s">
        <v>3</v>
      </c>
      <c r="H347" s="102">
        <v>3</v>
      </c>
      <c r="I347" s="102">
        <v>2</v>
      </c>
      <c r="J347" s="62">
        <v>937.1</v>
      </c>
      <c r="K347" s="62">
        <v>723.7</v>
      </c>
      <c r="L347" s="62">
        <v>213.4</v>
      </c>
      <c r="M347" s="103">
        <v>26</v>
      </c>
      <c r="N347" s="28">
        <f t="shared" si="75"/>
        <v>9645371.620000001</v>
      </c>
      <c r="O347" s="30"/>
      <c r="P347" s="30">
        <v>5649280.0099999998</v>
      </c>
      <c r="Q347" s="31"/>
      <c r="R347" s="31"/>
      <c r="S347" s="30"/>
      <c r="T347" s="31"/>
      <c r="U347" s="31"/>
      <c r="V347" s="30">
        <v>218510.12</v>
      </c>
      <c r="W347" s="31"/>
      <c r="X347" s="31"/>
      <c r="Y347" s="30">
        <v>3777581.49</v>
      </c>
      <c r="Z347" s="31"/>
      <c r="AA347" s="31"/>
      <c r="AB347" s="30"/>
      <c r="AC347" s="32"/>
      <c r="AD347" s="32"/>
      <c r="AE347" s="62">
        <v>10649.245660279599</v>
      </c>
      <c r="AF347" s="62">
        <v>10649.245660279599</v>
      </c>
      <c r="AG347" s="186">
        <v>2023</v>
      </c>
      <c r="AH347" s="18">
        <f>294416.56-V152</f>
        <v>101159.12</v>
      </c>
      <c r="AI347" s="5">
        <f>+(K347*10+L347*20)*12*0.85</f>
        <v>117351</v>
      </c>
      <c r="AJ347" s="5">
        <f>+(K347*10+L347*20)*12*30-Y152</f>
        <v>3568730.1160511998</v>
      </c>
      <c r="AL347" s="37">
        <f t="shared" si="73"/>
        <v>0</v>
      </c>
      <c r="AM347" s="30"/>
      <c r="AN347" s="30"/>
      <c r="AO347" s="30">
        <v>1203384.3999999999</v>
      </c>
      <c r="AP347" s="30"/>
      <c r="AQ347" s="30">
        <v>0</v>
      </c>
      <c r="AR347" s="30"/>
      <c r="AS347" s="30"/>
      <c r="AT347" s="30">
        <v>0</v>
      </c>
      <c r="AU347" s="30"/>
      <c r="AV347" s="30">
        <v>0</v>
      </c>
      <c r="AW347" s="30">
        <v>8441987.2200000007</v>
      </c>
      <c r="AX347" s="30"/>
      <c r="AY347" s="30"/>
      <c r="AZ347" s="30"/>
      <c r="BA347" s="40"/>
      <c r="BB347" s="5">
        <f t="shared" si="76"/>
        <v>9645371.620000001</v>
      </c>
    </row>
    <row r="348" spans="1:54" hidden="1">
      <c r="A348" s="203">
        <f t="shared" si="74"/>
        <v>330</v>
      </c>
      <c r="B348" s="203">
        <f t="shared" si="77"/>
        <v>142</v>
      </c>
      <c r="C348" s="204" t="s">
        <v>355</v>
      </c>
      <c r="D348" s="204" t="s">
        <v>622</v>
      </c>
      <c r="E348" s="15">
        <v>1973</v>
      </c>
      <c r="F348" s="15">
        <v>1973</v>
      </c>
      <c r="G348" s="15" t="s">
        <v>3</v>
      </c>
      <c r="H348" s="102">
        <v>4</v>
      </c>
      <c r="I348" s="102">
        <v>1</v>
      </c>
      <c r="J348" s="62">
        <v>1419.3</v>
      </c>
      <c r="K348" s="62">
        <v>1084.2</v>
      </c>
      <c r="L348" s="62">
        <v>165.8</v>
      </c>
      <c r="M348" s="103">
        <v>48</v>
      </c>
      <c r="N348" s="28">
        <f t="shared" si="75"/>
        <v>8377348.3599999994</v>
      </c>
      <c r="O348" s="30"/>
      <c r="P348" s="30">
        <v>3311910.56</v>
      </c>
      <c r="Q348" s="31"/>
      <c r="R348" s="31"/>
      <c r="S348" s="30"/>
      <c r="T348" s="31"/>
      <c r="U348" s="31"/>
      <c r="V348" s="30">
        <v>829165.08</v>
      </c>
      <c r="W348" s="31"/>
      <c r="X348" s="31"/>
      <c r="Y348" s="30">
        <v>4236272.72</v>
      </c>
      <c r="Z348" s="31"/>
      <c r="AA348" s="31"/>
      <c r="AB348" s="30"/>
      <c r="AC348" s="32"/>
      <c r="AD348" s="32"/>
      <c r="AE348" s="30">
        <v>11413.8305499995</v>
      </c>
      <c r="AF348" s="30">
        <v>1373.2830200640001</v>
      </c>
      <c r="AG348" s="186">
        <v>2023</v>
      </c>
      <c r="AH348" s="98">
        <v>677532.9</v>
      </c>
      <c r="AI348" s="5">
        <f>+(K348*10.5+L348*21)*12*0.85</f>
        <v>151632.18000000002</v>
      </c>
      <c r="AJ348" s="5">
        <f>+(K348*10.5+L348*21)*12*30</f>
        <v>5351724.0000000009</v>
      </c>
      <c r="AL348" s="112">
        <f t="shared" si="73"/>
        <v>0</v>
      </c>
      <c r="AM348" s="30"/>
      <c r="AN348" s="30"/>
      <c r="AO348" s="30">
        <v>1619194.32</v>
      </c>
      <c r="AP348" s="30"/>
      <c r="AQ348" s="30">
        <v>0</v>
      </c>
      <c r="AR348" s="30"/>
      <c r="AS348" s="30"/>
      <c r="AT348" s="30">
        <v>0</v>
      </c>
      <c r="AU348" s="30">
        <v>5914808.4800000004</v>
      </c>
      <c r="AV348" s="30">
        <v>0</v>
      </c>
      <c r="AW348" s="30">
        <v>0</v>
      </c>
      <c r="AX348" s="30">
        <v>843345.56</v>
      </c>
      <c r="AY348" s="30"/>
      <c r="AZ348" s="30"/>
      <c r="BA348" s="40"/>
      <c r="BB348" s="5">
        <f t="shared" si="76"/>
        <v>8377348.3599999994</v>
      </c>
    </row>
    <row r="349" spans="1:54" hidden="1">
      <c r="A349" s="203">
        <f t="shared" si="74"/>
        <v>331</v>
      </c>
      <c r="B349" s="203">
        <f t="shared" si="77"/>
        <v>143</v>
      </c>
      <c r="C349" s="204" t="s">
        <v>116</v>
      </c>
      <c r="D349" s="204" t="s">
        <v>117</v>
      </c>
      <c r="E349" s="15">
        <v>1994</v>
      </c>
      <c r="F349" s="15">
        <v>2015</v>
      </c>
      <c r="G349" s="15" t="s">
        <v>3</v>
      </c>
      <c r="H349" s="102">
        <v>9</v>
      </c>
      <c r="I349" s="102">
        <v>4</v>
      </c>
      <c r="J349" s="62">
        <v>9059.2999999999993</v>
      </c>
      <c r="K349" s="62">
        <v>7958.2</v>
      </c>
      <c r="L349" s="62">
        <v>49</v>
      </c>
      <c r="M349" s="103">
        <v>376</v>
      </c>
      <c r="N349" s="28">
        <f t="shared" si="75"/>
        <v>7075919.6099999994</v>
      </c>
      <c r="O349" s="30"/>
      <c r="P349" s="30">
        <v>4245695.2699999996</v>
      </c>
      <c r="Q349" s="31"/>
      <c r="R349" s="31"/>
      <c r="S349" s="30"/>
      <c r="T349" s="31"/>
      <c r="U349" s="31"/>
      <c r="V349" s="30">
        <v>251488.14</v>
      </c>
      <c r="W349" s="31"/>
      <c r="X349" s="31"/>
      <c r="Y349" s="30">
        <v>2578736.2000000002</v>
      </c>
      <c r="Z349" s="31"/>
      <c r="AA349" s="31"/>
      <c r="AB349" s="30"/>
      <c r="AC349" s="32"/>
      <c r="AD349" s="32"/>
      <c r="AE349" s="30">
        <v>11258.2479020311</v>
      </c>
      <c r="AF349" s="30">
        <v>1384.2830200640001</v>
      </c>
      <c r="AG349" s="186">
        <v>2023</v>
      </c>
      <c r="AH349" s="98">
        <f>5650783.47-5939473.29</f>
        <v>-288689.8200000003</v>
      </c>
      <c r="AI349" s="5">
        <f>+(K349*13.95+L349*23.65)*12*0.85</f>
        <v>1144192.548</v>
      </c>
      <c r="AJ349" s="5">
        <f>+(K349*13.95+L349*23.65)*12*30</f>
        <v>40383266.399999999</v>
      </c>
      <c r="AL349" s="112">
        <f t="shared" si="73"/>
        <v>0</v>
      </c>
      <c r="AM349" s="30"/>
      <c r="AN349" s="30"/>
      <c r="AO349" s="30">
        <v>6760576.6399999997</v>
      </c>
      <c r="AP349" s="30"/>
      <c r="AQ349" s="30">
        <v>0</v>
      </c>
      <c r="AR349" s="30"/>
      <c r="AS349" s="30"/>
      <c r="AT349" s="30"/>
      <c r="AU349" s="30">
        <v>0</v>
      </c>
      <c r="AV349" s="30">
        <v>0</v>
      </c>
      <c r="AW349" s="30"/>
      <c r="AX349" s="30">
        <v>0</v>
      </c>
      <c r="AY349" s="30">
        <v>312485.83</v>
      </c>
      <c r="AZ349" s="30">
        <v>2857.14</v>
      </c>
      <c r="BA349" s="40"/>
      <c r="BB349" s="5">
        <f t="shared" si="76"/>
        <v>7075919.6099999994</v>
      </c>
    </row>
    <row r="350" spans="1:54" hidden="1">
      <c r="A350" s="203">
        <f t="shared" si="74"/>
        <v>332</v>
      </c>
      <c r="B350" s="203">
        <f t="shared" si="77"/>
        <v>144</v>
      </c>
      <c r="C350" s="204" t="s">
        <v>116</v>
      </c>
      <c r="D350" s="204" t="s">
        <v>125</v>
      </c>
      <c r="E350" s="15">
        <v>1986</v>
      </c>
      <c r="F350" s="15">
        <v>2015</v>
      </c>
      <c r="G350" s="15" t="s">
        <v>3</v>
      </c>
      <c r="H350" s="102">
        <v>9</v>
      </c>
      <c r="I350" s="102">
        <v>1</v>
      </c>
      <c r="J350" s="62">
        <v>2147.3000000000002</v>
      </c>
      <c r="K350" s="62">
        <v>1765</v>
      </c>
      <c r="L350" s="62">
        <v>118.1</v>
      </c>
      <c r="M350" s="103">
        <v>71</v>
      </c>
      <c r="N350" s="28">
        <f t="shared" si="75"/>
        <v>2729687.92</v>
      </c>
      <c r="O350" s="30"/>
      <c r="P350" s="30">
        <v>1467769.69</v>
      </c>
      <c r="Q350" s="31"/>
      <c r="R350" s="31"/>
      <c r="S350" s="30"/>
      <c r="T350" s="31"/>
      <c r="U350" s="31"/>
      <c r="V350" s="30"/>
      <c r="W350" s="31"/>
      <c r="X350" s="31"/>
      <c r="Y350" s="30">
        <v>1261918.23</v>
      </c>
      <c r="Z350" s="31"/>
      <c r="AA350" s="31"/>
      <c r="AB350" s="30"/>
      <c r="AC350" s="32"/>
      <c r="AD350" s="32"/>
      <c r="AE350" s="62">
        <v>10650.4915964548</v>
      </c>
      <c r="AF350" s="62">
        <v>10650.4915964548</v>
      </c>
      <c r="AG350" s="186">
        <v>2023</v>
      </c>
      <c r="AH350" s="1">
        <v>1032655.91</v>
      </c>
      <c r="AI350" s="5">
        <f>+(K350*13.29+L350*22.52)*12*0.85</f>
        <v>266387.91239999997</v>
      </c>
      <c r="AJ350" s="5">
        <f>+(K350*13.29+L350*22.52)*12*30</f>
        <v>9401926.3200000003</v>
      </c>
      <c r="AL350" s="37">
        <f t="shared" si="73"/>
        <v>0</v>
      </c>
      <c r="AM350" s="30"/>
      <c r="AN350" s="30"/>
      <c r="AO350" s="30"/>
      <c r="AP350" s="30"/>
      <c r="AQ350" s="30">
        <v>0</v>
      </c>
      <c r="AR350" s="30"/>
      <c r="AS350" s="30"/>
      <c r="AT350" s="30">
        <v>0</v>
      </c>
      <c r="AU350" s="30"/>
      <c r="AV350" s="30">
        <v>0</v>
      </c>
      <c r="AW350" s="30">
        <v>0</v>
      </c>
      <c r="AX350" s="30">
        <v>2729687.92</v>
      </c>
      <c r="AY350" s="30"/>
      <c r="AZ350" s="30"/>
      <c r="BA350" s="40"/>
      <c r="BB350" s="5">
        <f t="shared" si="76"/>
        <v>2729687.92</v>
      </c>
    </row>
    <row r="351" spans="1:54" hidden="1">
      <c r="A351" s="203">
        <f t="shared" si="74"/>
        <v>333</v>
      </c>
      <c r="B351" s="203">
        <f t="shared" si="77"/>
        <v>145</v>
      </c>
      <c r="C351" s="204" t="s">
        <v>116</v>
      </c>
      <c r="D351" s="204" t="s">
        <v>127</v>
      </c>
      <c r="E351" s="15">
        <v>1991</v>
      </c>
      <c r="F351" s="15">
        <v>2015</v>
      </c>
      <c r="G351" s="15" t="s">
        <v>3</v>
      </c>
      <c r="H351" s="102">
        <v>9</v>
      </c>
      <c r="I351" s="102">
        <v>3</v>
      </c>
      <c r="J351" s="62">
        <v>6893.1</v>
      </c>
      <c r="K351" s="62">
        <v>6102.4</v>
      </c>
      <c r="L351" s="62">
        <v>65.5</v>
      </c>
      <c r="M351" s="103">
        <v>255</v>
      </c>
      <c r="N351" s="28">
        <f t="shared" si="75"/>
        <v>9222273.9900000002</v>
      </c>
      <c r="O351" s="30"/>
      <c r="P351" s="30">
        <v>447896.65</v>
      </c>
      <c r="Q351" s="31"/>
      <c r="R351" s="31"/>
      <c r="S351" s="30"/>
      <c r="T351" s="31"/>
      <c r="U351" s="31"/>
      <c r="V351" s="30">
        <v>628802.37</v>
      </c>
      <c r="W351" s="31"/>
      <c r="X351" s="31"/>
      <c r="Y351" s="30">
        <v>8145574.9699999997</v>
      </c>
      <c r="Z351" s="31"/>
      <c r="AA351" s="31"/>
      <c r="AB351" s="30"/>
      <c r="AC351" s="32"/>
      <c r="AD351" s="32"/>
      <c r="AE351" s="62">
        <v>6681.5848132589499</v>
      </c>
      <c r="AF351" s="62">
        <v>6681.5848132589499</v>
      </c>
      <c r="AG351" s="186">
        <v>2023</v>
      </c>
      <c r="AH351" s="18">
        <f>3490024.25</f>
        <v>3490024.25</v>
      </c>
      <c r="AI351" s="5">
        <f>+(K351*13.29+L351*22.52)*12*0.85</f>
        <v>842274.75119999982</v>
      </c>
      <c r="AJ351" s="5">
        <f>+(K351*13.29+L351*22.52)*12*30</f>
        <v>29727344.159999996</v>
      </c>
      <c r="AL351" s="37">
        <f t="shared" si="73"/>
        <v>0</v>
      </c>
      <c r="AM351" s="30"/>
      <c r="AO351" s="30"/>
      <c r="AP351" s="30"/>
      <c r="AQ351" s="30"/>
      <c r="AR351" s="30"/>
      <c r="AS351" s="30"/>
      <c r="AT351" s="30">
        <v>0</v>
      </c>
      <c r="AU351" s="30"/>
      <c r="AV351" s="30">
        <v>0</v>
      </c>
      <c r="AW351" s="30"/>
      <c r="AX351" s="30">
        <v>9222273.9900000002</v>
      </c>
      <c r="AY351" s="30"/>
      <c r="AZ351" s="30"/>
      <c r="BA351" s="40"/>
      <c r="BB351" s="5">
        <f t="shared" si="76"/>
        <v>9222273.9900000002</v>
      </c>
    </row>
    <row r="352" spans="1:54" hidden="1">
      <c r="A352" s="203">
        <f t="shared" si="74"/>
        <v>334</v>
      </c>
      <c r="B352" s="203">
        <f t="shared" si="77"/>
        <v>146</v>
      </c>
      <c r="C352" s="14" t="s">
        <v>116</v>
      </c>
      <c r="D352" s="14" t="s">
        <v>382</v>
      </c>
      <c r="E352" s="15">
        <v>1992</v>
      </c>
      <c r="F352" s="15">
        <v>2015</v>
      </c>
      <c r="G352" s="15" t="s">
        <v>3</v>
      </c>
      <c r="H352" s="102">
        <v>9</v>
      </c>
      <c r="I352" s="102">
        <v>3</v>
      </c>
      <c r="J352" s="62">
        <v>6872</v>
      </c>
      <c r="K352" s="62">
        <v>6094.4</v>
      </c>
      <c r="L352" s="62">
        <v>0</v>
      </c>
      <c r="M352" s="103">
        <v>259</v>
      </c>
      <c r="N352" s="28">
        <f t="shared" si="75"/>
        <v>7376207.0899999999</v>
      </c>
      <c r="O352" s="62"/>
      <c r="P352" s="30"/>
      <c r="Q352" s="31"/>
      <c r="R352" s="31"/>
      <c r="S352" s="30"/>
      <c r="T352" s="31"/>
      <c r="U352" s="31"/>
      <c r="V352" s="30">
        <v>1484681.69</v>
      </c>
      <c r="W352" s="31"/>
      <c r="X352" s="31"/>
      <c r="Y352" s="30">
        <v>5891525.4000000004</v>
      </c>
      <c r="Z352" s="31"/>
      <c r="AA352" s="31"/>
      <c r="AB352" s="30">
        <v>0</v>
      </c>
      <c r="AC352" s="32"/>
      <c r="AD352" s="32"/>
      <c r="AE352" s="62">
        <v>1247.63598164277</v>
      </c>
      <c r="AF352" s="62">
        <v>1247.63598164277</v>
      </c>
      <c r="AG352" s="186">
        <v>2023</v>
      </c>
      <c r="AH352" s="18">
        <f>3336709.09-263343.45-V164</f>
        <v>3073365.6399999997</v>
      </c>
      <c r="AI352" s="5">
        <f>+(K352*13.29+L352*22.52)*12*0.85</f>
        <v>826144.67519999982</v>
      </c>
      <c r="AJ352" s="5">
        <f>+(K352*13.29+L352*22.52)*12*30-1442656.44</f>
        <v>27715390.919999991</v>
      </c>
      <c r="AL352" s="37">
        <f t="shared" si="73"/>
        <v>0</v>
      </c>
      <c r="AM352" s="30">
        <v>7298871.8499999996</v>
      </c>
      <c r="AN352" s="30"/>
      <c r="AO352" s="30"/>
      <c r="AP352" s="30"/>
      <c r="AQ352" s="30"/>
      <c r="AR352" s="30"/>
      <c r="AS352" s="30"/>
      <c r="AT352" s="30">
        <v>0</v>
      </c>
      <c r="AU352" s="30">
        <v>0</v>
      </c>
      <c r="AV352" s="30">
        <v>0</v>
      </c>
      <c r="AW352" s="30">
        <v>0</v>
      </c>
      <c r="AX352" s="30"/>
      <c r="AY352" s="30"/>
      <c r="AZ352" s="30"/>
      <c r="BA352" s="109">
        <v>77335.240000000005</v>
      </c>
      <c r="BB352" s="5">
        <f t="shared" si="76"/>
        <v>7376207.0899999999</v>
      </c>
    </row>
    <row r="353" spans="1:54" hidden="1">
      <c r="A353" s="10">
        <f t="shared" si="74"/>
        <v>335</v>
      </c>
      <c r="B353" s="113">
        <f t="shared" si="77"/>
        <v>147</v>
      </c>
      <c r="C353" s="12" t="s">
        <v>116</v>
      </c>
      <c r="D353" s="12" t="s">
        <v>379</v>
      </c>
      <c r="E353" s="102">
        <v>1989</v>
      </c>
      <c r="F353" s="102">
        <v>2015</v>
      </c>
      <c r="G353" s="102" t="s">
        <v>3</v>
      </c>
      <c r="H353" s="102">
        <v>9</v>
      </c>
      <c r="I353" s="102">
        <v>4</v>
      </c>
      <c r="J353" s="62">
        <v>9199.2999999999993</v>
      </c>
      <c r="K353" s="62">
        <v>8072</v>
      </c>
      <c r="L353" s="62">
        <v>65.599999999999994</v>
      </c>
      <c r="M353" s="103">
        <v>366</v>
      </c>
      <c r="N353" s="28">
        <f t="shared" si="75"/>
        <v>28409546.350000001</v>
      </c>
      <c r="O353" s="30"/>
      <c r="P353" s="30">
        <v>9810640.4199999999</v>
      </c>
      <c r="Q353" s="31"/>
      <c r="R353" s="31"/>
      <c r="S353" s="30"/>
      <c r="T353" s="31"/>
      <c r="U353" s="31"/>
      <c r="V353" s="30">
        <v>4700408.8284</v>
      </c>
      <c r="W353" s="31"/>
      <c r="X353" s="31"/>
      <c r="Y353" s="30">
        <v>13898497.101600001</v>
      </c>
      <c r="Z353" s="31"/>
      <c r="AA353" s="31"/>
      <c r="AB353" s="30"/>
      <c r="AC353" s="32"/>
      <c r="AD353" s="32"/>
      <c r="AE353" s="62">
        <v>4310.7577024213497</v>
      </c>
      <c r="AF353" s="62">
        <v>4310.7577024213497</v>
      </c>
      <c r="AG353" s="186">
        <v>2023</v>
      </c>
      <c r="AH353" s="1">
        <v>4641267.93</v>
      </c>
      <c r="AI353" s="5">
        <f>+(K353*13.29+L353*22.52)*12*0.85</f>
        <v>1109292.7583999999</v>
      </c>
      <c r="AJ353" s="5">
        <f>+(K353*13.29+L353*22.52)*12*30-AJ163</f>
        <v>14473887.709999997</v>
      </c>
      <c r="AL353" s="37">
        <f t="shared" si="73"/>
        <v>0</v>
      </c>
      <c r="AM353" s="30">
        <v>16253478.92</v>
      </c>
      <c r="AN353" s="30"/>
      <c r="AO353" s="30">
        <v>5982768.1600000001</v>
      </c>
      <c r="AP353" s="30">
        <v>6173299.2699999996</v>
      </c>
      <c r="AQ353" s="30">
        <v>0</v>
      </c>
      <c r="AR353" s="30"/>
      <c r="AS353" s="30"/>
      <c r="AT353" s="30">
        <v>0</v>
      </c>
      <c r="AU353" s="30">
        <v>0</v>
      </c>
      <c r="AV353" s="30">
        <v>0</v>
      </c>
      <c r="AW353" s="30">
        <v>0</v>
      </c>
      <c r="AX353" s="30"/>
      <c r="AY353" s="30"/>
      <c r="AZ353" s="30"/>
      <c r="BA353" s="40"/>
      <c r="BB353" s="5">
        <f t="shared" si="76"/>
        <v>28409546.350000001</v>
      </c>
    </row>
    <row r="354" spans="1:54" hidden="1">
      <c r="A354" s="10">
        <f t="shared" si="74"/>
        <v>336</v>
      </c>
      <c r="B354" s="113">
        <f t="shared" si="77"/>
        <v>148</v>
      </c>
      <c r="C354" s="101" t="s">
        <v>116</v>
      </c>
      <c r="D354" s="101" t="s">
        <v>133</v>
      </c>
      <c r="E354" s="102">
        <v>1993</v>
      </c>
      <c r="F354" s="102">
        <v>2014</v>
      </c>
      <c r="G354" s="102" t="s">
        <v>3</v>
      </c>
      <c r="H354" s="102">
        <v>9</v>
      </c>
      <c r="I354" s="102">
        <v>1</v>
      </c>
      <c r="J354" s="62">
        <v>2553.4</v>
      </c>
      <c r="K354" s="62">
        <v>2128.8000000000002</v>
      </c>
      <c r="L354" s="62">
        <v>0</v>
      </c>
      <c r="M354" s="103">
        <v>78</v>
      </c>
      <c r="N354" s="28">
        <f t="shared" si="75"/>
        <v>2120543.06</v>
      </c>
      <c r="O354" s="62"/>
      <c r="P354" s="30"/>
      <c r="Q354" s="31"/>
      <c r="R354" s="31"/>
      <c r="S354" s="30"/>
      <c r="T354" s="31"/>
      <c r="U354" s="31"/>
      <c r="V354" s="30">
        <v>597799.18000000005</v>
      </c>
      <c r="W354" s="31"/>
      <c r="X354" s="31"/>
      <c r="Y354" s="30">
        <v>1522743.88</v>
      </c>
      <c r="Z354" s="31"/>
      <c r="AA354" s="31"/>
      <c r="AB354" s="30"/>
      <c r="AC354" s="32"/>
      <c r="AD354" s="32"/>
      <c r="AE354" s="62">
        <v>10063.5427054129</v>
      </c>
      <c r="AF354" s="62">
        <v>10063.5427054129</v>
      </c>
      <c r="AG354" s="186">
        <v>2023</v>
      </c>
      <c r="AH354" s="1">
        <f>1103126.79-79353.74-714183.7328</f>
        <v>309589.31720000005</v>
      </c>
      <c r="AI354" s="5">
        <f>+(K354*13.29+L354*22.52)*12*0.85</f>
        <v>288575.87039999996</v>
      </c>
      <c r="AJ354" s="5">
        <f>+(K354*13.95+L354*23.65)*12*30-300950.5-2600695.91</f>
        <v>7789187.1899999995</v>
      </c>
      <c r="AL354" s="37">
        <f t="shared" si="73"/>
        <v>0</v>
      </c>
      <c r="AM354" s="30"/>
      <c r="AN354" s="30"/>
      <c r="AO354" s="30"/>
      <c r="AP354" s="30"/>
      <c r="AQ354" s="30"/>
      <c r="AR354" s="30"/>
      <c r="AS354" s="30"/>
      <c r="AT354" s="30">
        <v>0</v>
      </c>
      <c r="AU354" s="30">
        <v>0</v>
      </c>
      <c r="AV354" s="30">
        <v>0</v>
      </c>
      <c r="AW354" s="30">
        <v>2120543.06</v>
      </c>
      <c r="AX354" s="30"/>
      <c r="AY354" s="30"/>
      <c r="AZ354" s="30"/>
      <c r="BA354" s="40"/>
      <c r="BB354" s="5">
        <f t="shared" si="76"/>
        <v>2120543.06</v>
      </c>
    </row>
    <row r="355" spans="1:54" hidden="1">
      <c r="A355" s="10">
        <f t="shared" si="74"/>
        <v>337</v>
      </c>
      <c r="B355" s="113">
        <f t="shared" si="77"/>
        <v>149</v>
      </c>
      <c r="C355" s="101" t="s">
        <v>135</v>
      </c>
      <c r="D355" s="12" t="s">
        <v>136</v>
      </c>
      <c r="E355" s="102">
        <v>1987</v>
      </c>
      <c r="F355" s="102">
        <v>1987</v>
      </c>
      <c r="G355" s="102" t="s">
        <v>3</v>
      </c>
      <c r="H355" s="102">
        <v>5</v>
      </c>
      <c r="I355" s="102">
        <v>4</v>
      </c>
      <c r="J355" s="62">
        <v>4891.3999999999996</v>
      </c>
      <c r="K355" s="62">
        <v>4293.1000000000004</v>
      </c>
      <c r="L355" s="62">
        <v>598.29999999999995</v>
      </c>
      <c r="M355" s="103">
        <v>199</v>
      </c>
      <c r="N355" s="28">
        <f t="shared" si="75"/>
        <v>9484647.870000001</v>
      </c>
      <c r="O355" s="30"/>
      <c r="P355" s="30">
        <v>2103466.3199999998</v>
      </c>
      <c r="Q355" s="31"/>
      <c r="R355" s="31"/>
      <c r="S355" s="30"/>
      <c r="T355" s="31"/>
      <c r="U355" s="31"/>
      <c r="V355" s="30">
        <v>1451302.02</v>
      </c>
      <c r="W355" s="31"/>
      <c r="X355" s="31"/>
      <c r="Y355" s="30">
        <v>5929879.5300000003</v>
      </c>
      <c r="Z355" s="31"/>
      <c r="AA355" s="31"/>
      <c r="AB355" s="30"/>
      <c r="AC355" s="32"/>
      <c r="AD355" s="32"/>
      <c r="AE355" s="62">
        <v>5890.98496186998</v>
      </c>
      <c r="AF355" s="62">
        <v>5890.98496186998</v>
      </c>
      <c r="AG355" s="186">
        <v>2023</v>
      </c>
      <c r="AH355" s="1">
        <v>2008581.69</v>
      </c>
      <c r="AI355" s="5">
        <f>+(K355*10+L355*20)*12*0.85</f>
        <v>559949.4</v>
      </c>
      <c r="AJ355" s="5">
        <f>+(K355*10+L355*20)*12*30</f>
        <v>19762920</v>
      </c>
      <c r="AL355" s="37">
        <f t="shared" si="73"/>
        <v>0</v>
      </c>
      <c r="AM355" s="30"/>
      <c r="AN355" s="30"/>
      <c r="AO355" s="30"/>
      <c r="AP355" s="30"/>
      <c r="AQ355" s="30"/>
      <c r="AR355" s="30"/>
      <c r="AS355" s="30"/>
      <c r="AT355" s="30">
        <v>0</v>
      </c>
      <c r="AU355" s="30">
        <v>9484647.8699999992</v>
      </c>
      <c r="AV355" s="30">
        <v>0</v>
      </c>
      <c r="AW355" s="30">
        <v>0</v>
      </c>
      <c r="AX355" s="30">
        <v>0</v>
      </c>
      <c r="AY355" s="30"/>
      <c r="AZ355" s="30"/>
      <c r="BA355" s="40"/>
      <c r="BB355" s="5">
        <f t="shared" si="76"/>
        <v>9484647.870000001</v>
      </c>
    </row>
    <row r="356" spans="1:54" hidden="1">
      <c r="A356" s="10">
        <f t="shared" si="74"/>
        <v>338</v>
      </c>
      <c r="B356" s="113">
        <f t="shared" si="77"/>
        <v>150</v>
      </c>
      <c r="C356" s="12" t="s">
        <v>154</v>
      </c>
      <c r="D356" s="12" t="s">
        <v>569</v>
      </c>
      <c r="E356" s="102">
        <v>1992</v>
      </c>
      <c r="F356" s="102">
        <v>2013</v>
      </c>
      <c r="G356" s="102" t="s">
        <v>3</v>
      </c>
      <c r="H356" s="102">
        <v>5</v>
      </c>
      <c r="I356" s="102">
        <v>3</v>
      </c>
      <c r="J356" s="62">
        <v>3334.6</v>
      </c>
      <c r="K356" s="62">
        <v>2949.9</v>
      </c>
      <c r="L356" s="62">
        <v>0</v>
      </c>
      <c r="M356" s="103">
        <v>91</v>
      </c>
      <c r="N356" s="28">
        <f t="shared" si="75"/>
        <v>1830078.26</v>
      </c>
      <c r="O356" s="30"/>
      <c r="P356" s="30">
        <v>931184.89</v>
      </c>
      <c r="Q356" s="31"/>
      <c r="R356" s="31"/>
      <c r="S356" s="30"/>
      <c r="T356" s="31"/>
      <c r="U356" s="31"/>
      <c r="V356" s="30">
        <v>243415.1</v>
      </c>
      <c r="W356" s="31"/>
      <c r="X356" s="31"/>
      <c r="Y356" s="30">
        <v>655478.27</v>
      </c>
      <c r="Z356" s="31"/>
      <c r="AA356" s="31"/>
      <c r="AB356" s="30"/>
      <c r="AC356" s="32"/>
      <c r="AD356" s="32"/>
      <c r="AE356" s="62">
        <v>6090.1892139319998</v>
      </c>
      <c r="AF356" s="62">
        <v>6090.1892139319998</v>
      </c>
      <c r="AG356" s="186">
        <v>2023</v>
      </c>
      <c r="AH356" s="1">
        <v>1192628.99</v>
      </c>
      <c r="AI356" s="5">
        <f>+(K356*10+L356*20)*12*0.85</f>
        <v>300889.8</v>
      </c>
      <c r="AJ356" s="5">
        <f>+(K356*10+L356*20)*12*30</f>
        <v>10619640</v>
      </c>
      <c r="AL356" s="37">
        <f t="shared" si="73"/>
        <v>0</v>
      </c>
      <c r="AM356" s="30"/>
      <c r="AN356" s="30"/>
      <c r="AO356" s="30">
        <v>1830078.26</v>
      </c>
      <c r="AP356" s="30"/>
      <c r="AQ356" s="30">
        <v>0</v>
      </c>
      <c r="AR356" s="30"/>
      <c r="AS356" s="30"/>
      <c r="AT356" s="30">
        <v>0</v>
      </c>
      <c r="AU356" s="30">
        <v>0</v>
      </c>
      <c r="AV356" s="30">
        <v>0</v>
      </c>
      <c r="AW356" s="30"/>
      <c r="AX356" s="30">
        <v>0</v>
      </c>
      <c r="AY356" s="30"/>
      <c r="AZ356" s="30"/>
      <c r="BA356" s="40"/>
      <c r="BB356" s="5">
        <f t="shared" si="76"/>
        <v>1830078.26</v>
      </c>
    </row>
    <row r="357" spans="1:54" s="142" customFormat="1" hidden="1">
      <c r="A357" s="10">
        <f t="shared" si="74"/>
        <v>339</v>
      </c>
      <c r="B357" s="113">
        <f t="shared" si="77"/>
        <v>151</v>
      </c>
      <c r="C357" s="101" t="s">
        <v>574</v>
      </c>
      <c r="D357" s="101" t="s">
        <v>623</v>
      </c>
      <c r="E357" s="102" t="s">
        <v>210</v>
      </c>
      <c r="F357" s="102" t="s">
        <v>210</v>
      </c>
      <c r="G357" s="102" t="s">
        <v>3</v>
      </c>
      <c r="H357" s="102" t="s">
        <v>183</v>
      </c>
      <c r="I357" s="102" t="s">
        <v>183</v>
      </c>
      <c r="J357" s="62">
        <v>2120.65</v>
      </c>
      <c r="K357" s="62">
        <v>1602.1</v>
      </c>
      <c r="L357" s="62">
        <v>58.3</v>
      </c>
      <c r="M357" s="103">
        <v>76</v>
      </c>
      <c r="N357" s="28">
        <f t="shared" si="75"/>
        <v>2603999.1800000002</v>
      </c>
      <c r="O357" s="62">
        <v>0</v>
      </c>
      <c r="P357" s="30"/>
      <c r="Q357" s="31"/>
      <c r="R357" s="31"/>
      <c r="S357" s="30">
        <v>0</v>
      </c>
      <c r="T357" s="31"/>
      <c r="U357" s="31"/>
      <c r="V357" s="30">
        <v>871473.58</v>
      </c>
      <c r="W357" s="31"/>
      <c r="X357" s="31"/>
      <c r="Y357" s="30">
        <v>1732525.6</v>
      </c>
      <c r="Z357" s="31"/>
      <c r="AA357" s="31"/>
      <c r="AB357" s="30"/>
      <c r="AC357" s="32"/>
      <c r="AD357" s="32"/>
      <c r="AE357" s="30">
        <v>3846.1843211334599</v>
      </c>
      <c r="AF357" s="30">
        <v>1413.2830200640001</v>
      </c>
      <c r="AG357" s="186">
        <v>2023</v>
      </c>
      <c r="AH357" s="98">
        <v>687400.81</v>
      </c>
      <c r="AI357" s="5">
        <f t="shared" ref="AI357:AI364" si="78">+(K357*10.5+L357*21)*12*0.85</f>
        <v>184072.77</v>
      </c>
      <c r="AJ357" s="5">
        <f t="shared" ref="AJ357:AJ362" si="79">+(K357*10.5+L357*21)*12*30</f>
        <v>6496685.9999999991</v>
      </c>
      <c r="AK357" s="5"/>
      <c r="AL357" s="37">
        <f t="shared" ref="AL357:AL388" si="80">SUBTOTAL(9, AM357:BA357)</f>
        <v>0</v>
      </c>
      <c r="AM357" s="30"/>
      <c r="AN357" s="30">
        <v>751912.8</v>
      </c>
      <c r="AO357" s="30">
        <v>1650658.8</v>
      </c>
      <c r="AP357" s="30"/>
      <c r="AQ357" s="30">
        <v>0</v>
      </c>
      <c r="AR357" s="30"/>
      <c r="AS357" s="30"/>
      <c r="AT357" s="30"/>
      <c r="AU357" s="30"/>
      <c r="AV357" s="30"/>
      <c r="AW357" s="30"/>
      <c r="AX357" s="30"/>
      <c r="AY357" s="30">
        <v>196427.58</v>
      </c>
      <c r="AZ357" s="30">
        <v>5000</v>
      </c>
      <c r="BA357" s="40"/>
      <c r="BB357" s="5">
        <f t="shared" si="76"/>
        <v>2603999.1800000002</v>
      </c>
    </row>
    <row r="358" spans="1:54" s="142" customFormat="1" hidden="1">
      <c r="A358" s="10">
        <f t="shared" si="74"/>
        <v>340</v>
      </c>
      <c r="B358" s="113">
        <f t="shared" si="77"/>
        <v>152</v>
      </c>
      <c r="C358" s="12" t="s">
        <v>574</v>
      </c>
      <c r="D358" s="12" t="s">
        <v>624</v>
      </c>
      <c r="E358" s="102" t="s">
        <v>210</v>
      </c>
      <c r="F358" s="102" t="s">
        <v>210</v>
      </c>
      <c r="G358" s="102" t="s">
        <v>3</v>
      </c>
      <c r="H358" s="102" t="s">
        <v>183</v>
      </c>
      <c r="I358" s="102" t="s">
        <v>183</v>
      </c>
      <c r="J358" s="62">
        <v>2747.6</v>
      </c>
      <c r="K358" s="62">
        <v>2270.63</v>
      </c>
      <c r="L358" s="62">
        <v>217.6</v>
      </c>
      <c r="M358" s="103">
        <v>95</v>
      </c>
      <c r="N358" s="28">
        <f t="shared" si="75"/>
        <v>6615764.2200000007</v>
      </c>
      <c r="O358" s="30">
        <v>0</v>
      </c>
      <c r="P358" s="30">
        <v>914621.28</v>
      </c>
      <c r="Q358" s="31"/>
      <c r="R358" s="31"/>
      <c r="S358" s="30">
        <v>0</v>
      </c>
      <c r="T358" s="31"/>
      <c r="U358" s="31"/>
      <c r="V358" s="30">
        <v>1168307.8430000001</v>
      </c>
      <c r="W358" s="31"/>
      <c r="X358" s="31"/>
      <c r="Y358" s="30">
        <v>4532835.0970000001</v>
      </c>
      <c r="Z358" s="31"/>
      <c r="AA358" s="31"/>
      <c r="AB358" s="30"/>
      <c r="AC358" s="32"/>
      <c r="AD358" s="32"/>
      <c r="AE358" s="30">
        <v>3258.7346237711599</v>
      </c>
      <c r="AF358" s="30">
        <v>1414.2830200640001</v>
      </c>
      <c r="AG358" s="186">
        <v>2023</v>
      </c>
      <c r="AH358" s="98">
        <v>878513.45</v>
      </c>
      <c r="AI358" s="5">
        <f t="shared" si="78"/>
        <v>289794.39299999998</v>
      </c>
      <c r="AJ358" s="5">
        <f t="shared" si="79"/>
        <v>10228037.4</v>
      </c>
      <c r="AK358" s="5"/>
      <c r="AL358" s="37">
        <f t="shared" si="80"/>
        <v>0</v>
      </c>
      <c r="AM358" s="30">
        <v>3671016.16</v>
      </c>
      <c r="AN358" s="30">
        <v>553302</v>
      </c>
      <c r="AO358" s="30">
        <v>1993290</v>
      </c>
      <c r="AP358" s="30"/>
      <c r="AQ358" s="30"/>
      <c r="AR358" s="30"/>
      <c r="AS358" s="30"/>
      <c r="AT358" s="30"/>
      <c r="AU358" s="30"/>
      <c r="AV358" s="30"/>
      <c r="AW358" s="30"/>
      <c r="AX358" s="30"/>
      <c r="AY358" s="30">
        <v>390656.06</v>
      </c>
      <c r="AZ358" s="30">
        <v>7500</v>
      </c>
      <c r="BA358" s="40"/>
      <c r="BB358" s="5">
        <f t="shared" si="76"/>
        <v>6615764.2200000007</v>
      </c>
    </row>
    <row r="359" spans="1:54" s="142" customFormat="1" hidden="1">
      <c r="A359" s="10">
        <f t="shared" si="74"/>
        <v>341</v>
      </c>
      <c r="B359" s="113">
        <f t="shared" si="77"/>
        <v>153</v>
      </c>
      <c r="C359" s="12" t="s">
        <v>574</v>
      </c>
      <c r="D359" s="12" t="s">
        <v>626</v>
      </c>
      <c r="E359" s="102" t="s">
        <v>462</v>
      </c>
      <c r="F359" s="102" t="s">
        <v>462</v>
      </c>
      <c r="G359" s="102" t="s">
        <v>3</v>
      </c>
      <c r="H359" s="102" t="s">
        <v>183</v>
      </c>
      <c r="I359" s="102" t="s">
        <v>183</v>
      </c>
      <c r="J359" s="62">
        <v>2879</v>
      </c>
      <c r="K359" s="62">
        <v>2169.3000000000002</v>
      </c>
      <c r="L359" s="62">
        <v>217.3</v>
      </c>
      <c r="M359" s="103">
        <v>116</v>
      </c>
      <c r="N359" s="28">
        <f t="shared" si="75"/>
        <v>17328320.75</v>
      </c>
      <c r="O359" s="30">
        <v>0</v>
      </c>
      <c r="P359" s="30">
        <f>3458722.26+2937997.16</f>
        <v>6396719.4199999999</v>
      </c>
      <c r="Q359" s="31"/>
      <c r="R359" s="31"/>
      <c r="S359" s="30">
        <v>0</v>
      </c>
      <c r="T359" s="31"/>
      <c r="U359" s="31"/>
      <c r="V359" s="30">
        <v>1102859.33</v>
      </c>
      <c r="W359" s="31"/>
      <c r="X359" s="31"/>
      <c r="Y359" s="30">
        <v>9828742</v>
      </c>
      <c r="Z359" s="31"/>
      <c r="AA359" s="31"/>
      <c r="AB359" s="30"/>
      <c r="AC359" s="32"/>
      <c r="AD359" s="32"/>
      <c r="AE359" s="30">
        <v>11963.0686847177</v>
      </c>
      <c r="AF359" s="30">
        <v>1415.2830200640001</v>
      </c>
      <c r="AG359" s="186">
        <v>2023</v>
      </c>
      <c r="AH359" s="98">
        <v>823981.64</v>
      </c>
      <c r="AI359" s="5">
        <f t="shared" si="78"/>
        <v>278877.69</v>
      </c>
      <c r="AJ359" s="5">
        <f t="shared" si="79"/>
        <v>9842742</v>
      </c>
      <c r="AK359" s="5"/>
      <c r="AL359" s="37">
        <f t="shared" si="80"/>
        <v>0</v>
      </c>
      <c r="AM359" s="30">
        <v>4837764.1900000004</v>
      </c>
      <c r="AN359" s="30">
        <v>1918622.4</v>
      </c>
      <c r="AO359" s="30">
        <v>1933540.8</v>
      </c>
      <c r="AP359" s="30"/>
      <c r="AQ359" s="30"/>
      <c r="AR359" s="30"/>
      <c r="AS359" s="30"/>
      <c r="AT359" s="30"/>
      <c r="AU359" s="30"/>
      <c r="AV359" s="30"/>
      <c r="AW359" s="30"/>
      <c r="AX359" s="30">
        <v>8046351.5999999996</v>
      </c>
      <c r="AY359" s="30">
        <v>582041.76</v>
      </c>
      <c r="AZ359" s="30">
        <v>10000</v>
      </c>
      <c r="BA359" s="40"/>
      <c r="BB359" s="5">
        <f t="shared" si="76"/>
        <v>17328320.75</v>
      </c>
    </row>
    <row r="360" spans="1:54" s="142" customFormat="1" hidden="1">
      <c r="A360" s="10">
        <f t="shared" si="74"/>
        <v>342</v>
      </c>
      <c r="B360" s="113">
        <f t="shared" si="77"/>
        <v>154</v>
      </c>
      <c r="C360" s="12" t="s">
        <v>574</v>
      </c>
      <c r="D360" s="12" t="s">
        <v>575</v>
      </c>
      <c r="E360" s="102" t="s">
        <v>204</v>
      </c>
      <c r="F360" s="102" t="s">
        <v>204</v>
      </c>
      <c r="G360" s="102" t="s">
        <v>3</v>
      </c>
      <c r="H360" s="102" t="s">
        <v>169</v>
      </c>
      <c r="I360" s="102" t="s">
        <v>183</v>
      </c>
      <c r="J360" s="62">
        <v>3412.5</v>
      </c>
      <c r="K360" s="62">
        <v>2249.4</v>
      </c>
      <c r="L360" s="62">
        <v>936.2</v>
      </c>
      <c r="M360" s="103">
        <v>105</v>
      </c>
      <c r="N360" s="28">
        <f t="shared" si="75"/>
        <v>18898820.960000046</v>
      </c>
      <c r="O360" s="30">
        <v>0</v>
      </c>
      <c r="P360" s="30">
        <v>4350097.22</v>
      </c>
      <c r="Q360" s="31"/>
      <c r="R360" s="31"/>
      <c r="S360" s="30">
        <v>0</v>
      </c>
      <c r="T360" s="31"/>
      <c r="U360" s="31"/>
      <c r="V360" s="30">
        <v>509739.71610714402</v>
      </c>
      <c r="W360" s="31"/>
      <c r="X360" s="31"/>
      <c r="Y360" s="30">
        <v>14038984.0238929</v>
      </c>
      <c r="Z360" s="52"/>
      <c r="AA360" s="52"/>
      <c r="AB360" s="157"/>
      <c r="AC360" s="241"/>
      <c r="AD360" s="241"/>
      <c r="AE360" s="30">
        <v>11384.434551902201</v>
      </c>
      <c r="AF360" s="30">
        <v>1416.2830200640001</v>
      </c>
      <c r="AG360" s="186">
        <v>2023</v>
      </c>
      <c r="AH360" s="98">
        <v>906295.96</v>
      </c>
      <c r="AI360" s="5">
        <f t="shared" si="78"/>
        <v>441444.78</v>
      </c>
      <c r="AJ360" s="5">
        <f t="shared" si="79"/>
        <v>15580404.000000002</v>
      </c>
      <c r="AK360" s="5"/>
      <c r="AL360" s="37">
        <f t="shared" si="80"/>
        <v>0</v>
      </c>
      <c r="AM360" s="30">
        <v>3853039.2</v>
      </c>
      <c r="AN360" s="30">
        <v>1198699.2</v>
      </c>
      <c r="AO360" s="30">
        <v>1829712</v>
      </c>
      <c r="AP360" s="30"/>
      <c r="AQ360" s="30"/>
      <c r="AR360" s="30"/>
      <c r="AS360" s="30"/>
      <c r="AT360" s="30"/>
      <c r="AU360" s="30"/>
      <c r="AV360" s="30"/>
      <c r="AW360" s="30"/>
      <c r="AX360" s="30">
        <v>11256530.4</v>
      </c>
      <c r="AY360" s="30">
        <v>751240.16</v>
      </c>
      <c r="AZ360" s="30">
        <v>9600</v>
      </c>
      <c r="BA360" s="40"/>
      <c r="BB360" s="5"/>
    </row>
    <row r="361" spans="1:54" s="142" customFormat="1" hidden="1">
      <c r="A361" s="10">
        <f t="shared" si="74"/>
        <v>343</v>
      </c>
      <c r="B361" s="113">
        <f t="shared" si="77"/>
        <v>155</v>
      </c>
      <c r="C361" s="12" t="s">
        <v>574</v>
      </c>
      <c r="D361" s="12" t="s">
        <v>628</v>
      </c>
      <c r="E361" s="102" t="s">
        <v>207</v>
      </c>
      <c r="F361" s="102" t="s">
        <v>207</v>
      </c>
      <c r="G361" s="102" t="s">
        <v>3</v>
      </c>
      <c r="H361" s="102" t="s">
        <v>169</v>
      </c>
      <c r="I361" s="102" t="s">
        <v>27</v>
      </c>
      <c r="J361" s="62">
        <v>1792.2</v>
      </c>
      <c r="K361" s="62">
        <v>1275</v>
      </c>
      <c r="L361" s="62">
        <v>170.8</v>
      </c>
      <c r="M361" s="103">
        <v>51</v>
      </c>
      <c r="N361" s="28">
        <f t="shared" si="75"/>
        <v>8140752.1600000001</v>
      </c>
      <c r="O361" s="30">
        <v>0</v>
      </c>
      <c r="P361" s="30">
        <v>1966186.66</v>
      </c>
      <c r="Q361" s="31"/>
      <c r="R361" s="31"/>
      <c r="S361" s="30">
        <v>0</v>
      </c>
      <c r="T361" s="31"/>
      <c r="U361" s="31"/>
      <c r="V361" s="30">
        <v>709963.21</v>
      </c>
      <c r="W361" s="31"/>
      <c r="X361" s="31"/>
      <c r="Y361" s="30">
        <v>5464602.29</v>
      </c>
      <c r="Z361" s="31"/>
      <c r="AA361" s="31"/>
      <c r="AB361" s="30"/>
      <c r="AC361" s="32"/>
      <c r="AD361" s="32"/>
      <c r="AE361" s="30">
        <v>6590.2953490196096</v>
      </c>
      <c r="AF361" s="30">
        <v>1417.2830200640001</v>
      </c>
      <c r="AG361" s="186">
        <v>2023</v>
      </c>
      <c r="AH361" s="98">
        <v>536825.35</v>
      </c>
      <c r="AI361" s="5">
        <f t="shared" si="78"/>
        <v>173137.86</v>
      </c>
      <c r="AJ361" s="5">
        <f t="shared" si="79"/>
        <v>6110747.9999999991</v>
      </c>
      <c r="AK361" s="5"/>
      <c r="AL361" s="37">
        <f t="shared" si="80"/>
        <v>0</v>
      </c>
      <c r="AM361" s="30"/>
      <c r="AN361" s="30"/>
      <c r="AO361" s="30"/>
      <c r="AP361" s="30"/>
      <c r="AQ361" s="30"/>
      <c r="AR361" s="30"/>
      <c r="AS361" s="30"/>
      <c r="AT361" s="30"/>
      <c r="AU361" s="30">
        <v>7901132.4000000004</v>
      </c>
      <c r="AV361" s="30"/>
      <c r="AW361" s="30"/>
      <c r="AX361" s="30"/>
      <c r="AY361" s="30">
        <v>231619.76</v>
      </c>
      <c r="AZ361" s="30">
        <v>8000</v>
      </c>
      <c r="BA361" s="40"/>
      <c r="BB361" s="5">
        <f t="shared" ref="BB361:BB392" si="81">N361-AL361</f>
        <v>8140752.1600000001</v>
      </c>
    </row>
    <row r="362" spans="1:54" s="142" customFormat="1" hidden="1">
      <c r="A362" s="10">
        <f t="shared" si="74"/>
        <v>344</v>
      </c>
      <c r="B362" s="113">
        <f t="shared" si="77"/>
        <v>156</v>
      </c>
      <c r="C362" s="12" t="s">
        <v>574</v>
      </c>
      <c r="D362" s="12" t="s">
        <v>576</v>
      </c>
      <c r="E362" s="102" t="s">
        <v>577</v>
      </c>
      <c r="F362" s="102" t="s">
        <v>577</v>
      </c>
      <c r="G362" s="102" t="s">
        <v>3</v>
      </c>
      <c r="H362" s="102">
        <v>5</v>
      </c>
      <c r="I362" s="102" t="s">
        <v>244</v>
      </c>
      <c r="J362" s="62">
        <v>2036.3</v>
      </c>
      <c r="K362" s="62">
        <v>1337.75</v>
      </c>
      <c r="L362" s="62">
        <v>476.4</v>
      </c>
      <c r="M362" s="103">
        <v>93</v>
      </c>
      <c r="N362" s="28">
        <f t="shared" si="75"/>
        <v>24916959.259999998</v>
      </c>
      <c r="O362" s="30">
        <v>0</v>
      </c>
      <c r="P362" s="30">
        <v>11204690.85</v>
      </c>
      <c r="Q362" s="31"/>
      <c r="R362" s="31"/>
      <c r="S362" s="30">
        <v>0</v>
      </c>
      <c r="T362" s="31"/>
      <c r="U362" s="31"/>
      <c r="V362" s="30">
        <v>767419.94499999995</v>
      </c>
      <c r="W362" s="31"/>
      <c r="X362" s="31"/>
      <c r="Y362" s="30">
        <v>12944848.465</v>
      </c>
      <c r="Z362" s="31"/>
      <c r="AA362" s="31"/>
      <c r="AB362" s="30"/>
      <c r="AC362" s="32"/>
      <c r="AD362" s="32"/>
      <c r="AE362" s="30">
        <v>16083.6585049523</v>
      </c>
      <c r="AF362" s="30">
        <v>1418.2830200640001</v>
      </c>
      <c r="AG362" s="186">
        <v>2023</v>
      </c>
      <c r="AH362" s="98">
        <v>522102.04</v>
      </c>
      <c r="AI362" s="5">
        <f t="shared" si="78"/>
        <v>245317.90500000003</v>
      </c>
      <c r="AJ362" s="5">
        <f t="shared" si="79"/>
        <v>8658279.0000000019</v>
      </c>
      <c r="AK362" s="5"/>
      <c r="AL362" s="37">
        <f t="shared" si="80"/>
        <v>0</v>
      </c>
      <c r="AM362" s="30">
        <v>2354587.2000000002</v>
      </c>
      <c r="AN362" s="30">
        <v>1865384.4</v>
      </c>
      <c r="AO362" s="30">
        <v>2468315.46</v>
      </c>
      <c r="AP362" s="30"/>
      <c r="AQ362" s="30"/>
      <c r="AR362" s="30"/>
      <c r="AS362" s="30"/>
      <c r="AT362" s="30"/>
      <c r="AU362" s="30">
        <v>6202495.2000000002</v>
      </c>
      <c r="AV362" s="30"/>
      <c r="AW362" s="30">
        <v>11009160.289999999</v>
      </c>
      <c r="AX362" s="30"/>
      <c r="AY362" s="30">
        <v>1007016.71</v>
      </c>
      <c r="AZ362" s="30">
        <v>10000</v>
      </c>
      <c r="BA362" s="40"/>
      <c r="BB362" s="5">
        <f t="shared" si="81"/>
        <v>24916959.259999998</v>
      </c>
    </row>
    <row r="363" spans="1:54" s="142" customFormat="1" hidden="1">
      <c r="A363" s="10">
        <f t="shared" si="74"/>
        <v>345</v>
      </c>
      <c r="B363" s="113">
        <f t="shared" si="77"/>
        <v>157</v>
      </c>
      <c r="C363" s="101" t="s">
        <v>399</v>
      </c>
      <c r="D363" s="101" t="s">
        <v>629</v>
      </c>
      <c r="E363" s="102" t="s">
        <v>210</v>
      </c>
      <c r="F363" s="102" t="s">
        <v>210</v>
      </c>
      <c r="G363" s="102" t="s">
        <v>3</v>
      </c>
      <c r="H363" s="102" t="s">
        <v>169</v>
      </c>
      <c r="I363" s="102" t="s">
        <v>183</v>
      </c>
      <c r="J363" s="62">
        <v>3929.7</v>
      </c>
      <c r="K363" s="62">
        <v>2523.6</v>
      </c>
      <c r="L363" s="62">
        <v>522.65</v>
      </c>
      <c r="M363" s="103">
        <v>69</v>
      </c>
      <c r="N363" s="28">
        <f t="shared" si="75"/>
        <v>7749923.5099999951</v>
      </c>
      <c r="O363" s="62">
        <v>0</v>
      </c>
      <c r="P363" s="30"/>
      <c r="Q363" s="31"/>
      <c r="R363" s="31"/>
      <c r="S363" s="30">
        <v>0</v>
      </c>
      <c r="T363" s="31"/>
      <c r="U363" s="31"/>
      <c r="V363" s="30">
        <v>975572.59799057501</v>
      </c>
      <c r="W363" s="31"/>
      <c r="X363" s="31"/>
      <c r="Y363" s="30">
        <v>6774350.9120094199</v>
      </c>
      <c r="Z363" s="31"/>
      <c r="AA363" s="31"/>
      <c r="AB363" s="107"/>
      <c r="AC363" s="108"/>
      <c r="AD363" s="108"/>
      <c r="AE363" s="30">
        <v>3349.0698517523001</v>
      </c>
      <c r="AF363" s="30">
        <v>1419.2830200640001</v>
      </c>
      <c r="AG363" s="186">
        <v>2023</v>
      </c>
      <c r="AH363" s="142">
        <f>2118935.66-998484.23</f>
        <v>1120451.4300000002</v>
      </c>
      <c r="AI363" s="5">
        <f t="shared" si="78"/>
        <v>382229.18999999994</v>
      </c>
      <c r="AJ363" s="5">
        <f>+(K363*10.5+L363*21)*12*30-2437490.96</f>
        <v>11052951.039999999</v>
      </c>
      <c r="AK363" s="5"/>
      <c r="AL363" s="112">
        <f t="shared" si="80"/>
        <v>0</v>
      </c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>
        <v>7460881.2000000002</v>
      </c>
      <c r="AY363" s="30">
        <v>265042.31</v>
      </c>
      <c r="AZ363" s="30">
        <v>24000</v>
      </c>
      <c r="BA363" s="40"/>
      <c r="BB363" s="5">
        <f t="shared" si="81"/>
        <v>7749923.5099999951</v>
      </c>
    </row>
    <row r="364" spans="1:54" s="142" customFormat="1" hidden="1">
      <c r="A364" s="10">
        <f t="shared" si="74"/>
        <v>346</v>
      </c>
      <c r="B364" s="113">
        <f t="shared" si="77"/>
        <v>158</v>
      </c>
      <c r="C364" s="101" t="s">
        <v>399</v>
      </c>
      <c r="D364" s="101" t="s">
        <v>631</v>
      </c>
      <c r="E364" s="102" t="s">
        <v>204</v>
      </c>
      <c r="F364" s="102" t="s">
        <v>204</v>
      </c>
      <c r="G364" s="102" t="s">
        <v>3</v>
      </c>
      <c r="H364" s="102" t="s">
        <v>169</v>
      </c>
      <c r="I364" s="102" t="s">
        <v>183</v>
      </c>
      <c r="J364" s="62">
        <v>3705.9</v>
      </c>
      <c r="K364" s="62">
        <v>2552.3000000000002</v>
      </c>
      <c r="L364" s="62">
        <v>0</v>
      </c>
      <c r="M364" s="103">
        <v>82</v>
      </c>
      <c r="N364" s="28">
        <f t="shared" si="75"/>
        <v>6034759.8500000006</v>
      </c>
      <c r="O364" s="62">
        <v>0</v>
      </c>
      <c r="P364" s="30"/>
      <c r="Q364" s="31"/>
      <c r="R364" s="31"/>
      <c r="S364" s="30">
        <v>0</v>
      </c>
      <c r="T364" s="31"/>
      <c r="U364" s="31"/>
      <c r="V364" s="30">
        <v>1256520.6741313699</v>
      </c>
      <c r="W364" s="31"/>
      <c r="X364" s="31"/>
      <c r="Y364" s="30">
        <v>4778239.1758686304</v>
      </c>
      <c r="Z364" s="31"/>
      <c r="AA364" s="31"/>
      <c r="AB364" s="107"/>
      <c r="AC364" s="108"/>
      <c r="AD364" s="108"/>
      <c r="AE364" s="30">
        <v>2948.22617462074</v>
      </c>
      <c r="AF364" s="30">
        <v>1420.2830200640001</v>
      </c>
      <c r="AG364" s="186">
        <v>2023</v>
      </c>
      <c r="AH364" s="98">
        <v>1021583.37</v>
      </c>
      <c r="AI364" s="5">
        <f t="shared" si="78"/>
        <v>273351.33</v>
      </c>
      <c r="AJ364" s="5">
        <f>+(K364*10.5+L364*21)*12*30</f>
        <v>9647694.0000000019</v>
      </c>
      <c r="AK364" s="5"/>
      <c r="AL364" s="112">
        <f t="shared" si="80"/>
        <v>0</v>
      </c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>
        <v>5755369.2000000002</v>
      </c>
      <c r="AY364" s="30">
        <v>255390.65</v>
      </c>
      <c r="AZ364" s="30">
        <v>24000</v>
      </c>
      <c r="BA364" s="40"/>
      <c r="BB364" s="5">
        <f t="shared" si="81"/>
        <v>6034759.8500000006</v>
      </c>
    </row>
    <row r="365" spans="1:54" hidden="1">
      <c r="A365" s="10">
        <f t="shared" si="74"/>
        <v>347</v>
      </c>
      <c r="B365" s="113">
        <f t="shared" si="77"/>
        <v>159</v>
      </c>
      <c r="C365" s="12" t="s">
        <v>399</v>
      </c>
      <c r="D365" s="12" t="s">
        <v>578</v>
      </c>
      <c r="E365" s="102">
        <v>1974</v>
      </c>
      <c r="F365" s="102">
        <v>1980</v>
      </c>
      <c r="G365" s="102" t="s">
        <v>3</v>
      </c>
      <c r="H365" s="102">
        <v>4</v>
      </c>
      <c r="I365" s="102">
        <v>4</v>
      </c>
      <c r="J365" s="62">
        <v>3718.5</v>
      </c>
      <c r="K365" s="62">
        <v>2628.2</v>
      </c>
      <c r="L365" s="62">
        <v>61.4</v>
      </c>
      <c r="M365" s="103">
        <v>99</v>
      </c>
      <c r="N365" s="28">
        <f t="shared" si="75"/>
        <v>8204171.4800000004</v>
      </c>
      <c r="O365" s="30"/>
      <c r="P365" s="30">
        <v>3595408.55</v>
      </c>
      <c r="Q365" s="31"/>
      <c r="R365" s="31"/>
      <c r="S365" s="30"/>
      <c r="T365" s="31"/>
      <c r="U365" s="31"/>
      <c r="V365" s="30">
        <v>1380937.2</v>
      </c>
      <c r="W365" s="31"/>
      <c r="X365" s="31"/>
      <c r="Y365" s="30">
        <v>3227825.73</v>
      </c>
      <c r="Z365" s="31"/>
      <c r="AA365" s="31"/>
      <c r="AB365" s="30">
        <v>0</v>
      </c>
      <c r="AC365" s="32"/>
      <c r="AD365" s="32"/>
      <c r="AE365" s="62">
        <v>7331.1101541585704</v>
      </c>
      <c r="AF365" s="62">
        <v>7331.1101541585704</v>
      </c>
      <c r="AG365" s="186">
        <v>2023</v>
      </c>
      <c r="AH365" s="1">
        <v>1100335.2</v>
      </c>
      <c r="AI365" s="5">
        <f>+(K365*10+L365*20)*12*0.85</f>
        <v>280602</v>
      </c>
      <c r="AJ365" s="5">
        <f>+(K365*10+L365*20)*12*30</f>
        <v>9903600</v>
      </c>
      <c r="AL365" s="37">
        <f t="shared" si="80"/>
        <v>0</v>
      </c>
      <c r="AM365" s="30"/>
      <c r="AN365" s="30"/>
      <c r="AO365" s="30">
        <v>1019979.61</v>
      </c>
      <c r="AP365" s="30"/>
      <c r="AQ365" s="30">
        <v>0</v>
      </c>
      <c r="AR365" s="30"/>
      <c r="AS365" s="30"/>
      <c r="AT365" s="30">
        <v>0</v>
      </c>
      <c r="AU365" s="30">
        <v>6953406.8499999996</v>
      </c>
      <c r="AV365" s="30">
        <v>0</v>
      </c>
      <c r="AW365" s="30">
        <v>0</v>
      </c>
      <c r="AX365" s="30">
        <v>0</v>
      </c>
      <c r="AY365" s="30">
        <v>200943.02</v>
      </c>
      <c r="AZ365" s="30">
        <v>29842</v>
      </c>
      <c r="BA365" s="40"/>
      <c r="BB365" s="5">
        <f t="shared" si="81"/>
        <v>8204171.4800000004</v>
      </c>
    </row>
    <row r="366" spans="1:54" hidden="1">
      <c r="A366" s="10">
        <f t="shared" si="74"/>
        <v>348</v>
      </c>
      <c r="B366" s="113">
        <f t="shared" si="77"/>
        <v>160</v>
      </c>
      <c r="C366" s="12" t="s">
        <v>582</v>
      </c>
      <c r="D366" s="12" t="s">
        <v>587</v>
      </c>
      <c r="E366" s="120">
        <v>1982</v>
      </c>
      <c r="F366" s="120">
        <v>1982</v>
      </c>
      <c r="G366" s="120" t="s">
        <v>487</v>
      </c>
      <c r="H366" s="120">
        <v>2</v>
      </c>
      <c r="I366" s="120">
        <v>3</v>
      </c>
      <c r="J366" s="30">
        <v>1277.5</v>
      </c>
      <c r="K366" s="30">
        <v>1102.3</v>
      </c>
      <c r="L366" s="30">
        <v>0</v>
      </c>
      <c r="M366" s="121">
        <v>34</v>
      </c>
      <c r="N366" s="28">
        <f t="shared" si="75"/>
        <v>2212764.58</v>
      </c>
      <c r="O366" s="30"/>
      <c r="P366" s="30">
        <v>1904728.57</v>
      </c>
      <c r="Q366" s="31"/>
      <c r="R366" s="31"/>
      <c r="S366" s="30"/>
      <c r="T366" s="31"/>
      <c r="U366" s="31"/>
      <c r="V366" s="30">
        <v>118809.601939817</v>
      </c>
      <c r="W366" s="31"/>
      <c r="X366" s="31"/>
      <c r="Y366" s="30">
        <v>189226.40806018299</v>
      </c>
      <c r="Z366" s="31"/>
      <c r="AA366" s="31"/>
      <c r="AB366" s="30"/>
      <c r="AC366" s="32"/>
      <c r="AD366" s="32"/>
      <c r="AE366" s="30">
        <v>6498.5544985871702</v>
      </c>
      <c r="AF366" s="30">
        <v>1423.2830200640001</v>
      </c>
      <c r="AG366" s="186">
        <v>2023</v>
      </c>
      <c r="AH366" s="18"/>
      <c r="AI366" s="5">
        <f>+(K366*7.46+L366*20.48)*12*0.85</f>
        <v>83876.211599999995</v>
      </c>
      <c r="AJ366" s="242">
        <f>+(K366*8.21+L366*22.53)*12*10-[3]Лист1!$AQ$243</f>
        <v>34933.020000000019</v>
      </c>
      <c r="AK366" s="242"/>
      <c r="AL366" s="112">
        <f t="shared" si="80"/>
        <v>0</v>
      </c>
      <c r="AM366" s="30"/>
      <c r="AN366" s="30">
        <v>0</v>
      </c>
      <c r="AO366" s="30"/>
      <c r="AP366" s="30"/>
      <c r="AQ366" s="30">
        <v>0</v>
      </c>
      <c r="AR366" s="30"/>
      <c r="AS366" s="30"/>
      <c r="AT366" s="30">
        <v>0</v>
      </c>
      <c r="AU366" s="30">
        <v>2212764.58</v>
      </c>
      <c r="AV366" s="30">
        <v>0</v>
      </c>
      <c r="AW366" s="30"/>
      <c r="AX366" s="30"/>
      <c r="AY366" s="30"/>
      <c r="AZ366" s="30"/>
      <c r="BA366" s="40"/>
      <c r="BB366" s="5">
        <f t="shared" si="81"/>
        <v>2212764.58</v>
      </c>
    </row>
    <row r="367" spans="1:54" hidden="1">
      <c r="A367" s="10">
        <f t="shared" si="74"/>
        <v>349</v>
      </c>
      <c r="B367" s="113">
        <f t="shared" si="77"/>
        <v>161</v>
      </c>
      <c r="C367" s="12" t="s">
        <v>159</v>
      </c>
      <c r="D367" s="12" t="s">
        <v>635</v>
      </c>
      <c r="E367" s="102">
        <v>1981</v>
      </c>
      <c r="F367" s="102"/>
      <c r="G367" s="102" t="s">
        <v>3</v>
      </c>
      <c r="H367" s="102">
        <v>2</v>
      </c>
      <c r="I367" s="102">
        <v>1</v>
      </c>
      <c r="J367" s="62">
        <v>660</v>
      </c>
      <c r="K367" s="62">
        <v>592.70000000000005</v>
      </c>
      <c r="L367" s="62">
        <v>0</v>
      </c>
      <c r="M367" s="103">
        <v>13</v>
      </c>
      <c r="N367" s="28">
        <f t="shared" si="75"/>
        <v>2847700.4199999953</v>
      </c>
      <c r="O367" s="30"/>
      <c r="P367" s="30">
        <v>429373.41</v>
      </c>
      <c r="Q367" s="31"/>
      <c r="R367" s="31"/>
      <c r="S367" s="30"/>
      <c r="T367" s="31"/>
      <c r="U367" s="31"/>
      <c r="V367" s="30">
        <v>416647.16056836501</v>
      </c>
      <c r="W367" s="31"/>
      <c r="X367" s="31"/>
      <c r="Y367" s="30">
        <v>2001679.84943163</v>
      </c>
      <c r="Z367" s="31"/>
      <c r="AA367" s="31"/>
      <c r="AB367" s="30"/>
      <c r="AC367" s="32"/>
      <c r="AD367" s="32"/>
      <c r="AE367" s="30">
        <v>7184.1916223999997</v>
      </c>
      <c r="AF367" s="30">
        <v>1434.2830200640001</v>
      </c>
      <c r="AG367" s="186">
        <v>2023</v>
      </c>
      <c r="AH367" s="98">
        <v>365168.99</v>
      </c>
      <c r="AI367" s="5">
        <f>+(K367*10.5+L367*21)*12*0.85</f>
        <v>63478.170000000006</v>
      </c>
      <c r="AJ367" s="5">
        <f>+(K367*10.5+L367*21)*12*30</f>
        <v>2240406.0000000005</v>
      </c>
      <c r="AL367" s="112">
        <f t="shared" si="80"/>
        <v>0</v>
      </c>
      <c r="AM367" s="30">
        <v>0</v>
      </c>
      <c r="AN367" s="30">
        <v>0</v>
      </c>
      <c r="AO367" s="30"/>
      <c r="AP367" s="30"/>
      <c r="AQ367" s="30"/>
      <c r="AR367" s="30"/>
      <c r="AS367" s="30"/>
      <c r="AT367" s="30">
        <v>0</v>
      </c>
      <c r="AU367" s="30">
        <v>0</v>
      </c>
      <c r="AV367" s="30">
        <v>0</v>
      </c>
      <c r="AW367" s="30">
        <v>0</v>
      </c>
      <c r="AX367" s="30">
        <v>2719951.1</v>
      </c>
      <c r="AY367" s="30">
        <v>103749.32</v>
      </c>
      <c r="AZ367" s="30">
        <v>24000</v>
      </c>
      <c r="BA367" s="40"/>
      <c r="BB367" s="5">
        <f t="shared" si="81"/>
        <v>2847700.4199999953</v>
      </c>
    </row>
    <row r="368" spans="1:54" s="142" customFormat="1" hidden="1">
      <c r="A368" s="10">
        <f t="shared" si="74"/>
        <v>350</v>
      </c>
      <c r="B368" s="113">
        <f t="shared" si="77"/>
        <v>162</v>
      </c>
      <c r="C368" s="101" t="s">
        <v>636</v>
      </c>
      <c r="D368" s="101" t="s">
        <v>637</v>
      </c>
      <c r="E368" s="102" t="s">
        <v>168</v>
      </c>
      <c r="F368" s="102" t="s">
        <v>168</v>
      </c>
      <c r="G368" s="102" t="s">
        <v>3</v>
      </c>
      <c r="H368" s="102" t="s">
        <v>169</v>
      </c>
      <c r="I368" s="102" t="s">
        <v>183</v>
      </c>
      <c r="J368" s="62">
        <v>4959.8999999999996</v>
      </c>
      <c r="K368" s="62">
        <v>4332.8999999999996</v>
      </c>
      <c r="L368" s="62">
        <v>85.1</v>
      </c>
      <c r="M368" s="103">
        <v>166</v>
      </c>
      <c r="N368" s="28">
        <f t="shared" si="75"/>
        <v>10053149.609999999</v>
      </c>
      <c r="O368" s="30">
        <v>0</v>
      </c>
      <c r="P368" s="30"/>
      <c r="Q368" s="31"/>
      <c r="R368" s="31"/>
      <c r="S368" s="30">
        <v>0</v>
      </c>
      <c r="T368" s="31"/>
      <c r="U368" s="31"/>
      <c r="V368" s="30">
        <v>2543640.4300000002</v>
      </c>
      <c r="W368" s="31"/>
      <c r="X368" s="31"/>
      <c r="Y368" s="30">
        <v>7509509.1799999997</v>
      </c>
      <c r="Z368" s="31"/>
      <c r="AA368" s="31"/>
      <c r="AB368" s="107"/>
      <c r="AC368" s="108"/>
      <c r="AD368" s="108"/>
      <c r="AE368" s="30">
        <v>2525.5064644736599</v>
      </c>
      <c r="AF368" s="30">
        <v>1435.2830200640001</v>
      </c>
      <c r="AG368" s="186">
        <v>2023</v>
      </c>
      <c r="AH368" s="98">
        <v>2639671.19</v>
      </c>
      <c r="AI368" s="5">
        <f>+(K368*10.5+L368*21)*12*0.85</f>
        <v>482282.00999999995</v>
      </c>
      <c r="AJ368" s="5">
        <f>+(K368*10.5+L368*21)*12*30</f>
        <v>17021718</v>
      </c>
      <c r="AK368" s="5"/>
      <c r="AL368" s="112">
        <f t="shared" si="80"/>
        <v>0</v>
      </c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>
        <v>9759955.2699999996</v>
      </c>
      <c r="AY368" s="30">
        <v>269194.34000000003</v>
      </c>
      <c r="AZ368" s="30">
        <v>24000</v>
      </c>
      <c r="BA368" s="40"/>
      <c r="BB368" s="5">
        <f t="shared" si="81"/>
        <v>10053149.609999999</v>
      </c>
    </row>
    <row r="369" spans="1:54" hidden="1">
      <c r="A369" s="10">
        <f t="shared" si="74"/>
        <v>351</v>
      </c>
      <c r="B369" s="113">
        <f t="shared" si="77"/>
        <v>163</v>
      </c>
      <c r="C369" s="101" t="s">
        <v>159</v>
      </c>
      <c r="D369" s="101" t="s">
        <v>638</v>
      </c>
      <c r="E369" s="102">
        <v>1997</v>
      </c>
      <c r="F369" s="102">
        <v>2012</v>
      </c>
      <c r="G369" s="102" t="s">
        <v>3</v>
      </c>
      <c r="H369" s="102">
        <v>5</v>
      </c>
      <c r="I369" s="102">
        <v>4</v>
      </c>
      <c r="J369" s="62">
        <v>3981.21</v>
      </c>
      <c r="K369" s="62">
        <v>3474.7</v>
      </c>
      <c r="L369" s="62">
        <v>88.61</v>
      </c>
      <c r="M369" s="103">
        <v>114</v>
      </c>
      <c r="N369" s="28">
        <f t="shared" si="75"/>
        <v>1611028.9</v>
      </c>
      <c r="O369" s="30"/>
      <c r="P369" s="30"/>
      <c r="Q369" s="31"/>
      <c r="R369" s="31"/>
      <c r="S369" s="30"/>
      <c r="T369" s="31"/>
      <c r="U369" s="31"/>
      <c r="V369" s="30">
        <v>1611028.9</v>
      </c>
      <c r="W369" s="31"/>
      <c r="X369" s="31"/>
      <c r="Y369" s="30"/>
      <c r="Z369" s="31"/>
      <c r="AA369" s="31"/>
      <c r="AB369" s="30"/>
      <c r="AC369" s="32"/>
      <c r="AD369" s="32"/>
      <c r="AE369" s="30">
        <v>458.638345747757</v>
      </c>
      <c r="AF369" s="30">
        <v>458.638345747757</v>
      </c>
      <c r="AG369" s="186">
        <v>2023</v>
      </c>
      <c r="AH369" s="1">
        <v>1742724.96</v>
      </c>
      <c r="AI369" s="5">
        <f t="shared" ref="AI369:AI374" si="82">+(K369*10+L369*20)*12*0.85</f>
        <v>372495.83999999997</v>
      </c>
      <c r="AJ369" s="5">
        <f>+(K369*10+L369*20)*12*30</f>
        <v>13146911.999999998</v>
      </c>
      <c r="AL369" s="37">
        <f t="shared" si="80"/>
        <v>0</v>
      </c>
      <c r="AM369" s="30">
        <v>0</v>
      </c>
      <c r="AN369" s="30">
        <v>0</v>
      </c>
      <c r="AO369" s="30">
        <v>0</v>
      </c>
      <c r="AP369" s="30">
        <v>0</v>
      </c>
      <c r="AQ369" s="30">
        <v>1611028.9</v>
      </c>
      <c r="AR369" s="30"/>
      <c r="AS369" s="30"/>
      <c r="AT369" s="30">
        <v>0</v>
      </c>
      <c r="AU369" s="30">
        <v>0</v>
      </c>
      <c r="AV369" s="30">
        <v>0</v>
      </c>
      <c r="AW369" s="30">
        <v>0</v>
      </c>
      <c r="AX369" s="30">
        <v>0</v>
      </c>
      <c r="AY369" s="30"/>
      <c r="AZ369" s="30"/>
      <c r="BA369" s="40"/>
      <c r="BB369" s="5">
        <f t="shared" si="81"/>
        <v>1611028.9</v>
      </c>
    </row>
    <row r="370" spans="1:54" hidden="1">
      <c r="A370" s="10">
        <f t="shared" ref="A370:A378" si="83">+A369+1</f>
        <v>352</v>
      </c>
      <c r="B370" s="113">
        <f t="shared" si="77"/>
        <v>164</v>
      </c>
      <c r="C370" s="12" t="s">
        <v>159</v>
      </c>
      <c r="D370" s="12" t="s">
        <v>639</v>
      </c>
      <c r="E370" s="102">
        <v>1992</v>
      </c>
      <c r="F370" s="102">
        <v>2010</v>
      </c>
      <c r="G370" s="102" t="s">
        <v>3</v>
      </c>
      <c r="H370" s="102">
        <v>2</v>
      </c>
      <c r="I370" s="102">
        <v>2</v>
      </c>
      <c r="J370" s="62">
        <v>1132.5999999999999</v>
      </c>
      <c r="K370" s="62">
        <v>869.3</v>
      </c>
      <c r="L370" s="62">
        <v>263.3</v>
      </c>
      <c r="M370" s="103">
        <v>31</v>
      </c>
      <c r="N370" s="28">
        <f t="shared" si="75"/>
        <v>2853099.65</v>
      </c>
      <c r="O370" s="30"/>
      <c r="P370" s="30">
        <v>2566400.56</v>
      </c>
      <c r="Q370" s="31"/>
      <c r="R370" s="31"/>
      <c r="S370" s="30"/>
      <c r="T370" s="31"/>
      <c r="U370" s="31"/>
      <c r="V370" s="30">
        <v>286699.09000000003</v>
      </c>
      <c r="W370" s="31"/>
      <c r="X370" s="31"/>
      <c r="Y370" s="30"/>
      <c r="Z370" s="31"/>
      <c r="AA370" s="31"/>
      <c r="AB370" s="30"/>
      <c r="AC370" s="32"/>
      <c r="AD370" s="32"/>
      <c r="AE370" s="30">
        <v>4638.58261564028</v>
      </c>
      <c r="AF370" s="30">
        <v>4638.58261564028</v>
      </c>
      <c r="AG370" s="186">
        <v>2023</v>
      </c>
      <c r="AH370" s="1">
        <f>467298.54-180991.88</f>
        <v>286306.65999999997</v>
      </c>
      <c r="AI370" s="5">
        <f t="shared" si="82"/>
        <v>142381.79999999999</v>
      </c>
      <c r="AJ370" s="5">
        <f>+(K370*10+L370*20)*12*30-1001.27</f>
        <v>5024238.7300000004</v>
      </c>
      <c r="AL370" s="37">
        <f t="shared" si="80"/>
        <v>0</v>
      </c>
      <c r="AM370" s="30">
        <v>0</v>
      </c>
      <c r="AN370" s="30">
        <v>0</v>
      </c>
      <c r="AO370" s="30">
        <v>0</v>
      </c>
      <c r="AP370" s="30">
        <v>0</v>
      </c>
      <c r="AQ370" s="30">
        <v>316916.15000000002</v>
      </c>
      <c r="AR370" s="30"/>
      <c r="AS370" s="30"/>
      <c r="AT370" s="30">
        <v>0</v>
      </c>
      <c r="AU370" s="30">
        <v>0</v>
      </c>
      <c r="AV370" s="30">
        <v>0</v>
      </c>
      <c r="AW370" s="30">
        <v>0</v>
      </c>
      <c r="AX370" s="30">
        <v>2536183.5</v>
      </c>
      <c r="AY370" s="30"/>
      <c r="AZ370" s="30"/>
      <c r="BA370" s="40"/>
      <c r="BB370" s="5">
        <f t="shared" si="81"/>
        <v>2853099.65</v>
      </c>
    </row>
    <row r="371" spans="1:54" hidden="1">
      <c r="A371" s="10">
        <f t="shared" si="83"/>
        <v>353</v>
      </c>
      <c r="B371" s="113">
        <f t="shared" si="77"/>
        <v>165</v>
      </c>
      <c r="C371" s="12" t="s">
        <v>159</v>
      </c>
      <c r="D371" s="12" t="s">
        <v>641</v>
      </c>
      <c r="E371" s="102">
        <v>1993</v>
      </c>
      <c r="F371" s="102">
        <v>2009</v>
      </c>
      <c r="G371" s="102" t="s">
        <v>3</v>
      </c>
      <c r="H371" s="102">
        <v>2</v>
      </c>
      <c r="I371" s="102">
        <v>2</v>
      </c>
      <c r="J371" s="62">
        <v>1119.8</v>
      </c>
      <c r="K371" s="62">
        <v>862.9</v>
      </c>
      <c r="L371" s="62">
        <v>256.89999999999998</v>
      </c>
      <c r="M371" s="103">
        <v>33</v>
      </c>
      <c r="N371" s="28">
        <f t="shared" si="75"/>
        <v>2778863.9</v>
      </c>
      <c r="O371" s="30"/>
      <c r="P371" s="30">
        <v>2460480.84</v>
      </c>
      <c r="Q371" s="31"/>
      <c r="R371" s="31"/>
      <c r="S371" s="30"/>
      <c r="T371" s="31"/>
      <c r="U371" s="31"/>
      <c r="V371" s="30">
        <v>318383.06</v>
      </c>
      <c r="W371" s="31"/>
      <c r="X371" s="31"/>
      <c r="Y371" s="30"/>
      <c r="Z371" s="31"/>
      <c r="AA371" s="31"/>
      <c r="AB371" s="30"/>
      <c r="AC371" s="32"/>
      <c r="AD371" s="32"/>
      <c r="AE371" s="30">
        <v>4704.4018363488703</v>
      </c>
      <c r="AF371" s="30">
        <v>4704.4018363488703</v>
      </c>
      <c r="AG371" s="186">
        <v>2023</v>
      </c>
      <c r="AH371" s="1">
        <f>384509.89-236084.3854</f>
        <v>148425.50460000001</v>
      </c>
      <c r="AI371" s="5">
        <f t="shared" si="82"/>
        <v>140423.4</v>
      </c>
      <c r="AJ371" s="5">
        <f>+(K371*10+L371*20)*12*30-325085.89</f>
        <v>4631034.1100000003</v>
      </c>
      <c r="AL371" s="37">
        <f t="shared" si="80"/>
        <v>0</v>
      </c>
      <c r="AM371" s="30">
        <v>0</v>
      </c>
      <c r="AN371" s="30">
        <v>0</v>
      </c>
      <c r="AO371" s="30">
        <v>0</v>
      </c>
      <c r="AP371" s="30">
        <v>0</v>
      </c>
      <c r="AQ371" s="30">
        <v>375448.21</v>
      </c>
      <c r="AR371" s="30"/>
      <c r="AS371" s="30"/>
      <c r="AT371" s="30">
        <v>0</v>
      </c>
      <c r="AU371" s="30">
        <v>0</v>
      </c>
      <c r="AV371" s="30">
        <v>0</v>
      </c>
      <c r="AW371" s="30">
        <v>0</v>
      </c>
      <c r="AX371" s="30">
        <v>2403415.69</v>
      </c>
      <c r="AY371" s="30"/>
      <c r="AZ371" s="30"/>
      <c r="BA371" s="40"/>
      <c r="BB371" s="5">
        <f t="shared" si="81"/>
        <v>2778863.9</v>
      </c>
    </row>
    <row r="372" spans="1:54" hidden="1">
      <c r="A372" s="10">
        <f t="shared" si="83"/>
        <v>354</v>
      </c>
      <c r="B372" s="113">
        <f t="shared" si="77"/>
        <v>166</v>
      </c>
      <c r="C372" s="101" t="s">
        <v>162</v>
      </c>
      <c r="D372" s="101" t="s">
        <v>643</v>
      </c>
      <c r="E372" s="102">
        <v>1974</v>
      </c>
      <c r="F372" s="102">
        <v>2011</v>
      </c>
      <c r="G372" s="102" t="s">
        <v>3</v>
      </c>
      <c r="H372" s="102">
        <v>5</v>
      </c>
      <c r="I372" s="102">
        <v>4</v>
      </c>
      <c r="J372" s="62">
        <v>3194.1</v>
      </c>
      <c r="K372" s="62">
        <v>1856.9</v>
      </c>
      <c r="L372" s="62">
        <v>1224.7</v>
      </c>
      <c r="M372" s="103">
        <v>88</v>
      </c>
      <c r="N372" s="28">
        <f t="shared" si="75"/>
        <v>1097350.6499999999</v>
      </c>
      <c r="O372" s="30"/>
      <c r="P372" s="30"/>
      <c r="Q372" s="31"/>
      <c r="R372" s="31"/>
      <c r="S372" s="30"/>
      <c r="T372" s="31"/>
      <c r="U372" s="31"/>
      <c r="V372" s="30">
        <v>527720.56000000006</v>
      </c>
      <c r="W372" s="31"/>
      <c r="X372" s="31"/>
      <c r="Y372" s="30">
        <v>569630.09</v>
      </c>
      <c r="Z372" s="31"/>
      <c r="AA372" s="31"/>
      <c r="AB372" s="30"/>
      <c r="AC372" s="32"/>
      <c r="AD372" s="32"/>
      <c r="AE372" s="30">
        <v>404.78792227645403</v>
      </c>
      <c r="AF372" s="30">
        <v>404.78792227645403</v>
      </c>
      <c r="AG372" s="186">
        <v>2023</v>
      </c>
      <c r="AH372" s="1">
        <f>1878287.66-954525.39</f>
        <v>923762.2699999999</v>
      </c>
      <c r="AI372" s="5">
        <f t="shared" si="82"/>
        <v>439242.6</v>
      </c>
      <c r="AJ372" s="5">
        <f>+(K372*10+L372*20)*12*30-119920.72-2599968.3</f>
        <v>12782790.98</v>
      </c>
      <c r="AL372" s="37">
        <f t="shared" si="80"/>
        <v>0</v>
      </c>
      <c r="AM372" s="30">
        <v>0</v>
      </c>
      <c r="AN372" s="30">
        <v>0</v>
      </c>
      <c r="AO372" s="30">
        <v>0</v>
      </c>
      <c r="AP372" s="30">
        <v>0</v>
      </c>
      <c r="AQ372" s="30"/>
      <c r="AR372" s="30"/>
      <c r="AS372" s="30"/>
      <c r="AT372" s="30">
        <v>0</v>
      </c>
      <c r="AU372" s="30">
        <v>0</v>
      </c>
      <c r="AV372" s="30">
        <v>0</v>
      </c>
      <c r="AW372" s="30">
        <v>0</v>
      </c>
      <c r="AX372" s="30">
        <v>1097350.6499999999</v>
      </c>
      <c r="AY372" s="30"/>
      <c r="AZ372" s="30"/>
      <c r="BA372" s="40"/>
      <c r="BB372" s="5">
        <f t="shared" si="81"/>
        <v>1097350.6499999999</v>
      </c>
    </row>
    <row r="373" spans="1:54" hidden="1">
      <c r="A373" s="10">
        <f t="shared" si="83"/>
        <v>355</v>
      </c>
      <c r="B373" s="113">
        <f t="shared" si="77"/>
        <v>167</v>
      </c>
      <c r="C373" s="12" t="s">
        <v>162</v>
      </c>
      <c r="D373" s="12" t="s">
        <v>442</v>
      </c>
      <c r="E373" s="102">
        <v>1969</v>
      </c>
      <c r="F373" s="102">
        <v>2009</v>
      </c>
      <c r="G373" s="102" t="s">
        <v>3</v>
      </c>
      <c r="H373" s="102">
        <v>4</v>
      </c>
      <c r="I373" s="102">
        <v>4</v>
      </c>
      <c r="J373" s="62">
        <v>2719.1</v>
      </c>
      <c r="K373" s="62">
        <v>2454</v>
      </c>
      <c r="L373" s="62">
        <v>66.5</v>
      </c>
      <c r="M373" s="103">
        <v>120</v>
      </c>
      <c r="N373" s="28">
        <f t="shared" si="75"/>
        <v>6360000</v>
      </c>
      <c r="O373" s="30"/>
      <c r="P373" s="30">
        <v>671332.44</v>
      </c>
      <c r="Q373" s="31"/>
      <c r="R373" s="31"/>
      <c r="S373" s="30"/>
      <c r="T373" s="31"/>
      <c r="U373" s="31"/>
      <c r="V373" s="30">
        <v>0</v>
      </c>
      <c r="W373" s="31"/>
      <c r="X373" s="31"/>
      <c r="Y373" s="30">
        <v>5688667.5599999996</v>
      </c>
      <c r="Z373" s="31"/>
      <c r="AA373" s="31"/>
      <c r="AB373" s="30"/>
      <c r="AC373" s="32"/>
      <c r="AD373" s="32"/>
      <c r="AE373" s="30">
        <v>2583.7596236238801</v>
      </c>
      <c r="AF373" s="30">
        <v>2583.7596236238801</v>
      </c>
      <c r="AG373" s="186">
        <v>2023</v>
      </c>
      <c r="AH373" s="18">
        <f>882910.83-V200</f>
        <v>-280632.59999999998</v>
      </c>
      <c r="AI373" s="5">
        <f t="shared" si="82"/>
        <v>263874</v>
      </c>
      <c r="AJ373" s="5">
        <f>+(K373*10+L373*20)*12*30-Y200</f>
        <v>4363141.55</v>
      </c>
      <c r="AL373" s="37">
        <f t="shared" si="80"/>
        <v>0</v>
      </c>
      <c r="AM373" s="30">
        <v>0</v>
      </c>
      <c r="AN373" s="30">
        <v>0</v>
      </c>
      <c r="AO373" s="30">
        <v>0</v>
      </c>
      <c r="AP373" s="30">
        <v>0</v>
      </c>
      <c r="AQ373" s="30"/>
      <c r="AR373" s="30"/>
      <c r="AS373" s="30"/>
      <c r="AT373" s="30">
        <v>0</v>
      </c>
      <c r="AU373" s="30">
        <v>0</v>
      </c>
      <c r="AV373" s="30">
        <v>0</v>
      </c>
      <c r="AW373" s="30"/>
      <c r="AX373" s="30">
        <v>6360000</v>
      </c>
      <c r="AY373" s="30"/>
      <c r="AZ373" s="30"/>
      <c r="BA373" s="40"/>
      <c r="BB373" s="5">
        <f t="shared" si="81"/>
        <v>6360000</v>
      </c>
    </row>
    <row r="374" spans="1:54" hidden="1">
      <c r="A374" s="10">
        <f t="shared" si="83"/>
        <v>356</v>
      </c>
      <c r="B374" s="113">
        <f t="shared" si="77"/>
        <v>168</v>
      </c>
      <c r="C374" s="12" t="s">
        <v>162</v>
      </c>
      <c r="D374" s="12" t="s">
        <v>438</v>
      </c>
      <c r="E374" s="102">
        <v>1985</v>
      </c>
      <c r="F374" s="102">
        <v>2011</v>
      </c>
      <c r="G374" s="102" t="s">
        <v>3</v>
      </c>
      <c r="H374" s="102">
        <v>5</v>
      </c>
      <c r="I374" s="102">
        <v>2</v>
      </c>
      <c r="J374" s="62">
        <v>1696.6</v>
      </c>
      <c r="K374" s="62">
        <v>1532.2</v>
      </c>
      <c r="L374" s="62">
        <v>54.4</v>
      </c>
      <c r="M374" s="103">
        <v>58</v>
      </c>
      <c r="N374" s="28">
        <f t="shared" si="75"/>
        <v>530082.84</v>
      </c>
      <c r="O374" s="30"/>
      <c r="P374" s="30">
        <v>209145.34</v>
      </c>
      <c r="Q374" s="31"/>
      <c r="R374" s="31"/>
      <c r="S374" s="30"/>
      <c r="T374" s="31"/>
      <c r="U374" s="31"/>
      <c r="V374" s="30">
        <v>0</v>
      </c>
      <c r="W374" s="31"/>
      <c r="X374" s="31"/>
      <c r="Y374" s="30">
        <v>320937.5</v>
      </c>
      <c r="Z374" s="31"/>
      <c r="AA374" s="31"/>
      <c r="AB374" s="30"/>
      <c r="AC374" s="32"/>
      <c r="AD374" s="32"/>
      <c r="AE374" s="30">
        <v>346.42993666375901</v>
      </c>
      <c r="AF374" s="30">
        <v>346.42993666375901</v>
      </c>
      <c r="AG374" s="186">
        <v>2023</v>
      </c>
      <c r="AH374" s="18">
        <f>660207.23-V198</f>
        <v>-167382</v>
      </c>
      <c r="AI374" s="5">
        <f t="shared" si="82"/>
        <v>167382</v>
      </c>
      <c r="AJ374" s="5">
        <f>+(K374*10+L374*20)*12*30-Y198</f>
        <v>5575781.6399999997</v>
      </c>
      <c r="AL374" s="37">
        <f t="shared" si="80"/>
        <v>0</v>
      </c>
      <c r="AM374" s="30"/>
      <c r="AN374" s="30"/>
      <c r="AO374" s="30"/>
      <c r="AP374" s="30"/>
      <c r="AQ374" s="30">
        <v>530082.84</v>
      </c>
      <c r="AR374" s="30"/>
      <c r="AS374" s="30"/>
      <c r="AT374" s="30">
        <v>0</v>
      </c>
      <c r="AU374" s="30">
        <v>0</v>
      </c>
      <c r="AV374" s="30">
        <v>0</v>
      </c>
      <c r="AW374" s="30">
        <v>0</v>
      </c>
      <c r="AX374" s="30">
        <v>0</v>
      </c>
      <c r="AY374" s="30"/>
      <c r="AZ374" s="30"/>
      <c r="BA374" s="40"/>
      <c r="BB374" s="5">
        <f t="shared" si="81"/>
        <v>530082.84</v>
      </c>
    </row>
    <row r="375" spans="1:54" s="142" customFormat="1" hidden="1">
      <c r="A375" s="10">
        <f t="shared" si="83"/>
        <v>357</v>
      </c>
      <c r="B375" s="113">
        <f t="shared" si="77"/>
        <v>169</v>
      </c>
      <c r="C375" s="101" t="s">
        <v>645</v>
      </c>
      <c r="D375" s="101" t="s">
        <v>646</v>
      </c>
      <c r="E375" s="102" t="s">
        <v>486</v>
      </c>
      <c r="F375" s="102" t="s">
        <v>486</v>
      </c>
      <c r="G375" s="102" t="s">
        <v>3</v>
      </c>
      <c r="H375" s="102" t="s">
        <v>27</v>
      </c>
      <c r="I375" s="102" t="s">
        <v>27</v>
      </c>
      <c r="J375" s="62">
        <v>948.7</v>
      </c>
      <c r="K375" s="62">
        <v>864.8</v>
      </c>
      <c r="L375" s="62">
        <v>80.099999999999994</v>
      </c>
      <c r="M375" s="103">
        <v>31</v>
      </c>
      <c r="N375" s="28">
        <f t="shared" si="75"/>
        <v>2017825.74</v>
      </c>
      <c r="O375" s="30">
        <v>0</v>
      </c>
      <c r="P375" s="30"/>
      <c r="Q375" s="31"/>
      <c r="R375" s="31"/>
      <c r="S375" s="30">
        <v>0</v>
      </c>
      <c r="T375" s="31"/>
      <c r="U375" s="31"/>
      <c r="V375" s="30">
        <v>424479.78</v>
      </c>
      <c r="W375" s="31"/>
      <c r="X375" s="31"/>
      <c r="Y375" s="30">
        <v>1593345.96</v>
      </c>
      <c r="Z375" s="31"/>
      <c r="AA375" s="31"/>
      <c r="AB375" s="30"/>
      <c r="AC375" s="32"/>
      <c r="AD375" s="32"/>
      <c r="AE375" s="30">
        <v>7880.4985971997603</v>
      </c>
      <c r="AF375" s="30">
        <v>1438.2830200640001</v>
      </c>
      <c r="AG375" s="186">
        <v>2023</v>
      </c>
      <c r="AH375" s="98">
        <v>314702.28000000003</v>
      </c>
      <c r="AI375" s="5">
        <f>+(K375*10.5+L375*21)*12*0.85</f>
        <v>109777.5</v>
      </c>
      <c r="AJ375" s="5">
        <f>+(K375*10.5+L375*21)*12*30-1088917.12</f>
        <v>2785582.88</v>
      </c>
      <c r="AK375" s="5"/>
      <c r="AL375" s="112">
        <f t="shared" si="80"/>
        <v>0</v>
      </c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>
        <v>1885957.2</v>
      </c>
      <c r="AY375" s="30">
        <v>107868.54</v>
      </c>
      <c r="AZ375" s="30">
        <v>24000</v>
      </c>
      <c r="BA375" s="40"/>
      <c r="BB375" s="5">
        <f t="shared" si="81"/>
        <v>2017825.74</v>
      </c>
    </row>
    <row r="376" spans="1:54" s="142" customFormat="1" hidden="1">
      <c r="A376" s="10">
        <f t="shared" si="83"/>
        <v>358</v>
      </c>
      <c r="B376" s="113">
        <f t="shared" si="77"/>
        <v>170</v>
      </c>
      <c r="C376" s="101" t="s">
        <v>185</v>
      </c>
      <c r="D376" s="12" t="s">
        <v>647</v>
      </c>
      <c r="E376" s="102" t="s">
        <v>648</v>
      </c>
      <c r="F376" s="102"/>
      <c r="G376" s="102" t="s">
        <v>3</v>
      </c>
      <c r="H376" s="102">
        <v>3</v>
      </c>
      <c r="I376" s="102">
        <v>3</v>
      </c>
      <c r="J376" s="62">
        <v>2064.6</v>
      </c>
      <c r="K376" s="62">
        <v>1675.2</v>
      </c>
      <c r="L376" s="62">
        <v>0</v>
      </c>
      <c r="M376" s="103">
        <v>85</v>
      </c>
      <c r="N376" s="28">
        <f t="shared" si="75"/>
        <v>19396547.59</v>
      </c>
      <c r="O376" s="62"/>
      <c r="P376" s="30">
        <v>0</v>
      </c>
      <c r="Q376" s="31"/>
      <c r="R376" s="31"/>
      <c r="S376" s="30"/>
      <c r="T376" s="31"/>
      <c r="U376" s="31"/>
      <c r="V376" s="30">
        <v>19396547.59</v>
      </c>
      <c r="W376" s="31"/>
      <c r="X376" s="31"/>
      <c r="Y376" s="30"/>
      <c r="Z376" s="31"/>
      <c r="AA376" s="31"/>
      <c r="AB376" s="62"/>
      <c r="AC376" s="106"/>
      <c r="AD376" s="106"/>
      <c r="AE376" s="107">
        <f t="shared" ref="AE376:AF378" si="84">$N376/($K376+$L376)</f>
        <v>11578.645887058261</v>
      </c>
      <c r="AF376" s="107">
        <f t="shared" si="84"/>
        <v>11578.645887058261</v>
      </c>
      <c r="AG376" s="186">
        <v>2023</v>
      </c>
      <c r="AH376" s="166">
        <v>863803.68</v>
      </c>
      <c r="AI376" s="5">
        <f>+(K376*13.29+L376*22.52)*12*0.85</f>
        <v>227086.7616</v>
      </c>
      <c r="AJ376" s="5">
        <f>+(K376*10+L376*20)*12*30</f>
        <v>6030720</v>
      </c>
      <c r="AK376" s="5"/>
      <c r="AL376" s="37">
        <f t="shared" si="80"/>
        <v>0</v>
      </c>
      <c r="AM376" s="30">
        <v>0</v>
      </c>
      <c r="AN376" s="30">
        <v>0</v>
      </c>
      <c r="AO376" s="30">
        <v>0</v>
      </c>
      <c r="AP376" s="30">
        <v>0</v>
      </c>
      <c r="AQ376" s="30">
        <v>0</v>
      </c>
      <c r="AR376" s="30"/>
      <c r="AS376" s="30"/>
      <c r="AT376" s="30">
        <v>0</v>
      </c>
      <c r="AU376" s="30">
        <v>19396547.59</v>
      </c>
      <c r="AV376" s="30">
        <v>0</v>
      </c>
      <c r="AW376" s="30">
        <v>0</v>
      </c>
      <c r="AX376" s="30">
        <v>0</v>
      </c>
      <c r="AY376" s="30"/>
      <c r="AZ376" s="30"/>
      <c r="BA376" s="156"/>
      <c r="BB376" s="5">
        <f t="shared" si="81"/>
        <v>19396547.59</v>
      </c>
    </row>
    <row r="377" spans="1:54" s="142" customFormat="1" hidden="1">
      <c r="A377" s="10">
        <f t="shared" si="83"/>
        <v>359</v>
      </c>
      <c r="B377" s="113">
        <f t="shared" si="77"/>
        <v>171</v>
      </c>
      <c r="C377" s="101" t="s">
        <v>185</v>
      </c>
      <c r="D377" s="101" t="s">
        <v>649</v>
      </c>
      <c r="E377" s="102">
        <v>1996</v>
      </c>
      <c r="F377" s="102"/>
      <c r="G377" s="102" t="s">
        <v>3</v>
      </c>
      <c r="H377" s="102">
        <v>4</v>
      </c>
      <c r="I377" s="102">
        <v>3</v>
      </c>
      <c r="J377" s="62">
        <v>6441.2</v>
      </c>
      <c r="K377" s="62">
        <v>4463.1000000000004</v>
      </c>
      <c r="L377" s="62">
        <v>1969.2</v>
      </c>
      <c r="M377" s="103">
        <v>152</v>
      </c>
      <c r="N377" s="28">
        <f t="shared" si="75"/>
        <v>27023830.789999999</v>
      </c>
      <c r="O377" s="62"/>
      <c r="P377" s="30">
        <v>0</v>
      </c>
      <c r="Q377" s="31"/>
      <c r="R377" s="31"/>
      <c r="S377" s="30"/>
      <c r="T377" s="31"/>
      <c r="U377" s="31"/>
      <c r="V377" s="30">
        <v>27023830.789999999</v>
      </c>
      <c r="W377" s="31"/>
      <c r="X377" s="31"/>
      <c r="Y377" s="30"/>
      <c r="Z377" s="31"/>
      <c r="AA377" s="31"/>
      <c r="AB377" s="62"/>
      <c r="AC377" s="106"/>
      <c r="AD377" s="106"/>
      <c r="AE377" s="107">
        <f t="shared" si="84"/>
        <v>4201.2702750182671</v>
      </c>
      <c r="AF377" s="107">
        <f t="shared" si="84"/>
        <v>4201.2702750182671</v>
      </c>
      <c r="AG377" s="186">
        <v>2023</v>
      </c>
      <c r="AH377" s="166">
        <v>863803.68</v>
      </c>
      <c r="AI377" s="5">
        <f>+(K377*13.29+L377*22.52)*12*0.85</f>
        <v>1057342.0266</v>
      </c>
      <c r="AJ377" s="5">
        <f>+(K377*10+L377*20)*12*30</f>
        <v>30245400</v>
      </c>
      <c r="AK377" s="5"/>
      <c r="AL377" s="37">
        <f t="shared" si="80"/>
        <v>0</v>
      </c>
      <c r="AM377" s="30">
        <v>0</v>
      </c>
      <c r="AN377" s="30">
        <v>0</v>
      </c>
      <c r="AO377" s="30">
        <v>0</v>
      </c>
      <c r="AP377" s="30">
        <v>0</v>
      </c>
      <c r="AQ377" s="30">
        <v>0</v>
      </c>
      <c r="AR377" s="30"/>
      <c r="AS377" s="30"/>
      <c r="AT377" s="30">
        <v>0</v>
      </c>
      <c r="AU377" s="30">
        <v>2963117.94</v>
      </c>
      <c r="AV377" s="30">
        <v>0</v>
      </c>
      <c r="AW377" s="30">
        <v>24060712.850000001</v>
      </c>
      <c r="AX377" s="30">
        <v>0</v>
      </c>
      <c r="AY377" s="30"/>
      <c r="AZ377" s="30"/>
      <c r="BA377" s="156"/>
      <c r="BB377" s="5">
        <f t="shared" si="81"/>
        <v>27023830.789999999</v>
      </c>
    </row>
    <row r="378" spans="1:54" hidden="1">
      <c r="A378" s="10">
        <f t="shared" si="83"/>
        <v>360</v>
      </c>
      <c r="B378" s="113">
        <f t="shared" si="77"/>
        <v>172</v>
      </c>
      <c r="C378" s="101" t="s">
        <v>185</v>
      </c>
      <c r="D378" s="12" t="s">
        <v>651</v>
      </c>
      <c r="E378" s="102">
        <v>2010</v>
      </c>
      <c r="F378" s="102"/>
      <c r="G378" s="102" t="s">
        <v>3</v>
      </c>
      <c r="H378" s="102">
        <v>7</v>
      </c>
      <c r="I378" s="102">
        <v>3</v>
      </c>
      <c r="J378" s="62">
        <v>6265.3</v>
      </c>
      <c r="K378" s="62">
        <v>5329.6</v>
      </c>
      <c r="L378" s="62">
        <v>0</v>
      </c>
      <c r="M378" s="103">
        <v>208</v>
      </c>
      <c r="N378" s="28">
        <f t="shared" si="75"/>
        <v>893135.77</v>
      </c>
      <c r="O378" s="62"/>
      <c r="P378" s="30"/>
      <c r="Q378" s="31"/>
      <c r="R378" s="31"/>
      <c r="S378" s="30"/>
      <c r="T378" s="31"/>
      <c r="U378" s="31"/>
      <c r="V378" s="30">
        <v>893135.77</v>
      </c>
      <c r="W378" s="31"/>
      <c r="X378" s="31"/>
      <c r="Y378" s="30"/>
      <c r="Z378" s="31"/>
      <c r="AA378" s="31"/>
      <c r="AB378" s="30"/>
      <c r="AC378" s="32"/>
      <c r="AD378" s="32"/>
      <c r="AE378" s="107">
        <f t="shared" si="84"/>
        <v>167.5802630591414</v>
      </c>
      <c r="AF378" s="107">
        <f t="shared" si="84"/>
        <v>167.5802630591414</v>
      </c>
      <c r="AG378" s="186">
        <v>2023</v>
      </c>
      <c r="AH378" s="166">
        <v>3444629.27</v>
      </c>
      <c r="AI378" s="5">
        <f>+(K378*10+L378*20)*12*0.85</f>
        <v>543619.19999999995</v>
      </c>
      <c r="AJ378" s="5">
        <f>+(K378*10+L378*20)*12*30</f>
        <v>19186560</v>
      </c>
      <c r="AL378" s="37">
        <f t="shared" si="80"/>
        <v>0</v>
      </c>
      <c r="AM378" s="30"/>
      <c r="AN378" s="30">
        <v>893135.77</v>
      </c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156"/>
      <c r="BB378" s="5">
        <f t="shared" si="81"/>
        <v>893135.77</v>
      </c>
    </row>
    <row r="379" spans="1:54" s="142" customFormat="1" hidden="1">
      <c r="A379" s="10">
        <v>361</v>
      </c>
      <c r="B379" s="12" t="s">
        <v>96</v>
      </c>
      <c r="C379" s="101" t="s">
        <v>90</v>
      </c>
      <c r="D379" s="101" t="s">
        <v>91</v>
      </c>
      <c r="E379" s="102" t="s">
        <v>458</v>
      </c>
      <c r="F379" s="102"/>
      <c r="G379" s="102" t="s">
        <v>3</v>
      </c>
      <c r="H379" s="102" t="s">
        <v>169</v>
      </c>
      <c r="I379" s="102" t="s">
        <v>316</v>
      </c>
      <c r="J379" s="62">
        <v>5474.4</v>
      </c>
      <c r="K379" s="62">
        <v>4591</v>
      </c>
      <c r="L379" s="62">
        <v>74.8</v>
      </c>
      <c r="M379" s="103">
        <v>142</v>
      </c>
      <c r="N379" s="28">
        <f t="shared" si="75"/>
        <v>25340387.450000007</v>
      </c>
      <c r="O379" s="62">
        <v>0</v>
      </c>
      <c r="P379" s="30">
        <v>22389591.239999998</v>
      </c>
      <c r="Q379" s="31"/>
      <c r="R379" s="31"/>
      <c r="S379" s="30">
        <v>0</v>
      </c>
      <c r="T379" s="31"/>
      <c r="U379" s="31"/>
      <c r="V379" s="30"/>
      <c r="W379" s="31"/>
      <c r="X379" s="31"/>
      <c r="Y379" s="30">
        <v>1112195.9836142</v>
      </c>
      <c r="Z379" s="31"/>
      <c r="AA379" s="31"/>
      <c r="AB379" s="62">
        <v>1838600.2263858099</v>
      </c>
      <c r="AC379" s="106"/>
      <c r="AD379" s="106"/>
      <c r="AE379" s="30">
        <v>5340.65199143063</v>
      </c>
      <c r="AF379" s="30">
        <v>1182.2830200640001</v>
      </c>
      <c r="AG379" s="33">
        <v>2023</v>
      </c>
      <c r="AH379" s="157">
        <f>2359832.72-V210</f>
        <v>1627321.1</v>
      </c>
      <c r="AI379" s="5">
        <f>+(K379*10+L379*20)*12*0.85</f>
        <v>483541.2</v>
      </c>
      <c r="AJ379" s="5">
        <f>+(K379*10+L379*20)*12*30-Y210</f>
        <v>16829316.040000003</v>
      </c>
      <c r="AK379" s="5"/>
      <c r="AL379" s="37">
        <f t="shared" si="80"/>
        <v>0</v>
      </c>
      <c r="AM379" s="30"/>
      <c r="AN379" s="30"/>
      <c r="AO379" s="30"/>
      <c r="AP379" s="30">
        <v>0</v>
      </c>
      <c r="AQ379" s="30">
        <v>0</v>
      </c>
      <c r="AR379" s="30"/>
      <c r="AS379" s="30">
        <v>0</v>
      </c>
      <c r="AT379" s="30">
        <v>0</v>
      </c>
      <c r="AU379" s="30">
        <v>0</v>
      </c>
      <c r="AV379" s="30">
        <v>0</v>
      </c>
      <c r="AW379" s="30">
        <v>24877323.600000001</v>
      </c>
      <c r="AX379" s="30"/>
      <c r="AY379" s="30">
        <v>451063.85</v>
      </c>
      <c r="AZ379" s="30">
        <v>12000</v>
      </c>
      <c r="BA379" s="40"/>
      <c r="BB379" s="5">
        <f t="shared" si="81"/>
        <v>25340387.450000007</v>
      </c>
    </row>
    <row r="380" spans="1:54" hidden="1">
      <c r="A380" s="10">
        <f t="shared" ref="A380:A411" si="85">+A379+1</f>
        <v>362</v>
      </c>
      <c r="B380" s="12">
        <v>173</v>
      </c>
      <c r="C380" s="101" t="s">
        <v>106</v>
      </c>
      <c r="D380" s="101" t="s">
        <v>198</v>
      </c>
      <c r="E380" s="102">
        <v>1998</v>
      </c>
      <c r="F380" s="102">
        <v>1998</v>
      </c>
      <c r="G380" s="102" t="s">
        <v>3</v>
      </c>
      <c r="H380" s="102">
        <v>5</v>
      </c>
      <c r="I380" s="102">
        <v>4</v>
      </c>
      <c r="J380" s="62">
        <v>4979.8</v>
      </c>
      <c r="K380" s="62">
        <v>4317.2</v>
      </c>
      <c r="L380" s="62">
        <v>0</v>
      </c>
      <c r="M380" s="103">
        <v>170</v>
      </c>
      <c r="N380" s="28">
        <f t="shared" si="75"/>
        <v>2104424.2999999998</v>
      </c>
      <c r="O380" s="62"/>
      <c r="P380" s="30">
        <v>179287.61</v>
      </c>
      <c r="Q380" s="31"/>
      <c r="R380" s="31"/>
      <c r="S380" s="30"/>
      <c r="T380" s="31"/>
      <c r="U380" s="31"/>
      <c r="V380" s="30">
        <v>149801.63</v>
      </c>
      <c r="W380" s="31"/>
      <c r="X380" s="31"/>
      <c r="Y380" s="30">
        <v>1775335.06</v>
      </c>
      <c r="Z380" s="31"/>
      <c r="AA380" s="31"/>
      <c r="AB380" s="30"/>
      <c r="AC380" s="32"/>
      <c r="AD380" s="32"/>
      <c r="AE380" s="30">
        <v>5983.4926343375801</v>
      </c>
      <c r="AF380" s="30">
        <v>1180.2830200640001</v>
      </c>
      <c r="AG380" s="33">
        <v>2023</v>
      </c>
      <c r="AH380" s="1">
        <f>2564742.71-1318564.22</f>
        <v>1246178.49</v>
      </c>
      <c r="AI380" s="5">
        <f>+(K380*10.5+L380*21)*12*0.85</f>
        <v>462372.11999999994</v>
      </c>
      <c r="AJ380" s="5">
        <f>+(K380*10.5+L380*21)*12*30</f>
        <v>16319015.999999998</v>
      </c>
      <c r="AL380" s="112">
        <f t="shared" si="80"/>
        <v>0</v>
      </c>
      <c r="AM380" s="30"/>
      <c r="AN380" s="30"/>
      <c r="AO380" s="30">
        <v>2070922.4</v>
      </c>
      <c r="AP380" s="30"/>
      <c r="AQ380" s="30">
        <v>0</v>
      </c>
      <c r="AR380" s="30"/>
      <c r="AS380" s="30"/>
      <c r="AT380" s="30">
        <v>0</v>
      </c>
      <c r="AU380" s="30">
        <v>0</v>
      </c>
      <c r="AV380" s="30">
        <v>0</v>
      </c>
      <c r="AW380" s="30">
        <v>0</v>
      </c>
      <c r="AX380" s="30">
        <v>0</v>
      </c>
      <c r="AY380" s="30"/>
      <c r="AZ380" s="30"/>
      <c r="BA380" s="109">
        <v>33501.9</v>
      </c>
      <c r="BB380" s="5">
        <f t="shared" si="81"/>
        <v>2104424.2999999998</v>
      </c>
    </row>
    <row r="381" spans="1:54" hidden="1">
      <c r="A381" s="10">
        <f t="shared" si="85"/>
        <v>363</v>
      </c>
      <c r="B381" s="113">
        <f t="shared" ref="B381:B395" si="86">+B380+1</f>
        <v>174</v>
      </c>
      <c r="C381" s="101" t="s">
        <v>106</v>
      </c>
      <c r="D381" s="101" t="s">
        <v>107</v>
      </c>
      <c r="E381" s="102">
        <v>1993</v>
      </c>
      <c r="F381" s="102">
        <v>2012</v>
      </c>
      <c r="G381" s="102" t="s">
        <v>3</v>
      </c>
      <c r="H381" s="102">
        <v>3</v>
      </c>
      <c r="I381" s="102">
        <v>1</v>
      </c>
      <c r="J381" s="62">
        <v>1090</v>
      </c>
      <c r="K381" s="62">
        <v>942.47</v>
      </c>
      <c r="L381" s="62">
        <v>0</v>
      </c>
      <c r="M381" s="103">
        <v>33</v>
      </c>
      <c r="N381" s="28">
        <f t="shared" si="75"/>
        <v>687537.26000000013</v>
      </c>
      <c r="O381" s="62"/>
      <c r="P381" s="30"/>
      <c r="Q381" s="31"/>
      <c r="R381" s="31"/>
      <c r="S381" s="30"/>
      <c r="T381" s="31"/>
      <c r="U381" s="31"/>
      <c r="V381" s="30">
        <v>592092.87</v>
      </c>
      <c r="W381" s="31"/>
      <c r="X381" s="31"/>
      <c r="Y381" s="30">
        <v>95444.390000000101</v>
      </c>
      <c r="Z381" s="31"/>
      <c r="AA381" s="31"/>
      <c r="AB381" s="30"/>
      <c r="AC381" s="32"/>
      <c r="AD381" s="32"/>
      <c r="AE381" s="30">
        <v>840.68258183816999</v>
      </c>
      <c r="AF381" s="30">
        <v>1185.2830200640001</v>
      </c>
      <c r="AG381" s="33">
        <v>2023</v>
      </c>
      <c r="AH381" s="18">
        <f>604232.6-V24</f>
        <v>498331.45999999996</v>
      </c>
      <c r="AI381" s="5">
        <f>+(K381*10.5+L381*21)*12*0.85</f>
        <v>100938.537</v>
      </c>
      <c r="AJ381" s="5">
        <f>+(K381*10.5+L381*21)*12*30</f>
        <v>3562536.6</v>
      </c>
      <c r="AL381" s="112">
        <f t="shared" si="80"/>
        <v>0</v>
      </c>
      <c r="AM381" s="30">
        <v>0</v>
      </c>
      <c r="AN381" s="30">
        <v>0</v>
      </c>
      <c r="AO381" s="30">
        <v>681874</v>
      </c>
      <c r="AP381" s="30"/>
      <c r="AQ381" s="30">
        <v>0</v>
      </c>
      <c r="AR381" s="30"/>
      <c r="AS381" s="30"/>
      <c r="AT381" s="30">
        <v>0</v>
      </c>
      <c r="AU381" s="30">
        <v>0</v>
      </c>
      <c r="AV381" s="30">
        <v>0</v>
      </c>
      <c r="AW381" s="30">
        <v>0</v>
      </c>
      <c r="AX381" s="30">
        <v>0</v>
      </c>
      <c r="AY381" s="30"/>
      <c r="AZ381" s="30"/>
      <c r="BA381" s="109">
        <v>5663.26</v>
      </c>
      <c r="BB381" s="5">
        <f t="shared" si="81"/>
        <v>687537.26000000013</v>
      </c>
    </row>
    <row r="382" spans="1:54" hidden="1">
      <c r="A382" s="10">
        <f t="shared" si="85"/>
        <v>364</v>
      </c>
      <c r="B382" s="113">
        <f t="shared" si="86"/>
        <v>175</v>
      </c>
      <c r="C382" s="101" t="s">
        <v>106</v>
      </c>
      <c r="D382" s="101" t="s">
        <v>200</v>
      </c>
      <c r="E382" s="102">
        <v>1996</v>
      </c>
      <c r="F382" s="102">
        <v>1996</v>
      </c>
      <c r="G382" s="102" t="s">
        <v>3</v>
      </c>
      <c r="H382" s="102">
        <v>5</v>
      </c>
      <c r="I382" s="102">
        <v>4</v>
      </c>
      <c r="J382" s="62">
        <v>3635.6</v>
      </c>
      <c r="K382" s="62">
        <v>3076.7</v>
      </c>
      <c r="L382" s="62">
        <v>0</v>
      </c>
      <c r="M382" s="103">
        <v>99</v>
      </c>
      <c r="N382" s="28">
        <f t="shared" si="75"/>
        <v>6887339.9100000001</v>
      </c>
      <c r="O382" s="62"/>
      <c r="P382" s="30">
        <v>3341930.6387128299</v>
      </c>
      <c r="Q382" s="31"/>
      <c r="R382" s="31"/>
      <c r="S382" s="30"/>
      <c r="T382" s="31"/>
      <c r="U382" s="31"/>
      <c r="V382" s="30">
        <v>576501.1</v>
      </c>
      <c r="W382" s="31"/>
      <c r="X382" s="31"/>
      <c r="Y382" s="30">
        <v>2630101.1978074</v>
      </c>
      <c r="Z382" s="31"/>
      <c r="AA382" s="31"/>
      <c r="AB382" s="30">
        <v>338806.97347977001</v>
      </c>
      <c r="AC382" s="32"/>
      <c r="AD382" s="32"/>
      <c r="AE382" s="30">
        <v>5280.8963156066602</v>
      </c>
      <c r="AF382" s="30">
        <v>1182.2830200640001</v>
      </c>
      <c r="AG382" s="33">
        <v>2023</v>
      </c>
      <c r="AH382" s="1">
        <v>1855261.06</v>
      </c>
      <c r="AI382" s="5">
        <f>+(K382*10.5+L382*21)*12*0.85</f>
        <v>329514.56999999995</v>
      </c>
      <c r="AJ382" s="5">
        <f>+(K382*10.5+L382*21)*12*30</f>
        <v>11629925.999999998</v>
      </c>
      <c r="AL382" s="112">
        <f t="shared" si="80"/>
        <v>0</v>
      </c>
      <c r="AN382" s="30">
        <v>4606470.12</v>
      </c>
      <c r="AO382" s="30"/>
      <c r="AP382" s="30">
        <v>2236444.67</v>
      </c>
      <c r="AQ382" s="30">
        <v>0</v>
      </c>
      <c r="AR382" s="30"/>
      <c r="AS382" s="30"/>
      <c r="AT382" s="30">
        <v>0</v>
      </c>
      <c r="AU382" s="30">
        <v>0</v>
      </c>
      <c r="AV382" s="30">
        <v>0</v>
      </c>
      <c r="AW382" s="30">
        <v>0</v>
      </c>
      <c r="AX382" s="30">
        <v>0</v>
      </c>
      <c r="AY382" s="30"/>
      <c r="AZ382" s="30"/>
      <c r="BA382" s="109">
        <f>28896.64+15528.48</f>
        <v>44425.119999999995</v>
      </c>
      <c r="BB382" s="5">
        <f t="shared" si="81"/>
        <v>6887339.9100000001</v>
      </c>
    </row>
    <row r="383" spans="1:54" hidden="1">
      <c r="A383" s="10">
        <f t="shared" si="85"/>
        <v>365</v>
      </c>
      <c r="B383" s="113">
        <f t="shared" si="86"/>
        <v>176</v>
      </c>
      <c r="C383" s="101" t="s">
        <v>114</v>
      </c>
      <c r="D383" s="101" t="s">
        <v>237</v>
      </c>
      <c r="E383" s="102">
        <v>1985</v>
      </c>
      <c r="F383" s="102">
        <v>2017</v>
      </c>
      <c r="G383" s="102" t="s">
        <v>3</v>
      </c>
      <c r="H383" s="102">
        <v>9</v>
      </c>
      <c r="I383" s="102">
        <v>5</v>
      </c>
      <c r="J383" s="62">
        <v>13256</v>
      </c>
      <c r="K383" s="62">
        <v>10326.299999999999</v>
      </c>
      <c r="L383" s="62">
        <v>160.4</v>
      </c>
      <c r="M383" s="103">
        <v>409</v>
      </c>
      <c r="N383" s="28">
        <f t="shared" si="75"/>
        <v>6473254.5300000003</v>
      </c>
      <c r="O383" s="62"/>
      <c r="P383" s="30"/>
      <c r="Q383" s="31"/>
      <c r="R383" s="31"/>
      <c r="S383" s="30"/>
      <c r="T383" s="31"/>
      <c r="U383" s="31"/>
      <c r="V383" s="30">
        <v>5907788.6500000004</v>
      </c>
      <c r="W383" s="31"/>
      <c r="X383" s="31"/>
      <c r="Y383" s="30">
        <v>565465.88</v>
      </c>
      <c r="Z383" s="31"/>
      <c r="AA383" s="31"/>
      <c r="AB383" s="30"/>
      <c r="AC383" s="32"/>
      <c r="AD383" s="32"/>
      <c r="AE383" s="62">
        <v>3446.0015989930198</v>
      </c>
      <c r="AF383" s="62">
        <v>3446.0015989930198</v>
      </c>
      <c r="AG383" s="33">
        <v>2023</v>
      </c>
      <c r="AH383" s="1">
        <v>6376950.8499999996</v>
      </c>
      <c r="AI383" s="5">
        <f>+(K383*13.29+L383*22.52)*12*0.85</f>
        <v>1436657.0969999998</v>
      </c>
      <c r="AJ383" s="5">
        <f>+(K383*13.29+L383*22.52)*12*30</f>
        <v>50705544.599999994</v>
      </c>
      <c r="AL383" s="37">
        <f t="shared" si="80"/>
        <v>0</v>
      </c>
      <c r="AM383" s="62">
        <v>6359997.5800000001</v>
      </c>
      <c r="AN383" s="30">
        <v>0</v>
      </c>
      <c r="AO383" s="30"/>
      <c r="AP383" s="30">
        <v>0</v>
      </c>
      <c r="AQ383" s="30">
        <v>0</v>
      </c>
      <c r="AR383" s="30"/>
      <c r="AS383" s="30"/>
      <c r="AT383" s="30">
        <v>0</v>
      </c>
      <c r="AU383" s="30">
        <v>0</v>
      </c>
      <c r="AV383" s="30">
        <v>0</v>
      </c>
      <c r="AW383" s="30">
        <v>0</v>
      </c>
      <c r="AX383" s="30">
        <v>0</v>
      </c>
      <c r="AY383" s="30"/>
      <c r="AZ383" s="30"/>
      <c r="BA383" s="109">
        <v>113256.95</v>
      </c>
      <c r="BB383" s="5">
        <f t="shared" si="81"/>
        <v>6473254.5300000003</v>
      </c>
    </row>
    <row r="384" spans="1:54" hidden="1">
      <c r="A384" s="10">
        <f t="shared" si="85"/>
        <v>366</v>
      </c>
      <c r="B384" s="113">
        <f t="shared" si="86"/>
        <v>177</v>
      </c>
      <c r="C384" s="101" t="s">
        <v>114</v>
      </c>
      <c r="D384" s="101" t="s">
        <v>653</v>
      </c>
      <c r="E384" s="102">
        <v>1987</v>
      </c>
      <c r="F384" s="102">
        <v>2017</v>
      </c>
      <c r="G384" s="102" t="s">
        <v>3</v>
      </c>
      <c r="H384" s="102">
        <v>9</v>
      </c>
      <c r="I384" s="102">
        <v>5</v>
      </c>
      <c r="J384" s="62">
        <v>12250.3</v>
      </c>
      <c r="K384" s="62">
        <v>9272.2999999999993</v>
      </c>
      <c r="L384" s="62">
        <v>330.7</v>
      </c>
      <c r="M384" s="103">
        <v>376</v>
      </c>
      <c r="N384" s="28">
        <f t="shared" si="75"/>
        <v>17753087.02</v>
      </c>
      <c r="O384" s="62"/>
      <c r="P384" s="30"/>
      <c r="Q384" s="31"/>
      <c r="R384" s="31"/>
      <c r="S384" s="30"/>
      <c r="T384" s="31"/>
      <c r="U384" s="31"/>
      <c r="V384" s="30">
        <v>1626098.94</v>
      </c>
      <c r="W384" s="31"/>
      <c r="X384" s="31"/>
      <c r="Y384" s="30">
        <v>14723056.9254617</v>
      </c>
      <c r="Z384" s="31"/>
      <c r="AA384" s="31"/>
      <c r="AB384" s="30">
        <v>1403931.1545382999</v>
      </c>
      <c r="AC384" s="32"/>
      <c r="AD384" s="32"/>
      <c r="AE384" s="30">
        <v>1763.22550636813</v>
      </c>
      <c r="AF384" s="30">
        <v>1189.2830200640001</v>
      </c>
      <c r="AG384" s="33">
        <v>2023</v>
      </c>
      <c r="AH384" s="98">
        <v>7457217.9500000002</v>
      </c>
      <c r="AI384" s="5">
        <f>+(K384*13.95+L384*23.65)*12*0.85</f>
        <v>1399130.3279999997</v>
      </c>
      <c r="AJ384" s="5">
        <f>+(K384*13.95+L384*23.65)*12*30</f>
        <v>49381070.399999991</v>
      </c>
      <c r="AL384" s="112">
        <f t="shared" si="80"/>
        <v>0</v>
      </c>
      <c r="AM384" s="30">
        <v>0</v>
      </c>
      <c r="AN384" s="30">
        <v>0</v>
      </c>
      <c r="AO384" s="30">
        <v>0</v>
      </c>
      <c r="AP384" s="30">
        <v>0</v>
      </c>
      <c r="AQ384" s="30">
        <v>0</v>
      </c>
      <c r="AR384" s="30"/>
      <c r="AS384" s="30"/>
      <c r="AT384" s="30">
        <v>0</v>
      </c>
      <c r="AU384" s="30">
        <v>0</v>
      </c>
      <c r="AV384" s="30">
        <v>17619090.899999999</v>
      </c>
      <c r="AW384" s="30">
        <v>0</v>
      </c>
      <c r="AX384" s="30">
        <v>0</v>
      </c>
      <c r="AY384" s="30"/>
      <c r="AZ384" s="30"/>
      <c r="BA384" s="109">
        <v>133996.12</v>
      </c>
      <c r="BB384" s="5">
        <f t="shared" si="81"/>
        <v>17753087.02</v>
      </c>
    </row>
    <row r="385" spans="1:54" hidden="1">
      <c r="A385" s="10">
        <f t="shared" si="85"/>
        <v>367</v>
      </c>
      <c r="B385" s="113">
        <f t="shared" si="86"/>
        <v>178</v>
      </c>
      <c r="C385" s="101" t="s">
        <v>114</v>
      </c>
      <c r="D385" s="101" t="s">
        <v>654</v>
      </c>
      <c r="E385" s="102">
        <v>1987</v>
      </c>
      <c r="F385" s="102">
        <v>2016</v>
      </c>
      <c r="G385" s="102" t="s">
        <v>3</v>
      </c>
      <c r="H385" s="102">
        <v>5</v>
      </c>
      <c r="I385" s="102">
        <v>2</v>
      </c>
      <c r="J385" s="62">
        <v>4414.46</v>
      </c>
      <c r="K385" s="62">
        <v>3063.3</v>
      </c>
      <c r="L385" s="62">
        <v>691.2</v>
      </c>
      <c r="M385" s="103">
        <v>189</v>
      </c>
      <c r="N385" s="28">
        <f t="shared" si="75"/>
        <v>3544649.3499999996</v>
      </c>
      <c r="O385" s="62"/>
      <c r="P385" s="30"/>
      <c r="Q385" s="31"/>
      <c r="R385" s="31"/>
      <c r="S385" s="30"/>
      <c r="T385" s="31"/>
      <c r="U385" s="31"/>
      <c r="V385" s="30">
        <v>1857708.72</v>
      </c>
      <c r="W385" s="31"/>
      <c r="X385" s="31"/>
      <c r="Y385" s="30">
        <v>1686940.63</v>
      </c>
      <c r="Z385" s="31"/>
      <c r="AA385" s="31"/>
      <c r="AB385" s="107"/>
      <c r="AC385" s="108"/>
      <c r="AD385" s="108"/>
      <c r="AE385" s="30">
        <v>1397.77679492934</v>
      </c>
      <c r="AF385" s="30">
        <v>1194.2830200640001</v>
      </c>
      <c r="AG385" s="33">
        <v>2023</v>
      </c>
      <c r="AH385" s="1">
        <f>2719968.2-1338393.95</f>
        <v>1381574.2500000002</v>
      </c>
      <c r="AI385" s="5">
        <f>+(K385*10.5+L385*21)*12*0.85</f>
        <v>476134.47000000003</v>
      </c>
      <c r="AJ385" s="5">
        <f>+(K385*10.5+L385*21)*12*30-994515.5</f>
        <v>15810230.500000004</v>
      </c>
      <c r="AL385" s="112">
        <f t="shared" si="80"/>
        <v>0</v>
      </c>
      <c r="AM385" s="30"/>
      <c r="AN385" s="30">
        <v>0</v>
      </c>
      <c r="AO385" s="30">
        <v>0</v>
      </c>
      <c r="AP385" s="30">
        <v>0</v>
      </c>
      <c r="AQ385" s="30">
        <v>0</v>
      </c>
      <c r="AR385" s="30"/>
      <c r="AS385" s="30"/>
      <c r="AT385" s="30">
        <v>0</v>
      </c>
      <c r="AU385" s="30">
        <v>0</v>
      </c>
      <c r="AV385" s="30">
        <v>0</v>
      </c>
      <c r="AW385" s="30">
        <v>3507510.73</v>
      </c>
      <c r="AX385" s="30">
        <v>0</v>
      </c>
      <c r="AY385" s="30"/>
      <c r="AZ385" s="30"/>
      <c r="BA385" s="109">
        <v>37138.620000000003</v>
      </c>
      <c r="BB385" s="5">
        <f t="shared" si="81"/>
        <v>3544649.3499999996</v>
      </c>
    </row>
    <row r="386" spans="1:54" hidden="1">
      <c r="A386" s="10">
        <f t="shared" si="85"/>
        <v>368</v>
      </c>
      <c r="B386" s="113">
        <f t="shared" si="86"/>
        <v>179</v>
      </c>
      <c r="C386" s="101" t="s">
        <v>114</v>
      </c>
      <c r="D386" s="101" t="s">
        <v>139</v>
      </c>
      <c r="E386" s="102">
        <v>1990</v>
      </c>
      <c r="F386" s="102">
        <v>2017</v>
      </c>
      <c r="G386" s="102" t="s">
        <v>3</v>
      </c>
      <c r="H386" s="102">
        <v>9</v>
      </c>
      <c r="I386" s="102">
        <v>1</v>
      </c>
      <c r="J386" s="62">
        <v>4527.8</v>
      </c>
      <c r="K386" s="62">
        <v>3876.4</v>
      </c>
      <c r="L386" s="62">
        <v>0</v>
      </c>
      <c r="M386" s="103">
        <v>153</v>
      </c>
      <c r="N386" s="28">
        <f t="shared" si="75"/>
        <v>938135.1</v>
      </c>
      <c r="O386" s="62"/>
      <c r="P386" s="30"/>
      <c r="Q386" s="31"/>
      <c r="R386" s="31"/>
      <c r="S386" s="30"/>
      <c r="T386" s="31"/>
      <c r="U386" s="31"/>
      <c r="V386" s="30">
        <v>281440.53000000003</v>
      </c>
      <c r="W386" s="31"/>
      <c r="X386" s="31"/>
      <c r="Y386" s="30">
        <v>656694.56999999995</v>
      </c>
      <c r="Z386" s="31"/>
      <c r="AA386" s="31"/>
      <c r="AB386" s="107"/>
      <c r="AC386" s="108"/>
      <c r="AD386" s="108"/>
      <c r="AE386" s="30">
        <v>380.77479840567099</v>
      </c>
      <c r="AF386" s="30">
        <v>380.77479840567099</v>
      </c>
      <c r="AG386" s="33">
        <v>2023</v>
      </c>
      <c r="AH386" s="18">
        <f>2413836.61-V37</f>
        <v>953855.35578153981</v>
      </c>
      <c r="AI386" s="5">
        <f>+(K386*13.29+L386*22.52)*12*0.85</f>
        <v>525477.03119999997</v>
      </c>
      <c r="AJ386" s="5">
        <f>+(K386*13.29+L386*22.52)*12*30-Y37</f>
        <v>15353224.06421846</v>
      </c>
      <c r="AL386" s="37">
        <f t="shared" si="80"/>
        <v>0</v>
      </c>
      <c r="AM386" s="30"/>
      <c r="AN386" s="30"/>
      <c r="AO386" s="30">
        <v>938135.1</v>
      </c>
      <c r="AP386" s="30"/>
      <c r="AQ386" s="30">
        <v>0</v>
      </c>
      <c r="AR386" s="30"/>
      <c r="AS386" s="30"/>
      <c r="AT386" s="30">
        <v>0</v>
      </c>
      <c r="AU386" s="30">
        <v>0</v>
      </c>
      <c r="AV386" s="30"/>
      <c r="AW386" s="30">
        <v>0</v>
      </c>
      <c r="AX386" s="30">
        <v>0</v>
      </c>
      <c r="AY386" s="30"/>
      <c r="AZ386" s="30"/>
      <c r="BA386" s="40"/>
      <c r="BB386" s="5">
        <f t="shared" si="81"/>
        <v>938135.1</v>
      </c>
    </row>
    <row r="387" spans="1:54" hidden="1">
      <c r="A387" s="10">
        <f t="shared" si="85"/>
        <v>369</v>
      </c>
      <c r="B387" s="113">
        <f t="shared" si="86"/>
        <v>180</v>
      </c>
      <c r="C387" s="101" t="s">
        <v>114</v>
      </c>
      <c r="D387" s="101" t="s">
        <v>284</v>
      </c>
      <c r="E387" s="102">
        <v>1989</v>
      </c>
      <c r="F387" s="102">
        <v>2016</v>
      </c>
      <c r="G387" s="102" t="s">
        <v>3</v>
      </c>
      <c r="H387" s="102">
        <v>5</v>
      </c>
      <c r="I387" s="102">
        <v>4</v>
      </c>
      <c r="J387" s="62">
        <v>5827.1</v>
      </c>
      <c r="K387" s="62">
        <v>4877.5</v>
      </c>
      <c r="L387" s="62">
        <v>0</v>
      </c>
      <c r="M387" s="103">
        <v>218</v>
      </c>
      <c r="N387" s="28">
        <f t="shared" si="75"/>
        <v>3743326.59</v>
      </c>
      <c r="O387" s="62"/>
      <c r="P387" s="30"/>
      <c r="Q387" s="31"/>
      <c r="R387" s="31"/>
      <c r="S387" s="30"/>
      <c r="T387" s="31"/>
      <c r="U387" s="31"/>
      <c r="V387" s="30">
        <v>1450818.5</v>
      </c>
      <c r="W387" s="31"/>
      <c r="X387" s="31"/>
      <c r="Y387" s="30">
        <v>2292508.09</v>
      </c>
      <c r="Z387" s="31"/>
      <c r="AA387" s="31"/>
      <c r="AB387" s="30"/>
      <c r="AC387" s="32"/>
      <c r="AD387" s="32"/>
      <c r="AE387" s="30">
        <v>2166.4763450462001</v>
      </c>
      <c r="AF387" s="30">
        <v>1209.2830200640001</v>
      </c>
      <c r="AG387" s="33">
        <v>2023</v>
      </c>
      <c r="AH387" s="98">
        <v>2848311.76</v>
      </c>
      <c r="AI387" s="5">
        <f>+(K387*10.5+L387*21)*12*0.85</f>
        <v>522380.25</v>
      </c>
      <c r="AJ387" s="5">
        <f>+(K387*10.5+L387*21)*12*30</f>
        <v>18436950</v>
      </c>
      <c r="AL387" s="112">
        <f t="shared" si="80"/>
        <v>0</v>
      </c>
      <c r="AM387" s="30">
        <v>3743326.59</v>
      </c>
      <c r="AN387" s="30"/>
      <c r="AO387" s="30">
        <v>0</v>
      </c>
      <c r="AP387" s="30"/>
      <c r="AQ387" s="30">
        <v>0</v>
      </c>
      <c r="AR387" s="30"/>
      <c r="AS387" s="30"/>
      <c r="AT387" s="30">
        <v>0</v>
      </c>
      <c r="AU387" s="30">
        <v>0</v>
      </c>
      <c r="AV387" s="30">
        <v>0</v>
      </c>
      <c r="AW387" s="30">
        <v>0</v>
      </c>
      <c r="AX387" s="30">
        <v>0</v>
      </c>
      <c r="AY387" s="30"/>
      <c r="AZ387" s="30"/>
      <c r="BA387" s="40"/>
      <c r="BB387" s="5">
        <f t="shared" si="81"/>
        <v>3743326.59</v>
      </c>
    </row>
    <row r="388" spans="1:54" hidden="1">
      <c r="A388" s="10">
        <f t="shared" si="85"/>
        <v>370</v>
      </c>
      <c r="B388" s="113">
        <f t="shared" si="86"/>
        <v>181</v>
      </c>
      <c r="C388" s="101" t="s">
        <v>114</v>
      </c>
      <c r="D388" s="101" t="s">
        <v>658</v>
      </c>
      <c r="E388" s="102">
        <v>1994</v>
      </c>
      <c r="F388" s="102">
        <v>1994</v>
      </c>
      <c r="G388" s="102" t="s">
        <v>3</v>
      </c>
      <c r="H388" s="102">
        <v>10</v>
      </c>
      <c r="I388" s="102">
        <v>1</v>
      </c>
      <c r="J388" s="62">
        <v>3200.9</v>
      </c>
      <c r="K388" s="62">
        <v>2751.2</v>
      </c>
      <c r="L388" s="62">
        <v>0</v>
      </c>
      <c r="M388" s="103">
        <v>107</v>
      </c>
      <c r="N388" s="28">
        <f t="shared" si="75"/>
        <v>13915801.99</v>
      </c>
      <c r="O388" s="62"/>
      <c r="P388" s="30"/>
      <c r="Q388" s="31"/>
      <c r="R388" s="31"/>
      <c r="S388" s="30"/>
      <c r="T388" s="31"/>
      <c r="U388" s="31"/>
      <c r="V388" s="30">
        <v>7055346.3200000003</v>
      </c>
      <c r="W388" s="31"/>
      <c r="X388" s="31"/>
      <c r="Y388" s="30">
        <v>6860455.6699999999</v>
      </c>
      <c r="Z388" s="31"/>
      <c r="AA388" s="31"/>
      <c r="AB388" s="30"/>
      <c r="AC388" s="32"/>
      <c r="AD388" s="32"/>
      <c r="AE388" s="30">
        <v>5146.5703817510503</v>
      </c>
      <c r="AF388" s="30">
        <v>1211.2830200640001</v>
      </c>
      <c r="AG388" s="33">
        <v>2023</v>
      </c>
      <c r="AH388" s="1">
        <f>2009065.49-187767.96</f>
        <v>1821297.53</v>
      </c>
      <c r="AI388" s="5">
        <f>+(K388*13.95+L388*23.65)*12*0.85</f>
        <v>391468.24800000002</v>
      </c>
      <c r="AJ388" s="5">
        <f>+(K388*13.95+L388*23.65)*12*30-105832.49</f>
        <v>13710693.91</v>
      </c>
      <c r="AL388" s="112">
        <f t="shared" si="80"/>
        <v>0</v>
      </c>
      <c r="AM388" s="30">
        <v>0</v>
      </c>
      <c r="AN388" s="30">
        <v>0</v>
      </c>
      <c r="AO388" s="30">
        <v>0</v>
      </c>
      <c r="AP388" s="30">
        <v>0</v>
      </c>
      <c r="AQ388" s="30">
        <v>0</v>
      </c>
      <c r="AR388" s="30"/>
      <c r="AS388" s="30"/>
      <c r="AT388" s="30">
        <v>0</v>
      </c>
      <c r="AU388" s="30">
        <v>0</v>
      </c>
      <c r="AV388" s="30">
        <v>0</v>
      </c>
      <c r="AW388" s="30">
        <v>13745702.449999999</v>
      </c>
      <c r="AX388" s="30">
        <v>0</v>
      </c>
      <c r="AY388" s="30"/>
      <c r="AZ388" s="30"/>
      <c r="BA388" s="109">
        <v>170099.54</v>
      </c>
      <c r="BB388" s="5">
        <f t="shared" si="81"/>
        <v>13915801.99</v>
      </c>
    </row>
    <row r="389" spans="1:54" hidden="1">
      <c r="A389" s="10">
        <f t="shared" si="85"/>
        <v>371</v>
      </c>
      <c r="B389" s="113">
        <f t="shared" si="86"/>
        <v>182</v>
      </c>
      <c r="C389" s="101" t="s">
        <v>114</v>
      </c>
      <c r="D389" s="101" t="s">
        <v>303</v>
      </c>
      <c r="E389" s="102">
        <v>1982</v>
      </c>
      <c r="F389" s="102">
        <v>2008</v>
      </c>
      <c r="G389" s="102" t="s">
        <v>3</v>
      </c>
      <c r="H389" s="102">
        <v>5</v>
      </c>
      <c r="I389" s="102">
        <v>7</v>
      </c>
      <c r="J389" s="62">
        <v>6399.1</v>
      </c>
      <c r="K389" s="62">
        <v>4849.8999999999996</v>
      </c>
      <c r="L389" s="62">
        <v>814.5</v>
      </c>
      <c r="M389" s="103">
        <v>218</v>
      </c>
      <c r="N389" s="28">
        <f t="shared" si="75"/>
        <v>2095365.92</v>
      </c>
      <c r="O389" s="62"/>
      <c r="P389" s="30"/>
      <c r="Q389" s="31"/>
      <c r="R389" s="31"/>
      <c r="S389" s="30"/>
      <c r="T389" s="52"/>
      <c r="U389" s="52"/>
      <c r="V389" s="18">
        <v>2095365.92</v>
      </c>
      <c r="W389" s="20"/>
      <c r="X389" s="20"/>
      <c r="Y389" s="30"/>
      <c r="Z389" s="31"/>
      <c r="AA389" s="31"/>
      <c r="AB389" s="30"/>
      <c r="AC389" s="32"/>
      <c r="AD389" s="32"/>
      <c r="AE389" s="62">
        <v>2104.8843268708601</v>
      </c>
      <c r="AF389" s="62">
        <v>2104.8843268708601</v>
      </c>
      <c r="AG389" s="33">
        <v>2023</v>
      </c>
      <c r="AH389" s="1">
        <v>2229911.9</v>
      </c>
      <c r="AI389" s="5">
        <f>+(K389*10+L389*20)*12*0.85</f>
        <v>660847.79999999993</v>
      </c>
      <c r="AJ389" s="5">
        <f>+(K389*10+L389*20)*12*30</f>
        <v>23324040</v>
      </c>
      <c r="AL389" s="37">
        <f t="shared" ref="AL389:AL420" si="87">SUBTOTAL(9, AM389:BA389)</f>
        <v>0</v>
      </c>
      <c r="AM389" s="30">
        <v>2095365.92</v>
      </c>
      <c r="AN389" s="30">
        <v>0</v>
      </c>
      <c r="AO389" s="30"/>
      <c r="AP389" s="30">
        <v>0</v>
      </c>
      <c r="AQ389" s="30">
        <v>0</v>
      </c>
      <c r="AR389" s="30"/>
      <c r="AS389" s="30"/>
      <c r="AT389" s="30">
        <v>0</v>
      </c>
      <c r="AU389" s="30">
        <v>0</v>
      </c>
      <c r="AV389" s="30">
        <v>0</v>
      </c>
      <c r="AW389" s="30">
        <v>0</v>
      </c>
      <c r="AX389" s="30">
        <v>0</v>
      </c>
      <c r="AY389" s="30"/>
      <c r="AZ389" s="30"/>
      <c r="BA389" s="40"/>
      <c r="BB389" s="5">
        <f t="shared" si="81"/>
        <v>2095365.92</v>
      </c>
    </row>
    <row r="390" spans="1:54" hidden="1">
      <c r="A390" s="10">
        <f t="shared" si="85"/>
        <v>372</v>
      </c>
      <c r="B390" s="113">
        <f t="shared" si="86"/>
        <v>183</v>
      </c>
      <c r="C390" s="101" t="s">
        <v>114</v>
      </c>
      <c r="D390" s="101" t="s">
        <v>306</v>
      </c>
      <c r="E390" s="102">
        <v>1983</v>
      </c>
      <c r="F390" s="102">
        <v>2015</v>
      </c>
      <c r="G390" s="102" t="s">
        <v>3</v>
      </c>
      <c r="H390" s="102">
        <v>5</v>
      </c>
      <c r="I390" s="102">
        <v>4</v>
      </c>
      <c r="J390" s="62">
        <v>4471.8999999999996</v>
      </c>
      <c r="K390" s="62">
        <v>3791</v>
      </c>
      <c r="L390" s="62">
        <v>256.8</v>
      </c>
      <c r="M390" s="103">
        <v>156</v>
      </c>
      <c r="N390" s="28">
        <f t="shared" si="75"/>
        <v>10896388.01</v>
      </c>
      <c r="O390" s="62"/>
      <c r="P390" s="30">
        <v>4239342.1500000004</v>
      </c>
      <c r="Q390" s="31"/>
      <c r="R390" s="31"/>
      <c r="S390" s="30"/>
      <c r="T390" s="31"/>
      <c r="U390" s="31"/>
      <c r="V390" s="30">
        <v>721963.92</v>
      </c>
      <c r="W390" s="31"/>
      <c r="X390" s="31"/>
      <c r="Y390" s="30">
        <v>5338533.2979655499</v>
      </c>
      <c r="Z390" s="31"/>
      <c r="AA390" s="31"/>
      <c r="AB390" s="30">
        <v>596548.64203444996</v>
      </c>
      <c r="AC390" s="32"/>
      <c r="AD390" s="32"/>
      <c r="AE390" s="30">
        <v>7998.1943510317997</v>
      </c>
      <c r="AF390" s="30">
        <v>1223.2830200640001</v>
      </c>
      <c r="AG390" s="33">
        <v>2023</v>
      </c>
      <c r="AH390" s="18">
        <f>2269636.35-V536</f>
        <v>82232.660000000149</v>
      </c>
      <c r="AI390" s="5">
        <f>+(K390*10.5+L390*21)*12*0.85</f>
        <v>461022.66000000009</v>
      </c>
      <c r="AJ390" s="5">
        <f>+(K390*10.5+L390*21)*12*30-Y536</f>
        <v>9583871.7100000046</v>
      </c>
      <c r="AL390" s="112">
        <f t="shared" si="87"/>
        <v>0</v>
      </c>
      <c r="AM390" s="30">
        <v>0</v>
      </c>
      <c r="AN390" s="30">
        <v>0</v>
      </c>
      <c r="AO390" s="30">
        <v>0</v>
      </c>
      <c r="AP390" s="30"/>
      <c r="AQ390" s="30">
        <v>0</v>
      </c>
      <c r="AR390" s="30"/>
      <c r="AS390" s="30"/>
      <c r="AT390" s="30">
        <v>0</v>
      </c>
      <c r="AU390" s="30">
        <v>0</v>
      </c>
      <c r="AV390" s="30">
        <v>0</v>
      </c>
      <c r="AW390" s="30">
        <v>10799889.6</v>
      </c>
      <c r="AX390" s="30">
        <v>0</v>
      </c>
      <c r="AY390" s="30"/>
      <c r="AZ390" s="30"/>
      <c r="BA390" s="109">
        <v>96498.41</v>
      </c>
      <c r="BB390" s="5">
        <f t="shared" si="81"/>
        <v>10896388.01</v>
      </c>
    </row>
    <row r="391" spans="1:54" hidden="1">
      <c r="A391" s="10">
        <f t="shared" si="85"/>
        <v>373</v>
      </c>
      <c r="B391" s="113">
        <f t="shared" si="86"/>
        <v>184</v>
      </c>
      <c r="C391" s="101" t="s">
        <v>114</v>
      </c>
      <c r="D391" s="101" t="s">
        <v>662</v>
      </c>
      <c r="E391" s="102">
        <v>1992</v>
      </c>
      <c r="F391" s="102">
        <v>2012</v>
      </c>
      <c r="G391" s="102" t="s">
        <v>3</v>
      </c>
      <c r="H391" s="102">
        <v>9</v>
      </c>
      <c r="I391" s="102">
        <v>2</v>
      </c>
      <c r="J391" s="62">
        <v>6461</v>
      </c>
      <c r="K391" s="62">
        <v>5606</v>
      </c>
      <c r="L391" s="62">
        <v>127.2</v>
      </c>
      <c r="M391" s="103">
        <v>222</v>
      </c>
      <c r="N391" s="28">
        <f t="shared" si="75"/>
        <v>7651462.9400000004</v>
      </c>
      <c r="O391" s="62"/>
      <c r="P391" s="30"/>
      <c r="Q391" s="31"/>
      <c r="R391" s="31"/>
      <c r="S391" s="30"/>
      <c r="T391" s="31"/>
      <c r="U391" s="31"/>
      <c r="V391" s="30">
        <v>5032110.2460000003</v>
      </c>
      <c r="W391" s="31"/>
      <c r="X391" s="31"/>
      <c r="Y391" s="30">
        <v>2619352.6940000001</v>
      </c>
      <c r="Z391" s="31"/>
      <c r="AA391" s="31"/>
      <c r="AB391" s="30"/>
      <c r="AC391" s="32"/>
      <c r="AD391" s="32"/>
      <c r="AE391" s="30">
        <v>3111.0104919699202</v>
      </c>
      <c r="AF391" s="30">
        <v>1225.2830200640001</v>
      </c>
      <c r="AG391" s="33">
        <v>2023</v>
      </c>
      <c r="AH391" s="98">
        <v>4203748.05</v>
      </c>
      <c r="AI391" s="5">
        <f>+(K391*13.95+L391*23.65)*12*0.85</f>
        <v>828362.196</v>
      </c>
      <c r="AJ391" s="5">
        <f>+(K391*13.95+L391*23.65)*12*30</f>
        <v>29236312.800000001</v>
      </c>
      <c r="AL391" s="112">
        <f t="shared" si="87"/>
        <v>0</v>
      </c>
      <c r="AM391" s="62">
        <v>7651462.9400000004</v>
      </c>
      <c r="AN391" s="30">
        <v>0</v>
      </c>
      <c r="AO391" s="30">
        <v>0</v>
      </c>
      <c r="AP391" s="30">
        <v>0</v>
      </c>
      <c r="AQ391" s="30">
        <v>0</v>
      </c>
      <c r="AR391" s="30"/>
      <c r="AS391" s="30"/>
      <c r="AT391" s="30">
        <v>0</v>
      </c>
      <c r="AU391" s="30">
        <v>0</v>
      </c>
      <c r="AV391" s="30">
        <v>0</v>
      </c>
      <c r="AW391" s="30">
        <v>0</v>
      </c>
      <c r="AX391" s="30">
        <v>0</v>
      </c>
      <c r="AY391" s="30"/>
      <c r="AZ391" s="30"/>
      <c r="BA391" s="40"/>
      <c r="BB391" s="5">
        <f t="shared" si="81"/>
        <v>7651462.9400000004</v>
      </c>
    </row>
    <row r="392" spans="1:54" hidden="1">
      <c r="A392" s="10">
        <f t="shared" si="85"/>
        <v>374</v>
      </c>
      <c r="B392" s="113">
        <f t="shared" si="86"/>
        <v>185</v>
      </c>
      <c r="C392" s="101" t="s">
        <v>114</v>
      </c>
      <c r="D392" s="101" t="s">
        <v>664</v>
      </c>
      <c r="E392" s="102">
        <v>1992</v>
      </c>
      <c r="F392" s="102">
        <v>2017</v>
      </c>
      <c r="G392" s="102" t="s">
        <v>3</v>
      </c>
      <c r="H392" s="102">
        <v>9</v>
      </c>
      <c r="I392" s="102">
        <v>2</v>
      </c>
      <c r="J392" s="62">
        <v>6450</v>
      </c>
      <c r="K392" s="62">
        <v>5551</v>
      </c>
      <c r="L392" s="62">
        <v>31</v>
      </c>
      <c r="M392" s="103">
        <v>215</v>
      </c>
      <c r="N392" s="28">
        <f t="shared" si="75"/>
        <v>17663014.449999999</v>
      </c>
      <c r="O392" s="62"/>
      <c r="P392" s="30"/>
      <c r="Q392" s="31"/>
      <c r="R392" s="31"/>
      <c r="S392" s="30"/>
      <c r="T392" s="31"/>
      <c r="U392" s="31"/>
      <c r="V392" s="30">
        <v>427549.7</v>
      </c>
      <c r="W392" s="31"/>
      <c r="X392" s="31"/>
      <c r="Y392" s="30">
        <v>17235464.75</v>
      </c>
      <c r="Z392" s="31"/>
      <c r="AA392" s="31"/>
      <c r="AB392" s="30"/>
      <c r="AC392" s="32"/>
      <c r="AD392" s="32"/>
      <c r="AE392" s="30">
        <v>3354.1911729339699</v>
      </c>
      <c r="AF392" s="30">
        <v>1226.2830200640001</v>
      </c>
      <c r="AG392" s="33">
        <v>2023</v>
      </c>
      <c r="AH392" s="1">
        <f>4311391.97-'[2]Приложение №1'!$R$346</f>
        <v>4311391.97</v>
      </c>
      <c r="AI392" s="5">
        <f>+(K392*13.95+L392*23.65)*12*0.85</f>
        <v>797329.91999999993</v>
      </c>
      <c r="AJ392" s="5">
        <f>+(K392*13.95+L392*23.65)*12*30-'[2]Приложение №1'!$S$346</f>
        <v>28141056</v>
      </c>
      <c r="AL392" s="112">
        <f t="shared" si="87"/>
        <v>0</v>
      </c>
      <c r="AM392" s="30">
        <v>0</v>
      </c>
      <c r="AN392" s="30">
        <v>0</v>
      </c>
      <c r="AO392" s="30">
        <v>0</v>
      </c>
      <c r="AP392" s="30">
        <v>0</v>
      </c>
      <c r="AQ392" s="30">
        <v>0</v>
      </c>
      <c r="AR392" s="30"/>
      <c r="AS392" s="30"/>
      <c r="AT392" s="30">
        <v>0</v>
      </c>
      <c r="AU392" s="30">
        <v>0</v>
      </c>
      <c r="AV392" s="30">
        <v>0</v>
      </c>
      <c r="AW392" s="30">
        <v>17491598.399999999</v>
      </c>
      <c r="AX392" s="30">
        <v>0</v>
      </c>
      <c r="AY392" s="30"/>
      <c r="AZ392" s="30"/>
      <c r="BA392" s="109">
        <v>171416.05</v>
      </c>
      <c r="BB392" s="5">
        <f t="shared" si="81"/>
        <v>17663014.449999999</v>
      </c>
    </row>
    <row r="393" spans="1:54" hidden="1">
      <c r="A393" s="10">
        <f t="shared" si="85"/>
        <v>375</v>
      </c>
      <c r="B393" s="113">
        <f t="shared" si="86"/>
        <v>186</v>
      </c>
      <c r="C393" s="101" t="s">
        <v>114</v>
      </c>
      <c r="D393" s="101" t="s">
        <v>310</v>
      </c>
      <c r="E393" s="102">
        <v>1996</v>
      </c>
      <c r="F393" s="102">
        <v>1996</v>
      </c>
      <c r="G393" s="102" t="s">
        <v>3</v>
      </c>
      <c r="H393" s="102">
        <v>3</v>
      </c>
      <c r="I393" s="102">
        <v>2</v>
      </c>
      <c r="J393" s="62">
        <v>1212.9000000000001</v>
      </c>
      <c r="K393" s="62">
        <v>969.5</v>
      </c>
      <c r="L393" s="62">
        <v>83.1</v>
      </c>
      <c r="M393" s="103">
        <v>29</v>
      </c>
      <c r="N393" s="28">
        <f t="shared" si="75"/>
        <v>2848341.03</v>
      </c>
      <c r="O393" s="62"/>
      <c r="P393" s="30"/>
      <c r="Q393" s="31"/>
      <c r="R393" s="31"/>
      <c r="S393" s="30"/>
      <c r="T393" s="31"/>
      <c r="U393" s="31"/>
      <c r="V393" s="30">
        <v>794591.09</v>
      </c>
      <c r="W393" s="31"/>
      <c r="X393" s="31"/>
      <c r="Y393" s="30">
        <v>2053749.94</v>
      </c>
      <c r="Z393" s="31"/>
      <c r="AA393" s="31"/>
      <c r="AB393" s="30"/>
      <c r="AC393" s="32"/>
      <c r="AD393" s="32"/>
      <c r="AE393" s="30">
        <v>3522.7069644110902</v>
      </c>
      <c r="AF393" s="30">
        <v>1230.2830200640001</v>
      </c>
      <c r="AG393" s="33">
        <v>2023</v>
      </c>
      <c r="AH393" s="98">
        <v>672957.62</v>
      </c>
      <c r="AI393" s="5">
        <f>+(K393*10.5+L393*21)*12*0.85</f>
        <v>121633.47</v>
      </c>
      <c r="AJ393" s="5">
        <f>+(K393*10.5+L393*21)*12*30</f>
        <v>4292946</v>
      </c>
      <c r="AL393" s="112">
        <f t="shared" si="87"/>
        <v>0</v>
      </c>
      <c r="AM393" s="30">
        <v>1926147.5</v>
      </c>
      <c r="AN393" s="30"/>
      <c r="AO393" s="30"/>
      <c r="AP393" s="30">
        <v>888374.4</v>
      </c>
      <c r="AQ393" s="30">
        <v>0</v>
      </c>
      <c r="AR393" s="30"/>
      <c r="AS393" s="30"/>
      <c r="AT393" s="30">
        <v>0</v>
      </c>
      <c r="AU393" s="30">
        <v>0</v>
      </c>
      <c r="AV393" s="30"/>
      <c r="AW393" s="30">
        <v>0</v>
      </c>
      <c r="AX393" s="30">
        <v>0</v>
      </c>
      <c r="AY393" s="30"/>
      <c r="AZ393" s="30"/>
      <c r="BA393" s="109">
        <f>25466.07+8353.06</f>
        <v>33819.129999999997</v>
      </c>
      <c r="BB393" s="5">
        <f t="shared" ref="BB393:BB424" si="88">N393-AL393</f>
        <v>2848341.03</v>
      </c>
    </row>
    <row r="394" spans="1:54" hidden="1">
      <c r="A394" s="10">
        <f t="shared" si="85"/>
        <v>376</v>
      </c>
      <c r="B394" s="113">
        <f t="shared" si="86"/>
        <v>187</v>
      </c>
      <c r="C394" s="101" t="s">
        <v>114</v>
      </c>
      <c r="D394" s="101" t="s">
        <v>667</v>
      </c>
      <c r="E394" s="102">
        <v>1988</v>
      </c>
      <c r="F394" s="102">
        <v>2017</v>
      </c>
      <c r="G394" s="102" t="s">
        <v>3</v>
      </c>
      <c r="H394" s="102">
        <v>9</v>
      </c>
      <c r="I394" s="102">
        <v>3</v>
      </c>
      <c r="J394" s="62">
        <v>8927</v>
      </c>
      <c r="K394" s="62">
        <v>7116.5</v>
      </c>
      <c r="L394" s="62">
        <v>0</v>
      </c>
      <c r="M394" s="103">
        <v>291</v>
      </c>
      <c r="N394" s="28">
        <f t="shared" si="75"/>
        <v>7976366.1399999997</v>
      </c>
      <c r="O394" s="62"/>
      <c r="P394" s="30"/>
      <c r="Q394" s="31"/>
      <c r="R394" s="31"/>
      <c r="S394" s="30"/>
      <c r="T394" s="31"/>
      <c r="U394" s="31"/>
      <c r="V394" s="30">
        <v>6657296.7949999999</v>
      </c>
      <c r="W394" s="31"/>
      <c r="X394" s="31"/>
      <c r="Y394" s="30">
        <v>1319069.345</v>
      </c>
      <c r="Z394" s="31"/>
      <c r="AA394" s="31"/>
      <c r="AB394" s="30"/>
      <c r="AC394" s="32"/>
      <c r="AD394" s="32"/>
      <c r="AE394" s="30">
        <v>1176.18185640141</v>
      </c>
      <c r="AF394" s="30">
        <v>1229.2830200640001</v>
      </c>
      <c r="AG394" s="33">
        <v>2023</v>
      </c>
      <c r="AH394" s="98">
        <v>5644690.0099999998</v>
      </c>
      <c r="AI394" s="5">
        <f>+(K394*13.95+L394*23.65)*12*0.85</f>
        <v>1012606.7849999998</v>
      </c>
      <c r="AJ394" s="5">
        <f>+(K394*13.95+L394*23.65)*12*30</f>
        <v>35739062.999999993</v>
      </c>
      <c r="AL394" s="112">
        <f t="shared" si="87"/>
        <v>0</v>
      </c>
      <c r="AM394" s="30">
        <v>0</v>
      </c>
      <c r="AN394" s="30">
        <v>0</v>
      </c>
      <c r="AO394" s="30">
        <v>0</v>
      </c>
      <c r="AP394" s="30">
        <v>0</v>
      </c>
      <c r="AQ394" s="30">
        <v>0</v>
      </c>
      <c r="AR394" s="30"/>
      <c r="AS394" s="30"/>
      <c r="AT394" s="30">
        <v>0</v>
      </c>
      <c r="AU394" s="30">
        <v>7914683.0899999999</v>
      </c>
      <c r="AV394" s="30">
        <v>0</v>
      </c>
      <c r="AW394" s="30">
        <v>0</v>
      </c>
      <c r="AX394" s="30">
        <v>0</v>
      </c>
      <c r="AY394" s="30"/>
      <c r="AZ394" s="30"/>
      <c r="BA394" s="109">
        <v>61683.05</v>
      </c>
      <c r="BB394" s="5">
        <f t="shared" si="88"/>
        <v>7976366.1399999997</v>
      </c>
    </row>
    <row r="395" spans="1:54" hidden="1">
      <c r="A395" s="10">
        <f t="shared" si="85"/>
        <v>377</v>
      </c>
      <c r="B395" s="113">
        <f t="shared" si="86"/>
        <v>188</v>
      </c>
      <c r="C395" s="101" t="s">
        <v>114</v>
      </c>
      <c r="D395" s="101" t="s">
        <v>178</v>
      </c>
      <c r="E395" s="102">
        <v>1987</v>
      </c>
      <c r="F395" s="102">
        <v>2017</v>
      </c>
      <c r="G395" s="102" t="s">
        <v>3</v>
      </c>
      <c r="H395" s="102">
        <v>9</v>
      </c>
      <c r="I395" s="102">
        <v>1</v>
      </c>
      <c r="J395" s="62">
        <v>2767.8</v>
      </c>
      <c r="K395" s="62">
        <v>2150.8000000000002</v>
      </c>
      <c r="L395" s="62">
        <v>66.8</v>
      </c>
      <c r="M395" s="103">
        <v>94</v>
      </c>
      <c r="N395" s="28">
        <f t="shared" si="75"/>
        <v>2391153.64</v>
      </c>
      <c r="O395" s="62"/>
      <c r="P395" s="30"/>
      <c r="Q395" s="31"/>
      <c r="R395" s="31"/>
      <c r="S395" s="30"/>
      <c r="T395" s="31"/>
      <c r="U395" s="31"/>
      <c r="V395" s="30">
        <v>1519991.2744384201</v>
      </c>
      <c r="W395" s="31"/>
      <c r="X395" s="31"/>
      <c r="Y395" s="30">
        <v>871162.36556158005</v>
      </c>
      <c r="Z395" s="31"/>
      <c r="AA395" s="31"/>
      <c r="AB395" s="30"/>
      <c r="AC395" s="32"/>
      <c r="AD395" s="32"/>
      <c r="AE395" s="62">
        <v>2676.72321472355</v>
      </c>
      <c r="AF395" s="62">
        <v>2676.72321472355</v>
      </c>
      <c r="AG395" s="33">
        <v>2023</v>
      </c>
      <c r="AH395" s="1">
        <v>1394329.46</v>
      </c>
      <c r="AI395" s="5">
        <f>+(K395*13.29+L395*22.52)*12*0.85</f>
        <v>306902.37360000005</v>
      </c>
      <c r="AJ395" s="5">
        <f>+(K395*13.29+L395*22.52)*12*30</f>
        <v>10831848.48</v>
      </c>
      <c r="AL395" s="37">
        <f t="shared" si="87"/>
        <v>0</v>
      </c>
      <c r="AM395" s="30">
        <v>2391153.64</v>
      </c>
      <c r="AN395" s="30"/>
      <c r="AO395" s="30">
        <v>0</v>
      </c>
      <c r="AP395" s="30">
        <v>0</v>
      </c>
      <c r="AQ395" s="30">
        <v>0</v>
      </c>
      <c r="AR395" s="30"/>
      <c r="AS395" s="30"/>
      <c r="AT395" s="30"/>
      <c r="AU395" s="30"/>
      <c r="AV395" s="30"/>
      <c r="AW395" s="30"/>
      <c r="AX395" s="30">
        <v>0</v>
      </c>
      <c r="AY395" s="30"/>
      <c r="AZ395" s="30"/>
      <c r="BA395" s="40"/>
      <c r="BB395" s="5">
        <f t="shared" si="88"/>
        <v>2391153.64</v>
      </c>
    </row>
    <row r="396" spans="1:54" hidden="1">
      <c r="A396" s="10">
        <f t="shared" si="85"/>
        <v>378</v>
      </c>
      <c r="B396" s="113" t="s">
        <v>96</v>
      </c>
      <c r="C396" s="101" t="s">
        <v>114</v>
      </c>
      <c r="D396" s="101" t="s">
        <v>321</v>
      </c>
      <c r="E396" s="102">
        <v>1987</v>
      </c>
      <c r="F396" s="102">
        <v>2016</v>
      </c>
      <c r="G396" s="102" t="s">
        <v>3</v>
      </c>
      <c r="H396" s="102">
        <v>5</v>
      </c>
      <c r="I396" s="102">
        <v>5</v>
      </c>
      <c r="J396" s="62">
        <v>7155.6</v>
      </c>
      <c r="K396" s="62">
        <v>5789.5</v>
      </c>
      <c r="L396" s="62">
        <v>194.7</v>
      </c>
      <c r="M396" s="103">
        <v>243</v>
      </c>
      <c r="N396" s="28">
        <f t="shared" si="75"/>
        <v>7614332.9399999995</v>
      </c>
      <c r="O396" s="62"/>
      <c r="P396" s="30"/>
      <c r="Q396" s="31"/>
      <c r="R396" s="31"/>
      <c r="S396" s="30"/>
      <c r="T396" s="31"/>
      <c r="U396" s="31"/>
      <c r="V396" s="30">
        <v>2710502.18</v>
      </c>
      <c r="W396" s="31"/>
      <c r="X396" s="31"/>
      <c r="Y396" s="30">
        <v>4903830.76</v>
      </c>
      <c r="Z396" s="31"/>
      <c r="AA396" s="31"/>
      <c r="AB396" s="30"/>
      <c r="AC396" s="32"/>
      <c r="AD396" s="32"/>
      <c r="AE396" s="30">
        <v>3248.37212020894</v>
      </c>
      <c r="AF396" s="30">
        <v>1235.2830200640001</v>
      </c>
      <c r="AG396" s="33">
        <v>2023</v>
      </c>
      <c r="AH396" s="98">
        <f>3643194.21-V51</f>
        <v>2456189.5706259198</v>
      </c>
      <c r="AI396" s="5">
        <f>+(K396*10.5+L396*21)*12*0.85</f>
        <v>661760.18999999994</v>
      </c>
      <c r="AJ396" s="5">
        <f>+(K396*10.5+L396*21)*12*30-Y51</f>
        <v>16883749.089374077</v>
      </c>
      <c r="AL396" s="112">
        <f t="shared" si="87"/>
        <v>0</v>
      </c>
      <c r="AM396" s="30">
        <v>7614332.9400000004</v>
      </c>
      <c r="AN396" s="30">
        <v>0</v>
      </c>
      <c r="AO396" s="30">
        <v>0</v>
      </c>
      <c r="AP396" s="30"/>
      <c r="AQ396" s="30">
        <v>0</v>
      </c>
      <c r="AR396" s="30"/>
      <c r="AS396" s="30"/>
      <c r="AT396" s="30">
        <v>0</v>
      </c>
      <c r="AU396" s="30"/>
      <c r="AV396" s="30"/>
      <c r="AW396" s="30">
        <v>0</v>
      </c>
      <c r="AX396" s="30">
        <v>0</v>
      </c>
      <c r="AY396" s="30"/>
      <c r="AZ396" s="30"/>
      <c r="BA396" s="40"/>
      <c r="BB396" s="5">
        <f t="shared" si="88"/>
        <v>7614332.9399999995</v>
      </c>
    </row>
    <row r="397" spans="1:54" hidden="1">
      <c r="A397" s="10">
        <f t="shared" si="85"/>
        <v>379</v>
      </c>
      <c r="B397" s="12">
        <v>189</v>
      </c>
      <c r="C397" s="101" t="s">
        <v>114</v>
      </c>
      <c r="D397" s="101" t="s">
        <v>671</v>
      </c>
      <c r="E397" s="102">
        <v>1993</v>
      </c>
      <c r="F397" s="102">
        <v>2017</v>
      </c>
      <c r="G397" s="102" t="s">
        <v>3</v>
      </c>
      <c r="H397" s="102">
        <v>9</v>
      </c>
      <c r="I397" s="102">
        <v>2</v>
      </c>
      <c r="J397" s="62">
        <v>6530.5</v>
      </c>
      <c r="K397" s="62">
        <v>5640.1</v>
      </c>
      <c r="L397" s="62">
        <v>180</v>
      </c>
      <c r="M397" s="103">
        <v>226</v>
      </c>
      <c r="N397" s="28">
        <f t="shared" si="75"/>
        <v>21876387</v>
      </c>
      <c r="O397" s="62"/>
      <c r="P397" s="30"/>
      <c r="Q397" s="31"/>
      <c r="R397" s="31"/>
      <c r="S397" s="30"/>
      <c r="T397" s="31"/>
      <c r="U397" s="31"/>
      <c r="V397" s="30">
        <v>5156055.449</v>
      </c>
      <c r="W397" s="31"/>
      <c r="X397" s="31"/>
      <c r="Y397" s="30">
        <v>16720331.551000001</v>
      </c>
      <c r="Z397" s="31"/>
      <c r="AA397" s="31"/>
      <c r="AB397" s="107"/>
      <c r="AC397" s="108"/>
      <c r="AD397" s="108"/>
      <c r="AE397" s="30">
        <v>7036.0151839712798</v>
      </c>
      <c r="AF397" s="30">
        <v>1237.2830200640001</v>
      </c>
      <c r="AG397" s="33">
        <v>2023</v>
      </c>
      <c r="AH397" s="98">
        <v>4310104.22</v>
      </c>
      <c r="AI397" s="5">
        <f>+(K397*13.95+L397*23.65)*12*0.85</f>
        <v>845951.22899999993</v>
      </c>
      <c r="AJ397" s="5">
        <f>+(K397*13.95+L397*23.65)*12*30</f>
        <v>29857102.199999999</v>
      </c>
      <c r="AL397" s="112">
        <f t="shared" si="87"/>
        <v>0</v>
      </c>
      <c r="AM397" s="30">
        <v>0</v>
      </c>
      <c r="AN397" s="30">
        <v>0</v>
      </c>
      <c r="AO397" s="30">
        <v>0</v>
      </c>
      <c r="AP397" s="30">
        <v>0</v>
      </c>
      <c r="AQ397" s="30">
        <v>0</v>
      </c>
      <c r="AR397" s="30"/>
      <c r="AS397" s="30"/>
      <c r="AT397" s="30">
        <v>0</v>
      </c>
      <c r="AU397" s="30">
        <v>0</v>
      </c>
      <c r="AV397" s="30">
        <v>0</v>
      </c>
      <c r="AW397" s="30">
        <v>21876387</v>
      </c>
      <c r="AX397" s="30">
        <v>0</v>
      </c>
      <c r="AY397" s="30"/>
      <c r="AZ397" s="30"/>
      <c r="BA397" s="40"/>
      <c r="BB397" s="5">
        <f t="shared" si="88"/>
        <v>21876387</v>
      </c>
    </row>
    <row r="398" spans="1:54" hidden="1">
      <c r="A398" s="10">
        <f t="shared" si="85"/>
        <v>380</v>
      </c>
      <c r="B398" s="12" t="s">
        <v>96</v>
      </c>
      <c r="C398" s="101" t="s">
        <v>114</v>
      </c>
      <c r="D398" s="101" t="s">
        <v>478</v>
      </c>
      <c r="E398" s="102">
        <v>1991</v>
      </c>
      <c r="F398" s="102">
        <v>2017</v>
      </c>
      <c r="G398" s="102" t="s">
        <v>3</v>
      </c>
      <c r="H398" s="102">
        <v>9</v>
      </c>
      <c r="I398" s="102">
        <v>1</v>
      </c>
      <c r="J398" s="62">
        <v>3271</v>
      </c>
      <c r="K398" s="62">
        <v>2814.6</v>
      </c>
      <c r="L398" s="62">
        <v>0</v>
      </c>
      <c r="M398" s="103">
        <v>93</v>
      </c>
      <c r="N398" s="28">
        <f t="shared" si="75"/>
        <v>2107839.7400000002</v>
      </c>
      <c r="O398" s="62"/>
      <c r="P398" s="30"/>
      <c r="Q398" s="31"/>
      <c r="R398" s="31"/>
      <c r="S398" s="30"/>
      <c r="T398" s="31"/>
      <c r="U398" s="31"/>
      <c r="V398" s="30">
        <v>1120876</v>
      </c>
      <c r="W398" s="31"/>
      <c r="X398" s="31"/>
      <c r="Y398" s="30">
        <v>986963.74</v>
      </c>
      <c r="Z398" s="31"/>
      <c r="AA398" s="31"/>
      <c r="AB398" s="30"/>
      <c r="AC398" s="32"/>
      <c r="AD398" s="32"/>
      <c r="AE398" s="30">
        <v>3490.9418391755999</v>
      </c>
      <c r="AF398" s="30">
        <v>1243.2830200640001</v>
      </c>
      <c r="AG398" s="33">
        <v>2023</v>
      </c>
      <c r="AH398" s="98">
        <v>2237132.42</v>
      </c>
      <c r="AI398" s="5">
        <f>+(K398*13.95+L398*23.65)*12*0.85</f>
        <v>400489.43399999995</v>
      </c>
      <c r="AJ398" s="5">
        <f>+(K398*13.95+L398*23.65)*12*30</f>
        <v>14134921.199999999</v>
      </c>
      <c r="AL398" s="112">
        <f t="shared" si="87"/>
        <v>0</v>
      </c>
      <c r="AM398" s="30">
        <v>2107839.7400000002</v>
      </c>
      <c r="AN398" s="30"/>
      <c r="AO398" s="30">
        <v>0</v>
      </c>
      <c r="AP398" s="30"/>
      <c r="AQ398" s="30">
        <v>0</v>
      </c>
      <c r="AR398" s="30"/>
      <c r="AS398" s="30"/>
      <c r="AT398" s="30">
        <v>0</v>
      </c>
      <c r="AU398" s="30">
        <v>0</v>
      </c>
      <c r="AV398" s="30">
        <v>0</v>
      </c>
      <c r="AW398" s="30">
        <v>0</v>
      </c>
      <c r="AX398" s="30">
        <v>0</v>
      </c>
      <c r="AY398" s="30"/>
      <c r="AZ398" s="30"/>
      <c r="BA398" s="40"/>
      <c r="BB398" s="5">
        <f t="shared" si="88"/>
        <v>2107839.7400000002</v>
      </c>
    </row>
    <row r="399" spans="1:54" s="142" customFormat="1" hidden="1">
      <c r="A399" s="10">
        <f t="shared" si="85"/>
        <v>381</v>
      </c>
      <c r="B399" s="12">
        <v>190</v>
      </c>
      <c r="C399" s="101" t="s">
        <v>114</v>
      </c>
      <c r="D399" s="101" t="s">
        <v>345</v>
      </c>
      <c r="E399" s="102" t="s">
        <v>214</v>
      </c>
      <c r="F399" s="102"/>
      <c r="G399" s="102" t="s">
        <v>3</v>
      </c>
      <c r="H399" s="102" t="s">
        <v>174</v>
      </c>
      <c r="I399" s="102" t="s">
        <v>244</v>
      </c>
      <c r="J399" s="62">
        <v>3182.4</v>
      </c>
      <c r="K399" s="62">
        <v>2718.2</v>
      </c>
      <c r="L399" s="62">
        <v>0</v>
      </c>
      <c r="M399" s="103">
        <v>99</v>
      </c>
      <c r="N399" s="28">
        <f t="shared" si="75"/>
        <v>2097595.92</v>
      </c>
      <c r="O399" s="62">
        <v>0</v>
      </c>
      <c r="P399" s="30"/>
      <c r="Q399" s="31"/>
      <c r="R399" s="31"/>
      <c r="S399" s="30">
        <v>0</v>
      </c>
      <c r="T399" s="31"/>
      <c r="U399" s="31"/>
      <c r="V399" s="30">
        <v>771389.31</v>
      </c>
      <c r="W399" s="31"/>
      <c r="X399" s="31"/>
      <c r="Y399" s="30">
        <v>1326206.6100000001</v>
      </c>
      <c r="Z399" s="31"/>
      <c r="AA399" s="31"/>
      <c r="AB399" s="30"/>
      <c r="AC399" s="32"/>
      <c r="AD399" s="32"/>
      <c r="AE399" s="62">
        <v>4870.98769327849</v>
      </c>
      <c r="AF399" s="62">
        <v>4870.98769327849</v>
      </c>
      <c r="AG399" s="33">
        <v>2023</v>
      </c>
      <c r="AH399" s="142">
        <v>1686354.74</v>
      </c>
      <c r="AI399" s="5">
        <f>+(K399*13.29+L399*22.52)*12*0.85</f>
        <v>368473.75559999997</v>
      </c>
      <c r="AJ399" s="5">
        <f>+(K399*13.29+L399*22.52)*12*30</f>
        <v>13004956.079999998</v>
      </c>
      <c r="AK399" s="5"/>
      <c r="AL399" s="37">
        <f t="shared" si="87"/>
        <v>0</v>
      </c>
      <c r="AM399" s="62"/>
      <c r="AN399" s="30">
        <v>0</v>
      </c>
      <c r="AO399" s="30">
        <v>1240683.24</v>
      </c>
      <c r="AP399" s="30">
        <v>452701.66</v>
      </c>
      <c r="AQ399" s="30"/>
      <c r="AR399" s="30"/>
      <c r="AS399" s="30"/>
      <c r="AT399" s="30"/>
      <c r="AU399" s="30"/>
      <c r="AV399" s="30"/>
      <c r="AW399" s="30"/>
      <c r="AX399" s="30"/>
      <c r="AY399" s="30">
        <v>388211.02</v>
      </c>
      <c r="AZ399" s="30">
        <v>16000</v>
      </c>
      <c r="BA399" s="40"/>
      <c r="BB399" s="5">
        <f t="shared" si="88"/>
        <v>2097595.92</v>
      </c>
    </row>
    <row r="400" spans="1:54" hidden="1">
      <c r="A400" s="10">
        <f t="shared" si="85"/>
        <v>382</v>
      </c>
      <c r="B400" s="12">
        <f>+B399+1</f>
        <v>191</v>
      </c>
      <c r="C400" s="101" t="s">
        <v>185</v>
      </c>
      <c r="D400" s="101" t="s">
        <v>674</v>
      </c>
      <c r="E400" s="102">
        <v>1979</v>
      </c>
      <c r="F400" s="102">
        <v>2013</v>
      </c>
      <c r="G400" s="102" t="s">
        <v>3</v>
      </c>
      <c r="H400" s="102">
        <v>5</v>
      </c>
      <c r="I400" s="102">
        <v>4</v>
      </c>
      <c r="J400" s="62">
        <v>2793.1</v>
      </c>
      <c r="K400" s="62">
        <v>2468.5</v>
      </c>
      <c r="L400" s="62">
        <v>86.9</v>
      </c>
      <c r="M400" s="103">
        <v>97</v>
      </c>
      <c r="N400" s="28">
        <f t="shared" si="75"/>
        <v>1696026.8</v>
      </c>
      <c r="O400" s="62"/>
      <c r="P400" s="30"/>
      <c r="Q400" s="31"/>
      <c r="R400" s="31"/>
      <c r="S400" s="30"/>
      <c r="T400" s="31"/>
      <c r="U400" s="31"/>
      <c r="V400" s="30">
        <v>1302890.54</v>
      </c>
      <c r="W400" s="31"/>
      <c r="X400" s="31"/>
      <c r="Y400" s="30">
        <v>393136.26</v>
      </c>
      <c r="Z400" s="31"/>
      <c r="AA400" s="31"/>
      <c r="AB400" s="30"/>
      <c r="AC400" s="32"/>
      <c r="AD400" s="32"/>
      <c r="AE400" s="62">
        <v>881.08012005948206</v>
      </c>
      <c r="AF400" s="62">
        <v>881.08012005948206</v>
      </c>
      <c r="AG400" s="33">
        <v>2023</v>
      </c>
      <c r="AH400" s="1">
        <v>1033375.94</v>
      </c>
      <c r="AI400" s="5">
        <f>+(K400*10+L400*20)*12*0.85</f>
        <v>269514.59999999998</v>
      </c>
      <c r="AJ400" s="5">
        <f>+(K400*10+L400*20)*12*30</f>
        <v>9512280</v>
      </c>
      <c r="AL400" s="37">
        <f t="shared" si="87"/>
        <v>0</v>
      </c>
      <c r="AM400" s="30">
        <v>0</v>
      </c>
      <c r="AN400" s="30">
        <v>0</v>
      </c>
      <c r="AO400" s="30">
        <v>1696026.8</v>
      </c>
      <c r="AP400" s="30">
        <v>0</v>
      </c>
      <c r="AQ400" s="30">
        <v>0</v>
      </c>
      <c r="AR400" s="30"/>
      <c r="AS400" s="30"/>
      <c r="AT400" s="30">
        <v>0</v>
      </c>
      <c r="AU400" s="30">
        <v>0</v>
      </c>
      <c r="AV400" s="30">
        <v>0</v>
      </c>
      <c r="AW400" s="30">
        <v>0</v>
      </c>
      <c r="AX400" s="30">
        <v>0</v>
      </c>
      <c r="AY400" s="30"/>
      <c r="AZ400" s="30"/>
      <c r="BA400" s="40"/>
      <c r="BB400" s="5">
        <f t="shared" si="88"/>
        <v>1696026.8</v>
      </c>
    </row>
    <row r="401" spans="1:54" hidden="1">
      <c r="A401" s="10">
        <f t="shared" si="85"/>
        <v>383</v>
      </c>
      <c r="B401" s="12">
        <f>+B400+1</f>
        <v>192</v>
      </c>
      <c r="C401" s="101" t="s">
        <v>185</v>
      </c>
      <c r="D401" s="101" t="s">
        <v>197</v>
      </c>
      <c r="E401" s="102">
        <v>1986</v>
      </c>
      <c r="F401" s="102">
        <v>2013</v>
      </c>
      <c r="G401" s="102" t="s">
        <v>3</v>
      </c>
      <c r="H401" s="102">
        <v>4</v>
      </c>
      <c r="I401" s="102">
        <v>2</v>
      </c>
      <c r="J401" s="62">
        <v>3830.7</v>
      </c>
      <c r="K401" s="62">
        <v>3476.2</v>
      </c>
      <c r="L401" s="62">
        <v>0</v>
      </c>
      <c r="M401" s="103">
        <v>146</v>
      </c>
      <c r="N401" s="28">
        <f t="shared" si="75"/>
        <v>4507647.88</v>
      </c>
      <c r="O401" s="62"/>
      <c r="P401" s="30">
        <v>2857212.57</v>
      </c>
      <c r="Q401" s="31"/>
      <c r="R401" s="31"/>
      <c r="S401" s="30"/>
      <c r="T401" s="31"/>
      <c r="U401" s="31"/>
      <c r="V401" s="30">
        <v>121962.54</v>
      </c>
      <c r="W401" s="31"/>
      <c r="X401" s="31"/>
      <c r="Y401" s="30">
        <v>1528472.77</v>
      </c>
      <c r="Z401" s="31"/>
      <c r="AA401" s="31"/>
      <c r="AB401" s="62"/>
      <c r="AC401" s="106"/>
      <c r="AD401" s="106"/>
      <c r="AE401" s="30">
        <v>1833.87856826966</v>
      </c>
      <c r="AF401" s="30">
        <v>1833.87856826966</v>
      </c>
      <c r="AG401" s="33">
        <v>2023</v>
      </c>
      <c r="AH401" s="18">
        <f>1393126.98-102965.87-V60</f>
        <v>-448445.6100000001</v>
      </c>
      <c r="AI401" s="5">
        <f>+(K401*10+L401*20)*12*0.85</f>
        <v>354572.39999999997</v>
      </c>
      <c r="AJ401" s="5">
        <f>+(K401*10+L401*20)*12*30-Y60</f>
        <v>-858925.48000000045</v>
      </c>
      <c r="AL401" s="37">
        <f t="shared" si="87"/>
        <v>0</v>
      </c>
      <c r="AM401" s="188"/>
      <c r="AN401" s="30">
        <v>2958323.74</v>
      </c>
      <c r="AO401" s="30"/>
      <c r="AP401" s="30"/>
      <c r="AQ401" s="30"/>
      <c r="AR401" s="30"/>
      <c r="AS401" s="30">
        <v>1515829.2</v>
      </c>
      <c r="AT401" s="30">
        <v>0</v>
      </c>
      <c r="AU401" s="30"/>
      <c r="AV401" s="30"/>
      <c r="AW401" s="30"/>
      <c r="AX401" s="30"/>
      <c r="AY401" s="30"/>
      <c r="AZ401" s="30"/>
      <c r="BA401" s="109">
        <v>33494.94</v>
      </c>
      <c r="BB401" s="5">
        <f t="shared" si="88"/>
        <v>4507647.88</v>
      </c>
    </row>
    <row r="402" spans="1:54" hidden="1">
      <c r="A402" s="10">
        <f t="shared" si="85"/>
        <v>384</v>
      </c>
      <c r="B402" s="12">
        <f>+B401+1</f>
        <v>193</v>
      </c>
      <c r="C402" s="101" t="s">
        <v>185</v>
      </c>
      <c r="D402" s="101" t="s">
        <v>192</v>
      </c>
      <c r="E402" s="102">
        <v>1995</v>
      </c>
      <c r="F402" s="102">
        <v>2013</v>
      </c>
      <c r="G402" s="102" t="s">
        <v>3</v>
      </c>
      <c r="H402" s="102">
        <v>5</v>
      </c>
      <c r="I402" s="102">
        <v>4</v>
      </c>
      <c r="J402" s="62">
        <v>4929.5</v>
      </c>
      <c r="K402" s="62">
        <v>4328.8999999999996</v>
      </c>
      <c r="L402" s="62">
        <v>0</v>
      </c>
      <c r="M402" s="103">
        <v>159</v>
      </c>
      <c r="N402" s="28">
        <f t="shared" ref="N402:N465" si="89">SUM(P402:AB402)</f>
        <v>2457074</v>
      </c>
      <c r="O402" s="62"/>
      <c r="P402" s="30"/>
      <c r="Q402" s="31"/>
      <c r="R402" s="31"/>
      <c r="S402" s="30"/>
      <c r="T402" s="31"/>
      <c r="U402" s="31"/>
      <c r="V402" s="30">
        <v>1488007.09</v>
      </c>
      <c r="W402" s="31"/>
      <c r="X402" s="31"/>
      <c r="Y402" s="30">
        <v>969066.91</v>
      </c>
      <c r="Z402" s="31"/>
      <c r="AA402" s="31"/>
      <c r="AB402" s="30"/>
      <c r="AC402" s="32"/>
      <c r="AD402" s="32"/>
      <c r="AE402" s="62">
        <v>1045.55475263924</v>
      </c>
      <c r="AF402" s="62">
        <v>1045.55475263924</v>
      </c>
      <c r="AG402" s="33">
        <v>2023</v>
      </c>
      <c r="AH402" s="18">
        <f>1948762.98-V57</f>
        <v>1046459.29</v>
      </c>
      <c r="AI402" s="5">
        <f>+(K402*10+L402*20)*12*0.85</f>
        <v>441547.8</v>
      </c>
      <c r="AJ402" s="5">
        <f>+(K402*10+L402*20)*12*30-Y57</f>
        <v>9030711.870000001</v>
      </c>
      <c r="AL402" s="37">
        <f t="shared" si="87"/>
        <v>0</v>
      </c>
      <c r="AM402" s="30"/>
      <c r="AN402" s="30"/>
      <c r="AO402" s="30">
        <v>2457074</v>
      </c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40"/>
      <c r="BB402" s="5">
        <f t="shared" si="88"/>
        <v>2457074</v>
      </c>
    </row>
    <row r="403" spans="1:54" hidden="1">
      <c r="A403" s="10">
        <f t="shared" si="85"/>
        <v>385</v>
      </c>
      <c r="B403" s="12" t="s">
        <v>96</v>
      </c>
      <c r="C403" s="101" t="s">
        <v>185</v>
      </c>
      <c r="D403" s="101" t="s">
        <v>353</v>
      </c>
      <c r="E403" s="102">
        <v>1964</v>
      </c>
      <c r="F403" s="102">
        <v>2013</v>
      </c>
      <c r="G403" s="102" t="s">
        <v>3</v>
      </c>
      <c r="H403" s="102">
        <v>5</v>
      </c>
      <c r="I403" s="102">
        <v>7</v>
      </c>
      <c r="J403" s="62">
        <v>6384.4</v>
      </c>
      <c r="K403" s="62">
        <v>5253.8</v>
      </c>
      <c r="L403" s="62">
        <v>1130.5999999999999</v>
      </c>
      <c r="M403" s="103">
        <v>210</v>
      </c>
      <c r="N403" s="28">
        <f t="shared" si="89"/>
        <v>8262278.1399999997</v>
      </c>
      <c r="O403" s="62"/>
      <c r="P403" s="30"/>
      <c r="Q403" s="31"/>
      <c r="R403" s="31"/>
      <c r="S403" s="30"/>
      <c r="T403" s="31"/>
      <c r="U403" s="31"/>
      <c r="V403" s="30">
        <v>1316115.21</v>
      </c>
      <c r="W403" s="31"/>
      <c r="X403" s="31"/>
      <c r="Y403" s="30">
        <v>6946162.9299999997</v>
      </c>
      <c r="Z403" s="31"/>
      <c r="AA403" s="31"/>
      <c r="AB403" s="30"/>
      <c r="AC403" s="32"/>
      <c r="AD403" s="32"/>
      <c r="AE403" s="30">
        <v>2836.9035269001101</v>
      </c>
      <c r="AF403" s="30">
        <v>1258.2830200640001</v>
      </c>
      <c r="AG403" s="33">
        <v>2023</v>
      </c>
      <c r="AH403" s="98">
        <f>4163182.7-V240</f>
        <v>2294759.7600000002</v>
      </c>
      <c r="AI403" s="5">
        <f>+(K403*10.5+L403*21)*12*0.85</f>
        <v>804856.5</v>
      </c>
      <c r="AJ403" s="5">
        <f>+(K403*10.5+L403*21)*12*30-Y240</f>
        <v>13379807.640000001</v>
      </c>
      <c r="AL403" s="112">
        <f t="shared" si="87"/>
        <v>0</v>
      </c>
      <c r="AM403" s="62">
        <v>8063310.0499999998</v>
      </c>
      <c r="AN403" s="30"/>
      <c r="AO403" s="30"/>
      <c r="AP403" s="30"/>
      <c r="AQ403" s="30"/>
      <c r="AR403" s="30"/>
      <c r="AS403" s="30"/>
      <c r="AT403" s="30">
        <v>0</v>
      </c>
      <c r="AU403" s="30"/>
      <c r="AV403" s="30">
        <v>0</v>
      </c>
      <c r="AW403" s="30">
        <v>0</v>
      </c>
      <c r="AX403" s="30">
        <v>0</v>
      </c>
      <c r="AY403" s="30">
        <v>87085.119999999995</v>
      </c>
      <c r="AZ403" s="30">
        <v>4800</v>
      </c>
      <c r="BA403" s="109">
        <v>107082.97</v>
      </c>
      <c r="BB403" s="5">
        <f t="shared" si="88"/>
        <v>8262278.1399999997</v>
      </c>
    </row>
    <row r="404" spans="1:54" hidden="1">
      <c r="A404" s="10">
        <f t="shared" si="85"/>
        <v>386</v>
      </c>
      <c r="B404" s="12">
        <v>194</v>
      </c>
      <c r="C404" s="101" t="s">
        <v>185</v>
      </c>
      <c r="D404" s="101" t="s">
        <v>224</v>
      </c>
      <c r="E404" s="102">
        <v>1965</v>
      </c>
      <c r="F404" s="102">
        <v>2005</v>
      </c>
      <c r="G404" s="102" t="s">
        <v>3</v>
      </c>
      <c r="H404" s="102">
        <v>4</v>
      </c>
      <c r="I404" s="102">
        <v>2</v>
      </c>
      <c r="J404" s="62">
        <v>1948.5</v>
      </c>
      <c r="K404" s="62">
        <v>1410</v>
      </c>
      <c r="L404" s="62">
        <v>537.70000000000005</v>
      </c>
      <c r="M404" s="103">
        <v>38</v>
      </c>
      <c r="N404" s="28">
        <f t="shared" si="89"/>
        <v>2906929.13</v>
      </c>
      <c r="O404" s="62"/>
      <c r="P404" s="30">
        <v>2075421.35</v>
      </c>
      <c r="Q404" s="31"/>
      <c r="R404" s="31"/>
      <c r="S404" s="30"/>
      <c r="T404" s="31"/>
      <c r="U404" s="31"/>
      <c r="V404" s="30"/>
      <c r="W404" s="31"/>
      <c r="X404" s="31"/>
      <c r="Y404" s="30">
        <v>831507.78</v>
      </c>
      <c r="Z404" s="31"/>
      <c r="AA404" s="31"/>
      <c r="AB404" s="30"/>
      <c r="AC404" s="32"/>
      <c r="AD404" s="32"/>
      <c r="AE404" s="62">
        <v>1684.5230719185799</v>
      </c>
      <c r="AF404" s="62">
        <v>1684.5230719185799</v>
      </c>
      <c r="AG404" s="33">
        <v>2023</v>
      </c>
      <c r="AH404" s="18">
        <f>945052.78-V70</f>
        <v>209930.79000000004</v>
      </c>
      <c r="AI404" s="5">
        <f>+(K404*10+L404*20)*12*0.85</f>
        <v>253510.8</v>
      </c>
      <c r="AJ404" s="5">
        <f>+(K404*10+L404*20)*12*30-Y70</f>
        <v>8947440</v>
      </c>
      <c r="AL404" s="37">
        <f t="shared" si="87"/>
        <v>0</v>
      </c>
      <c r="AM404" s="30">
        <v>2876336.82</v>
      </c>
      <c r="AN404" s="30"/>
      <c r="AO404" s="30"/>
      <c r="AP404" s="30"/>
      <c r="AQ404" s="30"/>
      <c r="AR404" s="30"/>
      <c r="AS404" s="30"/>
      <c r="AT404" s="30"/>
      <c r="AU404" s="30"/>
      <c r="AV404" s="30">
        <v>0</v>
      </c>
      <c r="AW404" s="30">
        <v>0</v>
      </c>
      <c r="AX404" s="30">
        <v>0</v>
      </c>
      <c r="AY404" s="30"/>
      <c r="AZ404" s="30"/>
      <c r="BA404" s="109">
        <v>30592.31</v>
      </c>
      <c r="BB404" s="5">
        <f t="shared" si="88"/>
        <v>2906929.13</v>
      </c>
    </row>
    <row r="405" spans="1:54" hidden="1">
      <c r="A405" s="10">
        <f t="shared" si="85"/>
        <v>387</v>
      </c>
      <c r="B405" s="12">
        <v>195</v>
      </c>
      <c r="C405" s="101" t="s">
        <v>185</v>
      </c>
      <c r="D405" s="101" t="s">
        <v>364</v>
      </c>
      <c r="E405" s="102">
        <v>1973</v>
      </c>
      <c r="F405" s="102">
        <v>2017</v>
      </c>
      <c r="G405" s="102" t="s">
        <v>3</v>
      </c>
      <c r="H405" s="102">
        <v>5</v>
      </c>
      <c r="I405" s="102">
        <v>2</v>
      </c>
      <c r="J405" s="62">
        <v>2354.6</v>
      </c>
      <c r="K405" s="62">
        <v>2141.8000000000002</v>
      </c>
      <c r="L405" s="62">
        <v>0</v>
      </c>
      <c r="M405" s="103">
        <v>96</v>
      </c>
      <c r="N405" s="28">
        <f t="shared" si="89"/>
        <v>7597723.9900000002</v>
      </c>
      <c r="O405" s="62"/>
      <c r="P405" s="30">
        <v>2812203.54</v>
      </c>
      <c r="Q405" s="31"/>
      <c r="R405" s="31"/>
      <c r="S405" s="30"/>
      <c r="T405" s="31"/>
      <c r="U405" s="31"/>
      <c r="V405" s="30">
        <v>1112787.02</v>
      </c>
      <c r="W405" s="31"/>
      <c r="X405" s="31"/>
      <c r="Y405" s="30">
        <v>3672733.43</v>
      </c>
      <c r="Z405" s="31"/>
      <c r="AA405" s="31"/>
      <c r="AB405" s="30"/>
      <c r="AC405" s="32"/>
      <c r="AD405" s="32"/>
      <c r="AE405" s="30">
        <v>2419.6525627287901</v>
      </c>
      <c r="AF405" s="30">
        <v>1263.2830200640001</v>
      </c>
      <c r="AG405" s="33">
        <v>2023</v>
      </c>
      <c r="AH405" s="98">
        <v>1148972.82</v>
      </c>
      <c r="AI405" s="5">
        <f>+(K405*10.5+L405*21)*12*0.85</f>
        <v>229386.78000000003</v>
      </c>
      <c r="AJ405" s="5">
        <f>+(K405*10.5+L405*21)*12*30</f>
        <v>8096004.0000000019</v>
      </c>
      <c r="AL405" s="112">
        <f t="shared" si="87"/>
        <v>0</v>
      </c>
      <c r="AM405" s="62">
        <v>0</v>
      </c>
      <c r="AN405" s="30">
        <v>0</v>
      </c>
      <c r="AO405" s="30">
        <v>0</v>
      </c>
      <c r="AP405" s="30">
        <v>0</v>
      </c>
      <c r="AQ405" s="30">
        <v>0</v>
      </c>
      <c r="AR405" s="30"/>
      <c r="AS405" s="30"/>
      <c r="AT405" s="30">
        <v>0</v>
      </c>
      <c r="AU405" s="30">
        <v>0</v>
      </c>
      <c r="AV405" s="30">
        <v>0</v>
      </c>
      <c r="AW405" s="30">
        <v>7597723.9900000002</v>
      </c>
      <c r="AX405" s="30">
        <v>0</v>
      </c>
      <c r="AY405" s="30"/>
      <c r="AZ405" s="30"/>
      <c r="BA405" s="40"/>
      <c r="BB405" s="5">
        <f t="shared" si="88"/>
        <v>7597723.9900000002</v>
      </c>
    </row>
    <row r="406" spans="1:54" hidden="1">
      <c r="A406" s="10">
        <f t="shared" si="85"/>
        <v>388</v>
      </c>
      <c r="B406" s="12">
        <f>+B405+1</f>
        <v>196</v>
      </c>
      <c r="C406" s="12" t="s">
        <v>185</v>
      </c>
      <c r="D406" s="12" t="s">
        <v>680</v>
      </c>
      <c r="E406" s="120">
        <v>1972</v>
      </c>
      <c r="F406" s="120">
        <v>2013</v>
      </c>
      <c r="G406" s="120" t="s">
        <v>3</v>
      </c>
      <c r="H406" s="120">
        <v>5</v>
      </c>
      <c r="I406" s="120">
        <v>2</v>
      </c>
      <c r="J406" s="30">
        <v>3331.95</v>
      </c>
      <c r="K406" s="30">
        <v>2549.4499999999998</v>
      </c>
      <c r="L406" s="30">
        <v>780.8</v>
      </c>
      <c r="M406" s="121">
        <v>190</v>
      </c>
      <c r="N406" s="28">
        <f t="shared" si="89"/>
        <v>2328308.5299999998</v>
      </c>
      <c r="O406" s="30"/>
      <c r="P406" s="30">
        <v>65202.28</v>
      </c>
      <c r="Q406" s="31"/>
      <c r="R406" s="31"/>
      <c r="S406" s="30"/>
      <c r="T406" s="31"/>
      <c r="U406" s="31"/>
      <c r="V406" s="30">
        <v>2221077.79</v>
      </c>
      <c r="W406" s="31"/>
      <c r="X406" s="31"/>
      <c r="Y406" s="30">
        <v>42028.46</v>
      </c>
      <c r="Z406" s="31"/>
      <c r="AA406" s="31"/>
      <c r="AB406" s="30"/>
      <c r="AC406" s="32"/>
      <c r="AD406" s="32"/>
      <c r="AE406" s="30">
        <v>1277.0381612400699</v>
      </c>
      <c r="AF406" s="30">
        <v>1264.2830200640001</v>
      </c>
      <c r="AG406" s="33">
        <v>2023</v>
      </c>
      <c r="AH406" s="98">
        <v>2364830.67</v>
      </c>
      <c r="AI406" s="5">
        <f>+(K406*10.5+L406*21)*12*0.85</f>
        <v>440293.45499999996</v>
      </c>
      <c r="AJ406" s="5">
        <f>+(K406*10.5+L406*21)*12*30</f>
        <v>15539768.999999998</v>
      </c>
      <c r="AL406" s="112">
        <f t="shared" si="87"/>
        <v>0</v>
      </c>
      <c r="AM406" s="30">
        <v>0</v>
      </c>
      <c r="AN406" s="30"/>
      <c r="AO406" s="30">
        <v>2328308.5299999998</v>
      </c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40"/>
      <c r="BB406" s="5">
        <f t="shared" si="88"/>
        <v>2328308.5299999998</v>
      </c>
    </row>
    <row r="407" spans="1:54" s="142" customFormat="1" hidden="1">
      <c r="A407" s="10">
        <f t="shared" si="85"/>
        <v>389</v>
      </c>
      <c r="B407" s="12" t="s">
        <v>96</v>
      </c>
      <c r="C407" s="12" t="s">
        <v>185</v>
      </c>
      <c r="D407" s="12" t="s">
        <v>387</v>
      </c>
      <c r="E407" s="102" t="s">
        <v>388</v>
      </c>
      <c r="F407" s="102"/>
      <c r="G407" s="102" t="s">
        <v>3</v>
      </c>
      <c r="H407" s="102" t="s">
        <v>183</v>
      </c>
      <c r="I407" s="102" t="s">
        <v>183</v>
      </c>
      <c r="J407" s="62">
        <v>3893.1</v>
      </c>
      <c r="K407" s="62">
        <v>3553.5</v>
      </c>
      <c r="L407" s="62">
        <v>0</v>
      </c>
      <c r="M407" s="103">
        <v>150</v>
      </c>
      <c r="N407" s="28">
        <f t="shared" si="89"/>
        <v>29075533.090000004</v>
      </c>
      <c r="O407" s="30">
        <v>0</v>
      </c>
      <c r="P407" s="30">
        <v>17544458.690000001</v>
      </c>
      <c r="Q407" s="31"/>
      <c r="R407" s="31"/>
      <c r="S407" s="30">
        <v>0</v>
      </c>
      <c r="T407" s="31"/>
      <c r="U407" s="31"/>
      <c r="V407" s="30">
        <v>678038.57</v>
      </c>
      <c r="W407" s="31"/>
      <c r="X407" s="31"/>
      <c r="Y407" s="30">
        <v>9297987.9046337008</v>
      </c>
      <c r="Z407" s="31"/>
      <c r="AA407" s="31"/>
      <c r="AB407" s="30">
        <v>1555047.9253662999</v>
      </c>
      <c r="AC407" s="32"/>
      <c r="AD407" s="32"/>
      <c r="AE407" s="30">
        <v>17913.0210460528</v>
      </c>
      <c r="AF407" s="30">
        <v>1273.2830200640001</v>
      </c>
      <c r="AG407" s="33">
        <v>2023</v>
      </c>
      <c r="AH407" s="98">
        <v>1198086.6299999999</v>
      </c>
      <c r="AI407" s="5">
        <f>+(K407*10.5+L407*21)*12*0.85</f>
        <v>380579.85</v>
      </c>
      <c r="AJ407" s="5">
        <f>+(K407*10.5+L407*21)*12*30</f>
        <v>13432230</v>
      </c>
      <c r="AK407" s="5"/>
      <c r="AL407" s="112">
        <f t="shared" si="87"/>
        <v>0</v>
      </c>
      <c r="AM407" s="30"/>
      <c r="AN407" s="30"/>
      <c r="AO407" s="30">
        <v>1699976.02</v>
      </c>
      <c r="AP407" s="30"/>
      <c r="AQ407" s="30"/>
      <c r="AR407" s="30"/>
      <c r="AS407" s="30"/>
      <c r="AT407" s="30"/>
      <c r="AU407" s="30"/>
      <c r="AV407" s="30"/>
      <c r="AW407" s="30">
        <v>21539537.780000001</v>
      </c>
      <c r="AX407" s="30">
        <v>5244019.0999999996</v>
      </c>
      <c r="AY407" s="30">
        <v>580000.18999999994</v>
      </c>
      <c r="AZ407" s="30">
        <v>12000</v>
      </c>
      <c r="BA407" s="40"/>
      <c r="BB407" s="5">
        <f t="shared" si="88"/>
        <v>29075533.090000004</v>
      </c>
    </row>
    <row r="408" spans="1:54" hidden="1">
      <c r="A408" s="10">
        <f t="shared" si="85"/>
        <v>390</v>
      </c>
      <c r="B408" s="12">
        <v>197</v>
      </c>
      <c r="C408" s="101" t="s">
        <v>185</v>
      </c>
      <c r="D408" s="101" t="s">
        <v>240</v>
      </c>
      <c r="E408" s="102">
        <v>1974</v>
      </c>
      <c r="F408" s="102">
        <v>2013</v>
      </c>
      <c r="G408" s="102" t="s">
        <v>3</v>
      </c>
      <c r="H408" s="102">
        <v>4</v>
      </c>
      <c r="I408" s="102">
        <v>4</v>
      </c>
      <c r="J408" s="62">
        <v>3890.5</v>
      </c>
      <c r="K408" s="62">
        <v>3406.6</v>
      </c>
      <c r="L408" s="62">
        <v>0</v>
      </c>
      <c r="M408" s="103">
        <v>175</v>
      </c>
      <c r="N408" s="28">
        <f t="shared" si="89"/>
        <v>1292467.79</v>
      </c>
      <c r="O408" s="62"/>
      <c r="P408" s="30">
        <v>924919.81</v>
      </c>
      <c r="Q408" s="31"/>
      <c r="R408" s="31"/>
      <c r="S408" s="30"/>
      <c r="T408" s="31"/>
      <c r="U408" s="31"/>
      <c r="V408" s="30">
        <v>347473.2</v>
      </c>
      <c r="W408" s="31"/>
      <c r="X408" s="31"/>
      <c r="Y408" s="30">
        <v>20074.78</v>
      </c>
      <c r="Z408" s="31"/>
      <c r="AA408" s="31"/>
      <c r="AB408" s="30"/>
      <c r="AC408" s="32"/>
      <c r="AD408" s="32"/>
      <c r="AE408" s="62">
        <v>400.12928194974501</v>
      </c>
      <c r="AF408" s="62">
        <v>400.12928194974501</v>
      </c>
      <c r="AG408" s="33">
        <v>2023</v>
      </c>
      <c r="AH408" s="18">
        <f>1535272.52-V79</f>
        <v>348389.10000000009</v>
      </c>
      <c r="AI408" s="5">
        <f>+(K408*10+L408*20)*12*0.85</f>
        <v>347473.2</v>
      </c>
      <c r="AJ408" s="5">
        <f>+(K408*10+L408*20)*12*30-Y79</f>
        <v>32893.11999999918</v>
      </c>
      <c r="AL408" s="37">
        <f t="shared" si="87"/>
        <v>0</v>
      </c>
      <c r="AM408" s="30">
        <v>0</v>
      </c>
      <c r="AN408" s="30">
        <v>0</v>
      </c>
      <c r="AO408" s="30">
        <v>0</v>
      </c>
      <c r="AP408" s="30">
        <v>0</v>
      </c>
      <c r="AQ408" s="30">
        <v>1292467.79</v>
      </c>
      <c r="AR408" s="30"/>
      <c r="AS408" s="30"/>
      <c r="AT408" s="30">
        <v>0</v>
      </c>
      <c r="AU408" s="30">
        <v>0</v>
      </c>
      <c r="AV408" s="30">
        <v>0</v>
      </c>
      <c r="AW408" s="30"/>
      <c r="AX408" s="30">
        <v>0</v>
      </c>
      <c r="AY408" s="30"/>
      <c r="AZ408" s="30"/>
      <c r="BA408" s="40"/>
      <c r="BB408" s="5">
        <f t="shared" si="88"/>
        <v>1292467.79</v>
      </c>
    </row>
    <row r="409" spans="1:54" hidden="1">
      <c r="A409" s="10">
        <f t="shared" si="85"/>
        <v>391</v>
      </c>
      <c r="B409" s="12" t="s">
        <v>96</v>
      </c>
      <c r="C409" s="12" t="s">
        <v>185</v>
      </c>
      <c r="D409" s="12" t="s">
        <v>520</v>
      </c>
      <c r="E409" s="102">
        <v>1979</v>
      </c>
      <c r="F409" s="102">
        <v>2013</v>
      </c>
      <c r="G409" s="102" t="s">
        <v>3</v>
      </c>
      <c r="H409" s="102">
        <v>5</v>
      </c>
      <c r="I409" s="102">
        <v>4</v>
      </c>
      <c r="J409" s="62">
        <v>3602.3</v>
      </c>
      <c r="K409" s="62">
        <v>3466.4</v>
      </c>
      <c r="L409" s="62">
        <v>0</v>
      </c>
      <c r="M409" s="103">
        <v>87</v>
      </c>
      <c r="N409" s="28">
        <f t="shared" si="89"/>
        <v>12686908.630000001</v>
      </c>
      <c r="O409" s="30"/>
      <c r="P409" s="30"/>
      <c r="Q409" s="31"/>
      <c r="R409" s="31"/>
      <c r="S409" s="30"/>
      <c r="T409" s="31"/>
      <c r="U409" s="31"/>
      <c r="V409" s="30">
        <v>1700767.73</v>
      </c>
      <c r="W409" s="31"/>
      <c r="X409" s="31"/>
      <c r="Y409" s="30">
        <v>10986140.9</v>
      </c>
      <c r="Z409" s="31"/>
      <c r="AA409" s="31"/>
      <c r="AB409" s="30"/>
      <c r="AC409" s="32"/>
      <c r="AD409" s="32"/>
      <c r="AE409" s="30">
        <v>5381.5013600683696</v>
      </c>
      <c r="AF409" s="30">
        <v>1278.2830200640001</v>
      </c>
      <c r="AG409" s="33">
        <v>2023</v>
      </c>
      <c r="AH409" s="98">
        <v>2119168.21</v>
      </c>
      <c r="AI409" s="5">
        <f>+(K409*10.5+L409*21)*12*0.85</f>
        <v>371251.44</v>
      </c>
      <c r="AJ409" s="5">
        <f>+(K409*10.5+L409*21)*12*30</f>
        <v>13102992</v>
      </c>
      <c r="AL409" s="112">
        <f t="shared" si="87"/>
        <v>0</v>
      </c>
      <c r="AM409" s="30">
        <v>6551161.5099999998</v>
      </c>
      <c r="AN409" s="30">
        <v>3815348.46</v>
      </c>
      <c r="AO409" s="30"/>
      <c r="AP409" s="30">
        <v>2106297.9</v>
      </c>
      <c r="AQ409" s="30"/>
      <c r="AR409" s="30"/>
      <c r="AS409" s="30"/>
      <c r="AT409" s="30">
        <v>0</v>
      </c>
      <c r="AU409" s="30">
        <v>0</v>
      </c>
      <c r="AV409" s="30">
        <v>0</v>
      </c>
      <c r="AW409" s="30">
        <v>0</v>
      </c>
      <c r="AX409" s="30">
        <v>0</v>
      </c>
      <c r="AY409" s="30">
        <v>196100.76</v>
      </c>
      <c r="AZ409" s="30">
        <v>18000</v>
      </c>
      <c r="BA409" s="40"/>
      <c r="BB409" s="5">
        <f t="shared" si="88"/>
        <v>12686908.630000001</v>
      </c>
    </row>
    <row r="410" spans="1:54" hidden="1">
      <c r="A410" s="10">
        <f t="shared" si="85"/>
        <v>392</v>
      </c>
      <c r="B410" s="12" t="s">
        <v>96</v>
      </c>
      <c r="C410" s="12" t="s">
        <v>185</v>
      </c>
      <c r="D410" s="12" t="s">
        <v>391</v>
      </c>
      <c r="E410" s="102">
        <v>1978</v>
      </c>
      <c r="F410" s="102">
        <v>2008</v>
      </c>
      <c r="G410" s="102" t="s">
        <v>3</v>
      </c>
      <c r="H410" s="102">
        <v>5</v>
      </c>
      <c r="I410" s="102">
        <v>4</v>
      </c>
      <c r="J410" s="62">
        <v>4929.7</v>
      </c>
      <c r="K410" s="62">
        <v>4335.1000000000004</v>
      </c>
      <c r="L410" s="62">
        <v>0</v>
      </c>
      <c r="M410" s="103">
        <v>213</v>
      </c>
      <c r="N410" s="28">
        <f t="shared" si="89"/>
        <v>1676807.21</v>
      </c>
      <c r="O410" s="30"/>
      <c r="P410" s="30"/>
      <c r="Q410" s="31"/>
      <c r="R410" s="31"/>
      <c r="S410" s="30"/>
      <c r="T410" s="31"/>
      <c r="U410" s="31"/>
      <c r="V410" s="30">
        <v>1291080.1299999999</v>
      </c>
      <c r="W410" s="31"/>
      <c r="X410" s="31"/>
      <c r="Y410" s="30">
        <v>385727.08</v>
      </c>
      <c r="Z410" s="31"/>
      <c r="AA410" s="31"/>
      <c r="AB410" s="107"/>
      <c r="AC410" s="108"/>
      <c r="AD410" s="108"/>
      <c r="AE410" s="62">
        <v>2164.3192336970301</v>
      </c>
      <c r="AF410" s="62">
        <v>2164.3192336970301</v>
      </c>
      <c r="AG410" s="33">
        <v>2023</v>
      </c>
      <c r="AH410" s="18">
        <f>2077071.68</f>
        <v>2077071.68</v>
      </c>
      <c r="AI410" s="5">
        <f>+(K410*10+L410*20)*12*0.85</f>
        <v>442180.2</v>
      </c>
      <c r="AJ410" s="5">
        <f>+(K410*10+L410*20)*12*30</f>
        <v>15606360</v>
      </c>
      <c r="AL410" s="37">
        <f t="shared" si="87"/>
        <v>0</v>
      </c>
      <c r="AM410" s="30">
        <v>0</v>
      </c>
      <c r="AN410" s="30"/>
      <c r="AO410" s="30"/>
      <c r="AP410" s="30"/>
      <c r="AQ410" s="30">
        <v>1676807.21</v>
      </c>
      <c r="AR410" s="30"/>
      <c r="AS410" s="30"/>
      <c r="AT410" s="30">
        <v>0</v>
      </c>
      <c r="AU410" s="30">
        <v>0</v>
      </c>
      <c r="AV410" s="30">
        <v>0</v>
      </c>
      <c r="AW410" s="30"/>
      <c r="AX410" s="30">
        <v>0</v>
      </c>
      <c r="AY410" s="30"/>
      <c r="AZ410" s="30"/>
      <c r="BA410" s="40"/>
      <c r="BB410" s="5">
        <f t="shared" si="88"/>
        <v>1676807.21</v>
      </c>
    </row>
    <row r="411" spans="1:54" hidden="1">
      <c r="A411" s="10">
        <f t="shared" si="85"/>
        <v>393</v>
      </c>
      <c r="B411" s="12">
        <v>198</v>
      </c>
      <c r="C411" s="101" t="s">
        <v>185</v>
      </c>
      <c r="D411" s="101" t="s">
        <v>257</v>
      </c>
      <c r="E411" s="102">
        <v>1990</v>
      </c>
      <c r="F411" s="102">
        <v>2005</v>
      </c>
      <c r="G411" s="102" t="s">
        <v>3</v>
      </c>
      <c r="H411" s="102">
        <v>5</v>
      </c>
      <c r="I411" s="102">
        <v>4</v>
      </c>
      <c r="J411" s="62">
        <v>4982</v>
      </c>
      <c r="K411" s="62">
        <v>4404.6000000000004</v>
      </c>
      <c r="L411" s="62">
        <v>0</v>
      </c>
      <c r="M411" s="103">
        <v>212</v>
      </c>
      <c r="N411" s="28">
        <f t="shared" si="89"/>
        <v>2612741.62</v>
      </c>
      <c r="O411" s="30"/>
      <c r="P411" s="30">
        <v>1723683.9280000001</v>
      </c>
      <c r="Q411" s="31"/>
      <c r="R411" s="31"/>
      <c r="S411" s="30"/>
      <c r="T411" s="31"/>
      <c r="U411" s="31"/>
      <c r="V411" s="30">
        <v>627783.53</v>
      </c>
      <c r="W411" s="31"/>
      <c r="X411" s="31"/>
      <c r="Y411" s="30">
        <v>97961.124787040098</v>
      </c>
      <c r="Z411" s="31"/>
      <c r="AA411" s="31"/>
      <c r="AB411" s="30">
        <v>163313.03721295999</v>
      </c>
      <c r="AC411" s="32"/>
      <c r="AD411" s="32"/>
      <c r="AE411" s="30">
        <v>1039.2822625437</v>
      </c>
      <c r="AF411" s="30">
        <v>1285.2830200640001</v>
      </c>
      <c r="AG411" s="33">
        <v>2023</v>
      </c>
      <c r="AH411" s="18">
        <f>2706527.87-V88</f>
        <v>156050.87000000011</v>
      </c>
      <c r="AI411" s="5">
        <f>+(K411*10.5+L411*21)*12*0.85</f>
        <v>471732.66000000009</v>
      </c>
      <c r="AJ411" s="5">
        <f>+(K411*10.5+L411*21)*12*30-Y88</f>
        <v>411357.19838780351</v>
      </c>
      <c r="AL411" s="112">
        <f t="shared" si="87"/>
        <v>0</v>
      </c>
      <c r="AM411" s="30">
        <v>0</v>
      </c>
      <c r="AN411" s="30">
        <v>0</v>
      </c>
      <c r="AO411" s="30">
        <v>2612741.62</v>
      </c>
      <c r="AP411" s="30">
        <v>0</v>
      </c>
      <c r="AQ411" s="30">
        <v>0</v>
      </c>
      <c r="AR411" s="30"/>
      <c r="AS411" s="30"/>
      <c r="AT411" s="30">
        <v>0</v>
      </c>
      <c r="AU411" s="30"/>
      <c r="AV411" s="30"/>
      <c r="AW411" s="30"/>
      <c r="AX411" s="30">
        <v>0</v>
      </c>
      <c r="AY411" s="30"/>
      <c r="AZ411" s="30"/>
      <c r="BA411" s="40"/>
      <c r="BB411" s="5">
        <f t="shared" si="88"/>
        <v>2612741.62</v>
      </c>
    </row>
    <row r="412" spans="1:54" hidden="1">
      <c r="A412" s="10">
        <f t="shared" ref="A412:A431" si="90">+A411+1</f>
        <v>394</v>
      </c>
      <c r="B412" s="12" t="s">
        <v>96</v>
      </c>
      <c r="C412" s="12" t="s">
        <v>185</v>
      </c>
      <c r="D412" s="12" t="s">
        <v>259</v>
      </c>
      <c r="E412" s="102">
        <v>1970</v>
      </c>
      <c r="F412" s="102">
        <v>2013</v>
      </c>
      <c r="G412" s="102" t="s">
        <v>3</v>
      </c>
      <c r="H412" s="102">
        <v>5</v>
      </c>
      <c r="I412" s="102">
        <v>4</v>
      </c>
      <c r="J412" s="62">
        <v>3068</v>
      </c>
      <c r="K412" s="62">
        <v>2483.8000000000002</v>
      </c>
      <c r="L412" s="62">
        <v>584.20000000000005</v>
      </c>
      <c r="M412" s="103">
        <v>142</v>
      </c>
      <c r="N412" s="28">
        <f t="shared" si="89"/>
        <v>4692599.9800000004</v>
      </c>
      <c r="O412" s="30"/>
      <c r="P412" s="30"/>
      <c r="Q412" s="31"/>
      <c r="R412" s="31"/>
      <c r="S412" s="30"/>
      <c r="T412" s="31"/>
      <c r="U412" s="31"/>
      <c r="V412" s="30"/>
      <c r="W412" s="31"/>
      <c r="X412" s="31"/>
      <c r="Y412" s="30">
        <v>4692599.9800000004</v>
      </c>
      <c r="Z412" s="31"/>
      <c r="AA412" s="31"/>
      <c r="AB412" s="30"/>
      <c r="AC412" s="32"/>
      <c r="AD412" s="32"/>
      <c r="AE412" s="30">
        <v>4744.8332253472399</v>
      </c>
      <c r="AF412" s="30">
        <v>4744.8332253472399</v>
      </c>
      <c r="AG412" s="33">
        <v>2023</v>
      </c>
      <c r="AH412" s="18">
        <f>504168.77-V251</f>
        <v>-267144.01</v>
      </c>
      <c r="AI412" s="5">
        <f>+(K412*10+L412*20)*12*0.85</f>
        <v>372524.39999999997</v>
      </c>
      <c r="AJ412" s="5">
        <f>+(K412*10+L412*20)*12*30-Y251</f>
        <v>2006306.2100000009</v>
      </c>
      <c r="AL412" s="37">
        <f t="shared" si="87"/>
        <v>0</v>
      </c>
      <c r="AM412" s="30">
        <v>4647411.2300000004</v>
      </c>
      <c r="AN412" s="30"/>
      <c r="AO412" s="30"/>
      <c r="AP412" s="30"/>
      <c r="AQ412" s="30"/>
      <c r="AR412" s="30"/>
      <c r="AS412" s="30"/>
      <c r="AT412" s="30"/>
      <c r="AU412" s="30"/>
      <c r="AV412" s="30">
        <v>0</v>
      </c>
      <c r="AW412" s="30">
        <v>0</v>
      </c>
      <c r="AX412" s="30">
        <v>0</v>
      </c>
      <c r="AY412" s="30"/>
      <c r="AZ412" s="30"/>
      <c r="BA412" s="109">
        <v>45188.75</v>
      </c>
      <c r="BB412" s="5">
        <f t="shared" si="88"/>
        <v>4692599.9800000004</v>
      </c>
    </row>
    <row r="413" spans="1:54" hidden="1">
      <c r="A413" s="10">
        <f t="shared" si="90"/>
        <v>395</v>
      </c>
      <c r="B413" s="12" t="s">
        <v>96</v>
      </c>
      <c r="C413" s="12" t="s">
        <v>185</v>
      </c>
      <c r="D413" s="12" t="s">
        <v>532</v>
      </c>
      <c r="E413" s="102">
        <v>1972</v>
      </c>
      <c r="F413" s="102">
        <v>2013</v>
      </c>
      <c r="G413" s="102" t="s">
        <v>3</v>
      </c>
      <c r="H413" s="102">
        <v>4</v>
      </c>
      <c r="I413" s="102">
        <v>4</v>
      </c>
      <c r="J413" s="62">
        <v>3047.8</v>
      </c>
      <c r="K413" s="62">
        <v>2789.4</v>
      </c>
      <c r="L413" s="62">
        <v>0</v>
      </c>
      <c r="M413" s="103">
        <v>107</v>
      </c>
      <c r="N413" s="28">
        <f t="shared" si="89"/>
        <v>13821027.050000001</v>
      </c>
      <c r="O413" s="30"/>
      <c r="P413" s="30">
        <v>13256381.58</v>
      </c>
      <c r="Q413" s="31"/>
      <c r="R413" s="31"/>
      <c r="S413" s="30"/>
      <c r="T413" s="31"/>
      <c r="U413" s="31"/>
      <c r="V413" s="30">
        <v>564645.47</v>
      </c>
      <c r="W413" s="31"/>
      <c r="X413" s="31"/>
      <c r="Y413" s="30"/>
      <c r="Z413" s="31"/>
      <c r="AA413" s="31"/>
      <c r="AB413" s="30"/>
      <c r="AC413" s="32"/>
      <c r="AD413" s="32"/>
      <c r="AE413" s="62">
        <v>7373.2783008338101</v>
      </c>
      <c r="AF413" s="62">
        <v>7373.2783008338101</v>
      </c>
      <c r="AG413" s="33">
        <v>2023</v>
      </c>
      <c r="AH413" s="1">
        <f>1184908.35-361522.2864</f>
        <v>823386.06360000011</v>
      </c>
      <c r="AL413" s="37">
        <f t="shared" si="87"/>
        <v>0</v>
      </c>
      <c r="AM413" s="30"/>
      <c r="AN413" s="30"/>
      <c r="AO413" s="30"/>
      <c r="AP413" s="30"/>
      <c r="AQ413" s="30"/>
      <c r="AR413" s="30"/>
      <c r="AS413" s="30"/>
      <c r="AT413" s="30">
        <v>0</v>
      </c>
      <c r="AU413" s="30"/>
      <c r="AV413" s="30">
        <v>0</v>
      </c>
      <c r="AW413" s="30">
        <v>13526268.880000001</v>
      </c>
      <c r="AX413" s="30"/>
      <c r="AY413" s="30">
        <v>286758.17</v>
      </c>
      <c r="AZ413" s="30">
        <v>8000</v>
      </c>
      <c r="BA413" s="40"/>
      <c r="BB413" s="5">
        <f t="shared" si="88"/>
        <v>13821027.050000001</v>
      </c>
    </row>
    <row r="414" spans="1:54" hidden="1">
      <c r="A414" s="10">
        <f t="shared" si="90"/>
        <v>396</v>
      </c>
      <c r="B414" s="12" t="s">
        <v>96</v>
      </c>
      <c r="C414" s="12" t="s">
        <v>185</v>
      </c>
      <c r="D414" s="12" t="s">
        <v>534</v>
      </c>
      <c r="E414" s="102">
        <v>1974</v>
      </c>
      <c r="F414" s="102">
        <v>2013</v>
      </c>
      <c r="G414" s="102" t="s">
        <v>3</v>
      </c>
      <c r="H414" s="102">
        <v>4</v>
      </c>
      <c r="I414" s="102">
        <v>4</v>
      </c>
      <c r="J414" s="62">
        <v>2989.2</v>
      </c>
      <c r="K414" s="62">
        <v>2536.9</v>
      </c>
      <c r="L414" s="62">
        <v>230.9</v>
      </c>
      <c r="M414" s="103">
        <v>90</v>
      </c>
      <c r="N414" s="28">
        <f t="shared" si="89"/>
        <v>10840452.98</v>
      </c>
      <c r="O414" s="30"/>
      <c r="P414" s="30">
        <v>10258597.460000001</v>
      </c>
      <c r="Q414" s="31"/>
      <c r="R414" s="31"/>
      <c r="S414" s="30"/>
      <c r="T414" s="31"/>
      <c r="U414" s="31"/>
      <c r="V414" s="30">
        <v>581855.51999999897</v>
      </c>
      <c r="W414" s="31"/>
      <c r="X414" s="31"/>
      <c r="Y414" s="30"/>
      <c r="Z414" s="31"/>
      <c r="AA414" s="31"/>
      <c r="AB414" s="30"/>
      <c r="AC414" s="32"/>
      <c r="AD414" s="32"/>
      <c r="AE414" s="62">
        <v>7160.1408428928698</v>
      </c>
      <c r="AF414" s="62">
        <v>7160.1408428928698</v>
      </c>
      <c r="AG414" s="33">
        <v>2023</v>
      </c>
      <c r="AH414" s="1">
        <f>1292399.14-848241.5751</f>
        <v>444157.56489999988</v>
      </c>
      <c r="AL414" s="37">
        <f t="shared" si="87"/>
        <v>0</v>
      </c>
      <c r="AM414" s="30"/>
      <c r="AN414" s="30"/>
      <c r="AO414" s="30"/>
      <c r="AP414" s="30"/>
      <c r="AQ414" s="30"/>
      <c r="AR414" s="30"/>
      <c r="AS414" s="30"/>
      <c r="AT414" s="30">
        <v>0</v>
      </c>
      <c r="AU414" s="30"/>
      <c r="AV414" s="30">
        <v>0</v>
      </c>
      <c r="AW414" s="30">
        <v>10548266.43</v>
      </c>
      <c r="AX414" s="30"/>
      <c r="AY414" s="196">
        <v>284186.55</v>
      </c>
      <c r="AZ414" s="30">
        <v>8000</v>
      </c>
      <c r="BA414" s="40"/>
      <c r="BB414" s="5">
        <f t="shared" si="88"/>
        <v>10840452.98</v>
      </c>
    </row>
    <row r="415" spans="1:54" s="142" customFormat="1" hidden="1">
      <c r="A415" s="10">
        <f t="shared" si="90"/>
        <v>397</v>
      </c>
      <c r="B415" s="12" t="s">
        <v>96</v>
      </c>
      <c r="C415" s="101" t="s">
        <v>185</v>
      </c>
      <c r="D415" s="101" t="s">
        <v>401</v>
      </c>
      <c r="E415" s="102" t="s">
        <v>388</v>
      </c>
      <c r="F415" s="102"/>
      <c r="G415" s="102" t="s">
        <v>3</v>
      </c>
      <c r="H415" s="102" t="s">
        <v>183</v>
      </c>
      <c r="I415" s="102" t="s">
        <v>183</v>
      </c>
      <c r="J415" s="62">
        <v>4032.8</v>
      </c>
      <c r="K415" s="62">
        <v>3458.5</v>
      </c>
      <c r="L415" s="62">
        <v>0</v>
      </c>
      <c r="M415" s="103">
        <v>156</v>
      </c>
      <c r="N415" s="28">
        <f t="shared" si="89"/>
        <v>2787893.79</v>
      </c>
      <c r="O415" s="62">
        <v>0</v>
      </c>
      <c r="P415" s="30">
        <v>1123866.43</v>
      </c>
      <c r="Q415" s="31"/>
      <c r="R415" s="31"/>
      <c r="S415" s="30">
        <v>0</v>
      </c>
      <c r="T415" s="31"/>
      <c r="U415" s="31"/>
      <c r="V415" s="30">
        <v>195889.85</v>
      </c>
      <c r="W415" s="31"/>
      <c r="X415" s="31"/>
      <c r="Y415" s="30">
        <v>1468137.51</v>
      </c>
      <c r="Z415" s="31"/>
      <c r="AA415" s="31"/>
      <c r="AB415" s="30"/>
      <c r="AC415" s="32"/>
      <c r="AD415" s="32"/>
      <c r="AE415" s="62">
        <v>14851.7595489707</v>
      </c>
      <c r="AF415" s="62">
        <v>14851.7595489707</v>
      </c>
      <c r="AG415" s="33">
        <v>2023</v>
      </c>
      <c r="AH415" s="142">
        <v>1622977.77</v>
      </c>
      <c r="AI415" s="5">
        <f>+(K415*10+L415*20)*12*0.85</f>
        <v>352767</v>
      </c>
      <c r="AJ415" s="5">
        <f>+(K415*10+L415*20)*12*30</f>
        <v>12450600</v>
      </c>
      <c r="AK415" s="5"/>
      <c r="AL415" s="37">
        <f t="shared" si="87"/>
        <v>0</v>
      </c>
      <c r="AM415" s="30"/>
      <c r="AN415" s="30"/>
      <c r="AO415" s="30">
        <v>1270077.8400000001</v>
      </c>
      <c r="AP415" s="30">
        <v>1283887.8</v>
      </c>
      <c r="AQ415" s="30"/>
      <c r="AR415" s="30"/>
      <c r="AS415" s="30"/>
      <c r="AT415" s="30"/>
      <c r="AU415" s="30"/>
      <c r="AV415" s="30"/>
      <c r="AW415" s="30"/>
      <c r="AX415" s="195"/>
      <c r="AY415" s="196">
        <v>227071.01</v>
      </c>
      <c r="AZ415" s="196">
        <v>6857.14</v>
      </c>
      <c r="BA415" s="40"/>
      <c r="BB415" s="5">
        <f t="shared" si="88"/>
        <v>2787893.79</v>
      </c>
    </row>
    <row r="416" spans="1:54" hidden="1">
      <c r="A416" s="10">
        <f t="shared" si="90"/>
        <v>398</v>
      </c>
      <c r="B416" s="12">
        <v>199</v>
      </c>
      <c r="C416" s="101" t="s">
        <v>185</v>
      </c>
      <c r="D416" s="101" t="s">
        <v>689</v>
      </c>
      <c r="E416" s="102">
        <v>1973</v>
      </c>
      <c r="F416" s="102">
        <v>2013</v>
      </c>
      <c r="G416" s="102" t="s">
        <v>3</v>
      </c>
      <c r="H416" s="102">
        <v>4</v>
      </c>
      <c r="I416" s="102">
        <v>4</v>
      </c>
      <c r="J416" s="62">
        <v>4671.96</v>
      </c>
      <c r="K416" s="62">
        <v>3446.2</v>
      </c>
      <c r="L416" s="62">
        <v>0</v>
      </c>
      <c r="M416" s="103">
        <v>128</v>
      </c>
      <c r="N416" s="28">
        <f t="shared" si="89"/>
        <v>1518027.6099999999</v>
      </c>
      <c r="O416" s="62"/>
      <c r="P416" s="30">
        <v>167255.67999999999</v>
      </c>
      <c r="Q416" s="31"/>
      <c r="R416" s="31"/>
      <c r="S416" s="30"/>
      <c r="T416" s="31"/>
      <c r="U416" s="31"/>
      <c r="V416" s="30">
        <v>1047518.08</v>
      </c>
      <c r="W416" s="31"/>
      <c r="X416" s="31"/>
      <c r="Y416" s="30">
        <v>303253.84999999998</v>
      </c>
      <c r="Z416" s="31"/>
      <c r="AA416" s="31"/>
      <c r="AB416" s="107"/>
      <c r="AC416" s="108"/>
      <c r="AD416" s="108"/>
      <c r="AE416" s="62">
        <v>395.06384423422901</v>
      </c>
      <c r="AF416" s="62">
        <v>395.06384423422901</v>
      </c>
      <c r="AG416" s="33">
        <v>2023</v>
      </c>
      <c r="AH416" s="1">
        <f>1641525.43-945519.75</f>
        <v>696005.67999999993</v>
      </c>
      <c r="AI416" s="5">
        <f>+(K416*10+L416*20)*12*0.85</f>
        <v>351512.39999999997</v>
      </c>
      <c r="AJ416" s="5">
        <f>+(K416*10+L416*20)*12*30-886414.55</f>
        <v>11519905.449999999</v>
      </c>
      <c r="AL416" s="37">
        <f t="shared" si="87"/>
        <v>0</v>
      </c>
      <c r="AM416" s="30">
        <v>0</v>
      </c>
      <c r="AN416" s="30">
        <v>0</v>
      </c>
      <c r="AO416" s="30">
        <v>0</v>
      </c>
      <c r="AP416" s="30">
        <v>0</v>
      </c>
      <c r="AQ416" s="30">
        <v>1518027.61</v>
      </c>
      <c r="AR416" s="30"/>
      <c r="AS416" s="30"/>
      <c r="AT416" s="30">
        <v>0</v>
      </c>
      <c r="AU416" s="30">
        <v>0</v>
      </c>
      <c r="AV416" s="30">
        <v>0</v>
      </c>
      <c r="AW416" s="30">
        <v>0</v>
      </c>
      <c r="AX416" s="30">
        <v>0</v>
      </c>
      <c r="AY416" s="173"/>
      <c r="AZ416" s="30"/>
      <c r="BA416" s="40"/>
      <c r="BB416" s="5">
        <f t="shared" si="88"/>
        <v>1518027.6099999999</v>
      </c>
    </row>
    <row r="417" spans="1:54" hidden="1">
      <c r="A417" s="10">
        <f t="shared" si="90"/>
        <v>399</v>
      </c>
      <c r="B417" s="12">
        <v>200</v>
      </c>
      <c r="C417" s="101" t="s">
        <v>185</v>
      </c>
      <c r="D417" s="101" t="s">
        <v>281</v>
      </c>
      <c r="E417" s="102">
        <v>1961</v>
      </c>
      <c r="F417" s="102">
        <v>2013</v>
      </c>
      <c r="G417" s="102" t="s">
        <v>3</v>
      </c>
      <c r="H417" s="102">
        <v>4</v>
      </c>
      <c r="I417" s="102">
        <v>3</v>
      </c>
      <c r="J417" s="62">
        <v>3049.5</v>
      </c>
      <c r="K417" s="62">
        <v>2277.6</v>
      </c>
      <c r="L417" s="62">
        <v>771.9</v>
      </c>
      <c r="M417" s="103">
        <v>94</v>
      </c>
      <c r="N417" s="28">
        <f t="shared" si="89"/>
        <v>937789.51</v>
      </c>
      <c r="O417" s="62"/>
      <c r="P417" s="30"/>
      <c r="Q417" s="31"/>
      <c r="R417" s="31"/>
      <c r="S417" s="30"/>
      <c r="T417" s="31"/>
      <c r="U417" s="31"/>
      <c r="V417" s="30">
        <v>937789.51</v>
      </c>
      <c r="W417" s="31"/>
      <c r="X417" s="31"/>
      <c r="Y417" s="30"/>
      <c r="Z417" s="31"/>
      <c r="AA417" s="31"/>
      <c r="AB417" s="30"/>
      <c r="AC417" s="32"/>
      <c r="AD417" s="32"/>
      <c r="AE417" s="62">
        <v>520.16350250880498</v>
      </c>
      <c r="AF417" s="62">
        <v>520.16350250880498</v>
      </c>
      <c r="AG417" s="33">
        <v>2023</v>
      </c>
      <c r="AH417" s="18">
        <f>1647685.87-V104</f>
        <v>1542119.52</v>
      </c>
      <c r="AI417" s="5">
        <f>+(K417*10+L417*20)*12*0.85</f>
        <v>389782.8</v>
      </c>
      <c r="AJ417" s="5">
        <f>+(K417*10+L417*20)*12*30-Y104</f>
        <v>12835990.59</v>
      </c>
      <c r="AL417" s="37">
        <f t="shared" si="87"/>
        <v>0</v>
      </c>
      <c r="AM417" s="30"/>
      <c r="AN417" s="30">
        <v>937789.51</v>
      </c>
      <c r="AO417" s="30"/>
      <c r="AP417" s="30"/>
      <c r="AQ417" s="30"/>
      <c r="AR417" s="30"/>
      <c r="AS417" s="30"/>
      <c r="AT417" s="30">
        <v>0</v>
      </c>
      <c r="AU417" s="30">
        <v>0</v>
      </c>
      <c r="AV417" s="30">
        <v>0</v>
      </c>
      <c r="AW417" s="30">
        <v>0</v>
      </c>
      <c r="AX417" s="30">
        <v>0</v>
      </c>
      <c r="AY417" s="30"/>
      <c r="AZ417" s="30"/>
      <c r="BA417" s="40"/>
      <c r="BB417" s="5">
        <f t="shared" si="88"/>
        <v>937789.51</v>
      </c>
    </row>
    <row r="418" spans="1:54" hidden="1">
      <c r="A418" s="10">
        <f t="shared" si="90"/>
        <v>400</v>
      </c>
      <c r="B418" s="12">
        <v>201</v>
      </c>
      <c r="C418" s="101" t="s">
        <v>185</v>
      </c>
      <c r="D418" s="101" t="s">
        <v>434</v>
      </c>
      <c r="E418" s="102">
        <v>1981</v>
      </c>
      <c r="F418" s="102">
        <v>2013</v>
      </c>
      <c r="G418" s="102" t="s">
        <v>3</v>
      </c>
      <c r="H418" s="102">
        <v>5</v>
      </c>
      <c r="I418" s="102">
        <v>4</v>
      </c>
      <c r="J418" s="62">
        <v>4887.3</v>
      </c>
      <c r="K418" s="62">
        <v>4312.8999999999996</v>
      </c>
      <c r="L418" s="62">
        <v>0</v>
      </c>
      <c r="M418" s="103">
        <v>194</v>
      </c>
      <c r="N418" s="28">
        <f t="shared" si="89"/>
        <v>1569375.81</v>
      </c>
      <c r="O418" s="62"/>
      <c r="P418" s="30">
        <v>879840.35</v>
      </c>
      <c r="Q418" s="31"/>
      <c r="R418" s="31"/>
      <c r="S418" s="30"/>
      <c r="T418" s="31"/>
      <c r="U418" s="31"/>
      <c r="V418" s="30"/>
      <c r="W418" s="31"/>
      <c r="X418" s="31"/>
      <c r="Y418" s="30">
        <v>689535.46</v>
      </c>
      <c r="Z418" s="31"/>
      <c r="AA418" s="31"/>
      <c r="AB418" s="30"/>
      <c r="AC418" s="32"/>
      <c r="AD418" s="32"/>
      <c r="AE418" s="30">
        <v>3451.6655578712398</v>
      </c>
      <c r="AF418" s="30">
        <v>3451.6655578712398</v>
      </c>
      <c r="AG418" s="33">
        <v>2023</v>
      </c>
      <c r="AH418" s="1">
        <v>1978942.68</v>
      </c>
      <c r="AI418" s="5">
        <f>+(K418*10+L418*20)*12*0.85</f>
        <v>439915.8</v>
      </c>
      <c r="AJ418" s="5">
        <f>+(K418*10+L418*20)*12*30</f>
        <v>15526440</v>
      </c>
      <c r="AL418" s="37">
        <f t="shared" si="87"/>
        <v>0</v>
      </c>
      <c r="AM418" s="30"/>
      <c r="AN418" s="30"/>
      <c r="AO418" s="30">
        <v>1517607.49</v>
      </c>
      <c r="AP418" s="30"/>
      <c r="AQ418" s="30"/>
      <c r="AR418" s="30"/>
      <c r="AS418" s="30"/>
      <c r="AT418" s="30"/>
      <c r="AU418" s="30"/>
      <c r="AV418" s="30">
        <v>0</v>
      </c>
      <c r="AW418" s="30"/>
      <c r="AX418" s="30"/>
      <c r="AY418" s="196">
        <v>44088.15</v>
      </c>
      <c r="AZ418" s="196">
        <v>7680.17</v>
      </c>
      <c r="BA418" s="40"/>
      <c r="BB418" s="5">
        <f t="shared" si="88"/>
        <v>1569375.81</v>
      </c>
    </row>
    <row r="419" spans="1:54" hidden="1">
      <c r="A419" s="10">
        <f t="shared" si="90"/>
        <v>401</v>
      </c>
      <c r="B419" s="12">
        <v>202</v>
      </c>
      <c r="C419" s="101" t="s">
        <v>185</v>
      </c>
      <c r="D419" s="101" t="s">
        <v>285</v>
      </c>
      <c r="E419" s="102">
        <v>1965</v>
      </c>
      <c r="F419" s="102">
        <v>2005</v>
      </c>
      <c r="G419" s="102" t="s">
        <v>3</v>
      </c>
      <c r="H419" s="102">
        <v>4</v>
      </c>
      <c r="I419" s="102">
        <v>4</v>
      </c>
      <c r="J419" s="62">
        <v>2661.8</v>
      </c>
      <c r="K419" s="62">
        <v>2220.4</v>
      </c>
      <c r="L419" s="62">
        <v>229.71</v>
      </c>
      <c r="M419" s="103">
        <v>111</v>
      </c>
      <c r="N419" s="28">
        <f t="shared" si="89"/>
        <v>21301944.079999998</v>
      </c>
      <c r="O419" s="62"/>
      <c r="P419" s="30">
        <v>12718221.48</v>
      </c>
      <c r="Q419" s="31"/>
      <c r="R419" s="31"/>
      <c r="S419" s="30"/>
      <c r="T419" s="31"/>
      <c r="U419" s="31"/>
      <c r="V419" s="30"/>
      <c r="W419" s="31"/>
      <c r="X419" s="31"/>
      <c r="Y419" s="30">
        <v>8042840.0518625798</v>
      </c>
      <c r="Z419" s="31"/>
      <c r="AA419" s="31"/>
      <c r="AB419" s="30">
        <v>540882.54813741799</v>
      </c>
      <c r="AC419" s="32"/>
      <c r="AD419" s="32"/>
      <c r="AE419" s="30">
        <v>13550.1210021515</v>
      </c>
      <c r="AF419" s="30">
        <v>1309.2830200640001</v>
      </c>
      <c r="AG419" s="33">
        <v>2023</v>
      </c>
      <c r="AH419" s="18">
        <f>1589432.29-V106</f>
        <v>-4518.8999999999069</v>
      </c>
      <c r="AI419" s="5">
        <f>+(K419*10.5+L419*21)*12*0.85</f>
        <v>287008.72200000001</v>
      </c>
      <c r="AJ419" s="5">
        <f>+(K419*10.5+L419*21)*12*30</f>
        <v>10129719.6</v>
      </c>
      <c r="AL419" s="112">
        <f t="shared" si="87"/>
        <v>0</v>
      </c>
      <c r="AM419" s="30">
        <v>4825175.6399999997</v>
      </c>
      <c r="AN419" s="30"/>
      <c r="AO419" s="30">
        <v>1641706.8</v>
      </c>
      <c r="AP419" s="30"/>
      <c r="AQ419" s="30"/>
      <c r="AR419" s="30"/>
      <c r="AS419" s="30"/>
      <c r="AT419" s="30">
        <v>0</v>
      </c>
      <c r="AU419" s="30">
        <v>8211860.6200000001</v>
      </c>
      <c r="AV419" s="30">
        <v>0</v>
      </c>
      <c r="AW419" s="30"/>
      <c r="AX419" s="30">
        <v>6291723.5999999996</v>
      </c>
      <c r="AY419" s="196">
        <v>318677.42</v>
      </c>
      <c r="AZ419" s="196">
        <v>12800</v>
      </c>
      <c r="BA419" s="40"/>
      <c r="BB419" s="5">
        <f t="shared" si="88"/>
        <v>21301944.079999998</v>
      </c>
    </row>
    <row r="420" spans="1:54" hidden="1">
      <c r="A420" s="10">
        <f t="shared" si="90"/>
        <v>402</v>
      </c>
      <c r="B420" s="12">
        <v>203</v>
      </c>
      <c r="C420" s="101" t="s">
        <v>185</v>
      </c>
      <c r="D420" s="101" t="s">
        <v>692</v>
      </c>
      <c r="E420" s="102">
        <v>1978</v>
      </c>
      <c r="F420" s="102">
        <v>2013</v>
      </c>
      <c r="G420" s="102" t="s">
        <v>3</v>
      </c>
      <c r="H420" s="102">
        <v>4</v>
      </c>
      <c r="I420" s="102">
        <v>4</v>
      </c>
      <c r="J420" s="62">
        <v>3896.3</v>
      </c>
      <c r="K420" s="62">
        <v>3202.2</v>
      </c>
      <c r="L420" s="62">
        <v>496.4</v>
      </c>
      <c r="M420" s="103">
        <v>146</v>
      </c>
      <c r="N420" s="28">
        <f t="shared" si="89"/>
        <v>6633043.04</v>
      </c>
      <c r="O420" s="62"/>
      <c r="P420" s="30">
        <v>402860.24</v>
      </c>
      <c r="Q420" s="31"/>
      <c r="R420" s="31"/>
      <c r="S420" s="30"/>
      <c r="T420" s="31"/>
      <c r="U420" s="31"/>
      <c r="V420" s="30">
        <v>1657909.72910524</v>
      </c>
      <c r="W420" s="31"/>
      <c r="X420" s="31"/>
      <c r="Y420" s="30">
        <v>4572273.0708947601</v>
      </c>
      <c r="Z420" s="31"/>
      <c r="AA420" s="31"/>
      <c r="AB420" s="30"/>
      <c r="AC420" s="32"/>
      <c r="AD420" s="32"/>
      <c r="AE420" s="30">
        <v>2403.8148959385999</v>
      </c>
      <c r="AF420" s="30">
        <v>1310.2830200640001</v>
      </c>
      <c r="AG420" s="33">
        <v>2023</v>
      </c>
      <c r="AH420" s="1">
        <f>2160865.59-103210.2</f>
        <v>2057655.39</v>
      </c>
      <c r="AI420" s="5">
        <f>+(K420*10.5+L420*21)*12*0.85</f>
        <v>449284.5</v>
      </c>
      <c r="AJ420" s="5">
        <f>+(K420*10.5+L420*21)*12*30</f>
        <v>15857100</v>
      </c>
      <c r="AL420" s="112">
        <f t="shared" si="87"/>
        <v>0</v>
      </c>
      <c r="AM420" s="30">
        <v>6577590.9199999999</v>
      </c>
      <c r="AN420" s="30">
        <v>0</v>
      </c>
      <c r="AO420" s="30">
        <v>0</v>
      </c>
      <c r="AP420" s="30">
        <v>0</v>
      </c>
      <c r="AQ420" s="30">
        <v>0</v>
      </c>
      <c r="AR420" s="30"/>
      <c r="AS420" s="30"/>
      <c r="AT420" s="30">
        <v>0</v>
      </c>
      <c r="AU420" s="30">
        <v>0</v>
      </c>
      <c r="AV420" s="30">
        <v>0</v>
      </c>
      <c r="AW420" s="30">
        <v>0</v>
      </c>
      <c r="AX420" s="30">
        <v>0</v>
      </c>
      <c r="AY420" s="196">
        <v>31452.12</v>
      </c>
      <c r="AZ420" s="196">
        <v>24000</v>
      </c>
      <c r="BA420" s="40"/>
      <c r="BB420" s="5">
        <f t="shared" si="88"/>
        <v>6633043.04</v>
      </c>
    </row>
    <row r="421" spans="1:54" hidden="1">
      <c r="A421" s="10">
        <f t="shared" si="90"/>
        <v>403</v>
      </c>
      <c r="B421" s="12" t="s">
        <v>96</v>
      </c>
      <c r="C421" s="101" t="s">
        <v>185</v>
      </c>
      <c r="D421" s="101" t="s">
        <v>289</v>
      </c>
      <c r="E421" s="102">
        <v>1992</v>
      </c>
      <c r="F421" s="102">
        <v>2013</v>
      </c>
      <c r="G421" s="102" t="s">
        <v>3</v>
      </c>
      <c r="H421" s="102">
        <v>5</v>
      </c>
      <c r="I421" s="102">
        <v>4</v>
      </c>
      <c r="J421" s="62">
        <v>5274.7</v>
      </c>
      <c r="K421" s="62">
        <v>4397.95</v>
      </c>
      <c r="L421" s="62">
        <v>82.7</v>
      </c>
      <c r="M421" s="103">
        <v>351</v>
      </c>
      <c r="N421" s="28">
        <f t="shared" si="89"/>
        <v>2668996.7399999998</v>
      </c>
      <c r="O421" s="62"/>
      <c r="P421" s="30">
        <v>1672886.91</v>
      </c>
      <c r="Q421" s="31"/>
      <c r="R421" s="31"/>
      <c r="S421" s="30"/>
      <c r="T421" s="31"/>
      <c r="U421" s="31"/>
      <c r="V421" s="30">
        <v>785754.05</v>
      </c>
      <c r="W421" s="31"/>
      <c r="X421" s="31"/>
      <c r="Y421" s="30">
        <v>210355.78</v>
      </c>
      <c r="Z421" s="31"/>
      <c r="AA421" s="31"/>
      <c r="AB421" s="30"/>
      <c r="AC421" s="32"/>
      <c r="AD421" s="32"/>
      <c r="AE421" s="30">
        <v>2328.4211069481198</v>
      </c>
      <c r="AF421" s="30">
        <v>2328.4211069481198</v>
      </c>
      <c r="AG421" s="33">
        <v>2023</v>
      </c>
      <c r="AH421" s="18">
        <f>1987606.27-V219</f>
        <v>-153147.18999999994</v>
      </c>
      <c r="AI421" s="5">
        <f t="shared" ref="AI421:AI429" si="91">+(K421*10+L421*20)*12*0.85</f>
        <v>465461.7</v>
      </c>
      <c r="AJ421" s="5">
        <f>+(K421*10+L421*20)*12*30-Y219</f>
        <v>13911527.370000001</v>
      </c>
      <c r="AL421" s="37">
        <f t="shared" ref="AL421:AL437" si="92">SUBTOTAL(9, AM421:BA421)</f>
        <v>0</v>
      </c>
      <c r="AM421" s="30"/>
      <c r="AN421" s="30">
        <v>2668996.7400000002</v>
      </c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40"/>
      <c r="BB421" s="5">
        <f t="shared" si="88"/>
        <v>2668996.7399999998</v>
      </c>
    </row>
    <row r="422" spans="1:54" hidden="1">
      <c r="A422" s="10">
        <f t="shared" si="90"/>
        <v>404</v>
      </c>
      <c r="B422" s="12" t="s">
        <v>96</v>
      </c>
      <c r="C422" s="101" t="s">
        <v>185</v>
      </c>
      <c r="D422" s="101" t="s">
        <v>290</v>
      </c>
      <c r="E422" s="102">
        <v>1987</v>
      </c>
      <c r="F422" s="102">
        <v>1987</v>
      </c>
      <c r="G422" s="102" t="s">
        <v>3</v>
      </c>
      <c r="H422" s="102">
        <v>5</v>
      </c>
      <c r="I422" s="102">
        <v>3</v>
      </c>
      <c r="J422" s="62">
        <v>5170.7</v>
      </c>
      <c r="K422" s="62">
        <v>2871.7</v>
      </c>
      <c r="L422" s="62">
        <v>2299</v>
      </c>
      <c r="M422" s="103">
        <v>334</v>
      </c>
      <c r="N422" s="28">
        <f t="shared" si="89"/>
        <v>4620721.5219999999</v>
      </c>
      <c r="O422" s="30"/>
      <c r="P422" s="30">
        <v>397766.39</v>
      </c>
      <c r="Q422" s="31"/>
      <c r="R422" s="31"/>
      <c r="S422" s="30"/>
      <c r="T422" s="31"/>
      <c r="U422" s="31"/>
      <c r="V422" s="30">
        <v>327890.78000000003</v>
      </c>
      <c r="W422" s="31"/>
      <c r="X422" s="31"/>
      <c r="Y422" s="30">
        <v>3895064.352</v>
      </c>
      <c r="Z422" s="31"/>
      <c r="AA422" s="31"/>
      <c r="AB422" s="30"/>
      <c r="AC422" s="32"/>
      <c r="AD422" s="32"/>
      <c r="AE422" s="30">
        <v>2143.11037672055</v>
      </c>
      <c r="AF422" s="30">
        <v>2143.11037672055</v>
      </c>
      <c r="AG422" s="33">
        <v>2023</v>
      </c>
      <c r="AH422" s="18">
        <f>2578731.31-V388</f>
        <v>-4476615.01</v>
      </c>
      <c r="AI422" s="5">
        <f t="shared" si="91"/>
        <v>761909.4</v>
      </c>
      <c r="AJ422" s="5">
        <f>+(K422*10+L422*20)*12*30-Y388</f>
        <v>20030464.329999998</v>
      </c>
      <c r="AL422" s="37">
        <f t="shared" si="92"/>
        <v>0</v>
      </c>
      <c r="AM422" s="30">
        <v>4620721.5219999999</v>
      </c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40"/>
      <c r="BB422" s="5">
        <f t="shared" si="88"/>
        <v>4620721.5219999999</v>
      </c>
    </row>
    <row r="423" spans="1:54" hidden="1">
      <c r="A423" s="10">
        <f t="shared" si="90"/>
        <v>405</v>
      </c>
      <c r="B423" s="12" t="s">
        <v>96</v>
      </c>
      <c r="C423" s="12" t="s">
        <v>185</v>
      </c>
      <c r="D423" s="12" t="s">
        <v>553</v>
      </c>
      <c r="E423" s="102">
        <v>1968</v>
      </c>
      <c r="F423" s="102">
        <v>2013</v>
      </c>
      <c r="G423" s="102" t="s">
        <v>3</v>
      </c>
      <c r="H423" s="102">
        <v>4</v>
      </c>
      <c r="I423" s="102">
        <v>4</v>
      </c>
      <c r="J423" s="62">
        <v>2683.3</v>
      </c>
      <c r="K423" s="62">
        <v>2455</v>
      </c>
      <c r="L423" s="62">
        <v>0</v>
      </c>
      <c r="M423" s="103">
        <v>116</v>
      </c>
      <c r="N423" s="28">
        <f t="shared" si="89"/>
        <v>1471006.8900000001</v>
      </c>
      <c r="O423" s="30"/>
      <c r="P423" s="30"/>
      <c r="Q423" s="31"/>
      <c r="R423" s="31"/>
      <c r="S423" s="30"/>
      <c r="T423" s="31"/>
      <c r="U423" s="31"/>
      <c r="V423" s="30">
        <v>208409.60000000001</v>
      </c>
      <c r="W423" s="31"/>
      <c r="X423" s="31"/>
      <c r="Y423" s="62">
        <v>1262597.29</v>
      </c>
      <c r="Z423" s="29"/>
      <c r="AA423" s="29"/>
      <c r="AB423" s="62"/>
      <c r="AC423" s="106"/>
      <c r="AD423" s="106"/>
      <c r="AE423" s="62">
        <v>10413.6714172969</v>
      </c>
      <c r="AF423" s="62">
        <v>10413.6714172969</v>
      </c>
      <c r="AG423" s="33">
        <v>2023</v>
      </c>
      <c r="AH423" s="1">
        <f>1035919.14-96406.2</f>
        <v>939512.94000000006</v>
      </c>
      <c r="AI423" s="5">
        <f t="shared" si="91"/>
        <v>250410</v>
      </c>
      <c r="AJ423" s="5">
        <f>+(K423*10+L423*20)*12*30</f>
        <v>8838000</v>
      </c>
      <c r="AL423" s="37">
        <f t="shared" si="92"/>
        <v>0</v>
      </c>
      <c r="AM423" s="30"/>
      <c r="AN423" s="30">
        <v>1434980.99</v>
      </c>
      <c r="AO423" s="30"/>
      <c r="AP423" s="30"/>
      <c r="AQ423" s="30"/>
      <c r="AR423" s="30"/>
      <c r="AS423" s="30"/>
      <c r="AT423" s="30">
        <v>0</v>
      </c>
      <c r="AU423" s="30"/>
      <c r="AV423" s="30">
        <v>0</v>
      </c>
      <c r="AW423" s="30">
        <v>0</v>
      </c>
      <c r="AX423" s="30"/>
      <c r="AY423" s="30">
        <v>31225.9</v>
      </c>
      <c r="AZ423" s="30">
        <v>4800</v>
      </c>
      <c r="BA423" s="40"/>
      <c r="BB423" s="5">
        <f t="shared" si="88"/>
        <v>1471006.8900000001</v>
      </c>
    </row>
    <row r="424" spans="1:54" hidden="1">
      <c r="A424" s="10">
        <f t="shared" si="90"/>
        <v>406</v>
      </c>
      <c r="B424" s="12" t="s">
        <v>96</v>
      </c>
      <c r="C424" s="101" t="s">
        <v>185</v>
      </c>
      <c r="D424" s="101" t="s">
        <v>554</v>
      </c>
      <c r="E424" s="102">
        <v>1970</v>
      </c>
      <c r="F424" s="102">
        <v>2013</v>
      </c>
      <c r="G424" s="102" t="s">
        <v>3</v>
      </c>
      <c r="H424" s="102">
        <v>4</v>
      </c>
      <c r="I424" s="102">
        <v>4</v>
      </c>
      <c r="J424" s="62">
        <v>2722.8</v>
      </c>
      <c r="K424" s="62">
        <v>2468.6999999999998</v>
      </c>
      <c r="L424" s="62">
        <v>72.099999999999994</v>
      </c>
      <c r="M424" s="103">
        <v>146</v>
      </c>
      <c r="N424" s="28">
        <f t="shared" si="89"/>
        <v>1823889.76</v>
      </c>
      <c r="O424" s="30"/>
      <c r="P424" s="30"/>
      <c r="Q424" s="31"/>
      <c r="R424" s="31"/>
      <c r="S424" s="30"/>
      <c r="T424" s="31"/>
      <c r="U424" s="31"/>
      <c r="V424" s="30">
        <v>254690.25</v>
      </c>
      <c r="W424" s="31"/>
      <c r="X424" s="31"/>
      <c r="Y424" s="30">
        <v>1569199.51</v>
      </c>
      <c r="Z424" s="31"/>
      <c r="AA424" s="31"/>
      <c r="AB424" s="62"/>
      <c r="AC424" s="106"/>
      <c r="AD424" s="106"/>
      <c r="AE424" s="62">
        <v>10175.7369118931</v>
      </c>
      <c r="AF424" s="62">
        <v>10175.7369118931</v>
      </c>
      <c r="AG424" s="33">
        <v>2023</v>
      </c>
      <c r="AH424" s="1">
        <f>1230267.29-95960.13</f>
        <v>1134307.1600000001</v>
      </c>
      <c r="AI424" s="5">
        <f t="shared" si="91"/>
        <v>266515.8</v>
      </c>
      <c r="AJ424" s="5">
        <f>+(K424*10+L424*20)*12*30</f>
        <v>9406440</v>
      </c>
      <c r="AL424" s="37">
        <f t="shared" si="92"/>
        <v>0</v>
      </c>
      <c r="AM424" s="30"/>
      <c r="AN424" s="30">
        <v>1788007.61</v>
      </c>
      <c r="AO424" s="30"/>
      <c r="AP424" s="30"/>
      <c r="AQ424" s="30"/>
      <c r="AR424" s="30"/>
      <c r="AS424" s="30"/>
      <c r="AT424" s="30">
        <v>0</v>
      </c>
      <c r="AU424" s="30"/>
      <c r="AV424" s="30">
        <v>0</v>
      </c>
      <c r="AW424" s="30">
        <v>0</v>
      </c>
      <c r="AX424" s="30">
        <v>0</v>
      </c>
      <c r="AY424" s="30">
        <v>31082.15</v>
      </c>
      <c r="AZ424" s="30">
        <v>4800</v>
      </c>
      <c r="BA424" s="40"/>
      <c r="BB424" s="5">
        <f t="shared" si="88"/>
        <v>1823889.76</v>
      </c>
    </row>
    <row r="425" spans="1:54" hidden="1">
      <c r="A425" s="10">
        <f t="shared" si="90"/>
        <v>407</v>
      </c>
      <c r="B425" s="12" t="s">
        <v>96</v>
      </c>
      <c r="C425" s="101" t="s">
        <v>185</v>
      </c>
      <c r="D425" s="12" t="s">
        <v>555</v>
      </c>
      <c r="E425" s="102">
        <v>1970</v>
      </c>
      <c r="F425" s="102">
        <v>2013</v>
      </c>
      <c r="G425" s="102" t="s">
        <v>3</v>
      </c>
      <c r="H425" s="102">
        <v>4</v>
      </c>
      <c r="I425" s="102">
        <v>4</v>
      </c>
      <c r="J425" s="62">
        <v>2981.5</v>
      </c>
      <c r="K425" s="62">
        <v>2738.8</v>
      </c>
      <c r="L425" s="62">
        <v>0</v>
      </c>
      <c r="M425" s="103">
        <v>153</v>
      </c>
      <c r="N425" s="28">
        <f t="shared" si="89"/>
        <v>7879770.5399999991</v>
      </c>
      <c r="O425" s="30"/>
      <c r="P425" s="30">
        <v>3573040.04</v>
      </c>
      <c r="Q425" s="31"/>
      <c r="R425" s="31"/>
      <c r="S425" s="30"/>
      <c r="T425" s="31"/>
      <c r="U425" s="31"/>
      <c r="V425" s="30">
        <v>565070.67442091904</v>
      </c>
      <c r="W425" s="31"/>
      <c r="X425" s="31"/>
      <c r="Y425" s="30">
        <v>3741659.8255790798</v>
      </c>
      <c r="Z425" s="31"/>
      <c r="AA425" s="31"/>
      <c r="AB425" s="30"/>
      <c r="AC425" s="32"/>
      <c r="AD425" s="32"/>
      <c r="AE425" s="62">
        <v>10190.510401866501</v>
      </c>
      <c r="AF425" s="62">
        <v>10190.510401866501</v>
      </c>
      <c r="AG425" s="33">
        <v>2023</v>
      </c>
      <c r="AH425" s="1">
        <f>1220932.16-96512.28</f>
        <v>1124419.8799999999</v>
      </c>
      <c r="AI425" s="5">
        <f t="shared" si="91"/>
        <v>279357.59999999998</v>
      </c>
      <c r="AJ425" s="5">
        <f>+(K425*10+L425*20)*12*30</f>
        <v>9859680</v>
      </c>
      <c r="AL425" s="37">
        <f t="shared" si="92"/>
        <v>0</v>
      </c>
      <c r="AM425" s="30">
        <v>6881617.8399999999</v>
      </c>
      <c r="AN425" s="30">
        <v>998152.7</v>
      </c>
      <c r="AO425" s="30"/>
      <c r="AP425" s="30"/>
      <c r="AQ425" s="30"/>
      <c r="AR425" s="30"/>
      <c r="AS425" s="30"/>
      <c r="AT425" s="30">
        <v>0</v>
      </c>
      <c r="AU425" s="30"/>
      <c r="AV425" s="30">
        <v>0</v>
      </c>
      <c r="AW425" s="30">
        <v>0</v>
      </c>
      <c r="AX425" s="30"/>
      <c r="AY425" s="30"/>
      <c r="AZ425" s="30"/>
      <c r="BA425" s="40"/>
      <c r="BB425" s="5">
        <f t="shared" ref="BB425:BB455" si="93">N425-AL425</f>
        <v>7879770.5399999991</v>
      </c>
    </row>
    <row r="426" spans="1:54" hidden="1">
      <c r="A426" s="10">
        <f t="shared" si="90"/>
        <v>408</v>
      </c>
      <c r="B426" s="12" t="s">
        <v>96</v>
      </c>
      <c r="C426" s="101" t="s">
        <v>185</v>
      </c>
      <c r="D426" s="101" t="s">
        <v>298</v>
      </c>
      <c r="E426" s="102">
        <v>1980</v>
      </c>
      <c r="F426" s="102">
        <v>2008</v>
      </c>
      <c r="G426" s="102" t="s">
        <v>3</v>
      </c>
      <c r="H426" s="102">
        <v>5</v>
      </c>
      <c r="I426" s="102">
        <v>6</v>
      </c>
      <c r="J426" s="62">
        <v>7149.4</v>
      </c>
      <c r="K426" s="62">
        <v>6325.2</v>
      </c>
      <c r="L426" s="62">
        <v>0</v>
      </c>
      <c r="M426" s="103">
        <v>293</v>
      </c>
      <c r="N426" s="28">
        <f t="shared" si="89"/>
        <v>46145720.290000007</v>
      </c>
      <c r="O426" s="62"/>
      <c r="P426" s="30">
        <v>41523268.409999996</v>
      </c>
      <c r="Q426" s="31"/>
      <c r="R426" s="31"/>
      <c r="S426" s="30"/>
      <c r="T426" s="31"/>
      <c r="U426" s="31"/>
      <c r="V426" s="30">
        <v>2344035.8228605702</v>
      </c>
      <c r="W426" s="31"/>
      <c r="X426" s="31"/>
      <c r="Y426" s="30">
        <v>0</v>
      </c>
      <c r="Z426" s="31"/>
      <c r="AA426" s="31"/>
      <c r="AB426" s="30">
        <v>2278416.05713944</v>
      </c>
      <c r="AC426" s="32"/>
      <c r="AD426" s="32"/>
      <c r="AE426" s="62">
        <v>10739.0943856371</v>
      </c>
      <c r="AF426" s="62">
        <v>10739.0943856371</v>
      </c>
      <c r="AG426" s="33">
        <v>2023</v>
      </c>
      <c r="AH426" s="18">
        <f>3044323.81-V263</f>
        <v>703621.06999999983</v>
      </c>
      <c r="AI426" s="5">
        <f t="shared" si="91"/>
        <v>645170.4</v>
      </c>
      <c r="AJ426" s="5">
        <f>+(K426*10+L426*20)*12*30-Y263</f>
        <v>20481614.859999999</v>
      </c>
      <c r="AL426" s="37">
        <f t="shared" si="92"/>
        <v>0</v>
      </c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>
        <v>27117129.620000001</v>
      </c>
      <c r="AX426" s="30">
        <v>18561498.890000001</v>
      </c>
      <c r="AY426" s="30">
        <v>325518.36</v>
      </c>
      <c r="AZ426" s="30">
        <v>28000</v>
      </c>
      <c r="BA426" s="109">
        <v>113573.42</v>
      </c>
      <c r="BB426" s="5">
        <f t="shared" si="93"/>
        <v>46145720.290000007</v>
      </c>
    </row>
    <row r="427" spans="1:54" s="142" customFormat="1" hidden="1">
      <c r="A427" s="10">
        <f t="shared" si="90"/>
        <v>409</v>
      </c>
      <c r="B427" s="12" t="s">
        <v>96</v>
      </c>
      <c r="C427" s="12" t="s">
        <v>185</v>
      </c>
      <c r="D427" s="12" t="s">
        <v>454</v>
      </c>
      <c r="E427" s="120" t="s">
        <v>373</v>
      </c>
      <c r="F427" s="120"/>
      <c r="G427" s="120" t="s">
        <v>3</v>
      </c>
      <c r="H427" s="120" t="s">
        <v>169</v>
      </c>
      <c r="I427" s="120" t="s">
        <v>220</v>
      </c>
      <c r="J427" s="30">
        <v>7651.5</v>
      </c>
      <c r="K427" s="30">
        <v>6138</v>
      </c>
      <c r="L427" s="30">
        <v>119</v>
      </c>
      <c r="M427" s="121">
        <v>293</v>
      </c>
      <c r="N427" s="28">
        <f t="shared" si="89"/>
        <v>6630811.4700000025</v>
      </c>
      <c r="O427" s="30">
        <v>0</v>
      </c>
      <c r="P427" s="30"/>
      <c r="Q427" s="31"/>
      <c r="R427" s="31"/>
      <c r="S427" s="30">
        <v>0</v>
      </c>
      <c r="T427" s="31"/>
      <c r="U427" s="31"/>
      <c r="V427" s="30">
        <v>259780.51285714301</v>
      </c>
      <c r="W427" s="31"/>
      <c r="X427" s="31"/>
      <c r="Y427" s="30">
        <v>6371030.9571428597</v>
      </c>
      <c r="Z427" s="31"/>
      <c r="AA427" s="31"/>
      <c r="AB427" s="30"/>
      <c r="AC427" s="32"/>
      <c r="AD427" s="32"/>
      <c r="AE427" s="30">
        <v>5118.14134739371</v>
      </c>
      <c r="AF427" s="30">
        <v>5118.14134739371</v>
      </c>
      <c r="AG427" s="33">
        <v>2023</v>
      </c>
      <c r="AH427" s="157">
        <f>2725811.3-V91</f>
        <v>759151.1799999997</v>
      </c>
      <c r="AI427" s="5">
        <f t="shared" si="91"/>
        <v>650352</v>
      </c>
      <c r="AJ427" s="5">
        <f>+(K427*10+L427*20)*12*30-Y91</f>
        <v>22953600</v>
      </c>
      <c r="AK427" s="5"/>
      <c r="AL427" s="37">
        <f t="shared" si="92"/>
        <v>0</v>
      </c>
      <c r="AM427" s="62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>
        <v>6630811.4699999997</v>
      </c>
      <c r="AY427" s="30"/>
      <c r="AZ427" s="30"/>
      <c r="BA427" s="40"/>
      <c r="BB427" s="5">
        <f t="shared" si="93"/>
        <v>6630811.4700000025</v>
      </c>
    </row>
    <row r="428" spans="1:54" hidden="1">
      <c r="A428" s="10">
        <f t="shared" si="90"/>
        <v>410</v>
      </c>
      <c r="B428" s="12" t="s">
        <v>96</v>
      </c>
      <c r="C428" s="101" t="s">
        <v>185</v>
      </c>
      <c r="D428" s="101" t="s">
        <v>570</v>
      </c>
      <c r="E428" s="102">
        <v>1971</v>
      </c>
      <c r="F428" s="102">
        <v>2013</v>
      </c>
      <c r="G428" s="102" t="s">
        <v>3</v>
      </c>
      <c r="H428" s="102">
        <v>4</v>
      </c>
      <c r="I428" s="102">
        <v>4</v>
      </c>
      <c r="J428" s="62">
        <v>3003.8</v>
      </c>
      <c r="K428" s="62">
        <v>2693.7</v>
      </c>
      <c r="L428" s="62">
        <v>0</v>
      </c>
      <c r="M428" s="103">
        <v>120</v>
      </c>
      <c r="N428" s="28">
        <f t="shared" si="89"/>
        <v>2642400.08</v>
      </c>
      <c r="O428" s="62"/>
      <c r="P428" s="30">
        <v>273173.86</v>
      </c>
      <c r="Q428" s="31"/>
      <c r="R428" s="31"/>
      <c r="S428" s="30"/>
      <c r="T428" s="31"/>
      <c r="U428" s="31"/>
      <c r="V428" s="30">
        <v>247704.3</v>
      </c>
      <c r="W428" s="31"/>
      <c r="X428" s="31"/>
      <c r="Y428" s="30">
        <v>2121521.92</v>
      </c>
      <c r="Z428" s="31"/>
      <c r="AA428" s="31"/>
      <c r="AB428" s="30"/>
      <c r="AC428" s="32"/>
      <c r="AD428" s="32"/>
      <c r="AE428" s="62">
        <v>3814.0265960125698</v>
      </c>
      <c r="AF428" s="62">
        <v>3814.0265960125698</v>
      </c>
      <c r="AG428" s="33">
        <v>2023</v>
      </c>
      <c r="AH428" s="1">
        <f>1245150.45-129665.9434</f>
        <v>1115484.5066</v>
      </c>
      <c r="AI428" s="5">
        <f t="shared" si="91"/>
        <v>274757.39999999997</v>
      </c>
      <c r="AJ428" s="5">
        <f>+(K428*10+L428*20)*12*30-552777.2166</f>
        <v>9144542.7833999991</v>
      </c>
      <c r="AL428" s="37">
        <f t="shared" si="92"/>
        <v>0</v>
      </c>
      <c r="AM428" s="30"/>
      <c r="AN428" s="30"/>
      <c r="AO428" s="30">
        <v>2642400.08</v>
      </c>
      <c r="AP428" s="30">
        <v>0</v>
      </c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40"/>
      <c r="BB428" s="5">
        <f t="shared" si="93"/>
        <v>2642400.08</v>
      </c>
    </row>
    <row r="429" spans="1:54" s="142" customFormat="1" hidden="1">
      <c r="A429" s="10">
        <f t="shared" si="90"/>
        <v>411</v>
      </c>
      <c r="B429" s="12">
        <v>204</v>
      </c>
      <c r="C429" s="101" t="s">
        <v>185</v>
      </c>
      <c r="D429" s="101" t="s">
        <v>697</v>
      </c>
      <c r="E429" s="102" t="s">
        <v>81</v>
      </c>
      <c r="F429" s="102"/>
      <c r="G429" s="102" t="s">
        <v>3</v>
      </c>
      <c r="H429" s="102" t="s">
        <v>183</v>
      </c>
      <c r="I429" s="102" t="s">
        <v>183</v>
      </c>
      <c r="J429" s="62">
        <v>2630.5</v>
      </c>
      <c r="K429" s="62">
        <v>2361.1</v>
      </c>
      <c r="L429" s="62">
        <v>37.5</v>
      </c>
      <c r="M429" s="103">
        <v>122</v>
      </c>
      <c r="N429" s="28">
        <f t="shared" si="89"/>
        <v>5699797.8600000003</v>
      </c>
      <c r="O429" s="62">
        <v>0</v>
      </c>
      <c r="P429" s="30"/>
      <c r="Q429" s="31"/>
      <c r="R429" s="31"/>
      <c r="S429" s="30">
        <v>0</v>
      </c>
      <c r="T429" s="31"/>
      <c r="U429" s="31"/>
      <c r="V429" s="30">
        <v>1380626.28</v>
      </c>
      <c r="W429" s="31"/>
      <c r="X429" s="31"/>
      <c r="Y429" s="30">
        <v>4319171.58</v>
      </c>
      <c r="Z429" s="31"/>
      <c r="AA429" s="31"/>
      <c r="AB429" s="30"/>
      <c r="AC429" s="32"/>
      <c r="AD429" s="32"/>
      <c r="AE429" s="62">
        <v>4974.1784499291298</v>
      </c>
      <c r="AF429" s="62">
        <v>4974.1784499291298</v>
      </c>
      <c r="AG429" s="33">
        <v>2023</v>
      </c>
      <c r="AH429" s="142">
        <v>1132144.08</v>
      </c>
      <c r="AI429" s="5">
        <f t="shared" si="91"/>
        <v>248482.19999999998</v>
      </c>
      <c r="AJ429" s="5">
        <f>+(K429*10+L429*20)*12*30</f>
        <v>8769960</v>
      </c>
      <c r="AK429" s="5"/>
      <c r="AL429" s="37">
        <f t="shared" si="92"/>
        <v>0</v>
      </c>
      <c r="AM429" s="30"/>
      <c r="AN429" s="30"/>
      <c r="AO429" s="30"/>
      <c r="AP429" s="30"/>
      <c r="AQ429" s="30"/>
      <c r="AR429" s="30"/>
      <c r="AS429" s="30"/>
      <c r="AT429" s="30"/>
      <c r="AU429" s="30">
        <v>5449539.4299999997</v>
      </c>
      <c r="AV429" s="30"/>
      <c r="AW429" s="30"/>
      <c r="AX429" s="30"/>
      <c r="AY429" s="30">
        <v>226258.43</v>
      </c>
      <c r="AZ429" s="30">
        <v>24000</v>
      </c>
      <c r="BA429" s="40"/>
      <c r="BB429" s="5">
        <f t="shared" si="93"/>
        <v>5699797.8600000003</v>
      </c>
    </row>
    <row r="430" spans="1:54" s="142" customFormat="1" hidden="1">
      <c r="A430" s="10">
        <f t="shared" si="90"/>
        <v>412</v>
      </c>
      <c r="B430" s="12" t="s">
        <v>96</v>
      </c>
      <c r="C430" s="101" t="s">
        <v>313</v>
      </c>
      <c r="D430" s="101" t="s">
        <v>572</v>
      </c>
      <c r="E430" s="102" t="s">
        <v>388</v>
      </c>
      <c r="F430" s="102"/>
      <c r="G430" s="102" t="s">
        <v>3</v>
      </c>
      <c r="H430" s="102" t="s">
        <v>183</v>
      </c>
      <c r="I430" s="102" t="s">
        <v>175</v>
      </c>
      <c r="J430" s="62">
        <v>3411.7</v>
      </c>
      <c r="K430" s="62">
        <v>2190.6999999999998</v>
      </c>
      <c r="L430" s="62">
        <v>1221</v>
      </c>
      <c r="M430" s="103">
        <v>86</v>
      </c>
      <c r="N430" s="28">
        <f t="shared" si="89"/>
        <v>13682647.210000001</v>
      </c>
      <c r="O430" s="62">
        <v>0</v>
      </c>
      <c r="P430" s="30">
        <v>2950310.4027513601</v>
      </c>
      <c r="Q430" s="31"/>
      <c r="R430" s="31"/>
      <c r="S430" s="30">
        <v>0</v>
      </c>
      <c r="T430" s="31"/>
      <c r="U430" s="31"/>
      <c r="V430" s="30">
        <v>1657542.4902226401</v>
      </c>
      <c r="W430" s="31"/>
      <c r="X430" s="31"/>
      <c r="Y430" s="30">
        <v>9074794.3170260005</v>
      </c>
      <c r="Z430" s="31"/>
      <c r="AA430" s="31"/>
      <c r="AB430" s="30"/>
      <c r="AC430" s="32"/>
      <c r="AD430" s="32"/>
      <c r="AE430" s="30">
        <v>14950.9382357458</v>
      </c>
      <c r="AF430" s="30">
        <v>1322.2830200640001</v>
      </c>
      <c r="AG430" s="33">
        <v>2023</v>
      </c>
      <c r="AH430" s="98">
        <v>2892323.62</v>
      </c>
      <c r="AI430" s="5">
        <f>+(K430*10.5+L430*21)*12*0.85</f>
        <v>496162.16999999993</v>
      </c>
      <c r="AJ430" s="5">
        <f>+(K430*10.5+L430*21)*12*30</f>
        <v>17511606</v>
      </c>
      <c r="AK430" s="5"/>
      <c r="AL430" s="112">
        <f t="shared" si="92"/>
        <v>0</v>
      </c>
      <c r="AM430" s="30">
        <v>5021208.78</v>
      </c>
      <c r="AN430" s="30">
        <v>734322.14</v>
      </c>
      <c r="AO430" s="30"/>
      <c r="AP430" s="30">
        <v>1975667.5</v>
      </c>
      <c r="AQ430" s="30"/>
      <c r="AR430" s="30"/>
      <c r="AS430" s="30"/>
      <c r="AT430" s="30">
        <v>0</v>
      </c>
      <c r="AU430" s="30">
        <v>0</v>
      </c>
      <c r="AV430" s="30">
        <v>0</v>
      </c>
      <c r="AW430" s="30">
        <v>5170020</v>
      </c>
      <c r="AX430" s="30"/>
      <c r="AY430" s="30">
        <v>767714.5</v>
      </c>
      <c r="AZ430" s="30">
        <v>13714.29</v>
      </c>
      <c r="BA430" s="40"/>
      <c r="BB430" s="5">
        <f t="shared" si="93"/>
        <v>13682647.210000001</v>
      </c>
    </row>
    <row r="431" spans="1:54" hidden="1">
      <c r="A431" s="10">
        <f t="shared" si="90"/>
        <v>413</v>
      </c>
      <c r="B431" s="113" t="s">
        <v>96</v>
      </c>
      <c r="C431" s="12" t="s">
        <v>185</v>
      </c>
      <c r="D431" s="12" t="s">
        <v>307</v>
      </c>
      <c r="E431" s="102">
        <v>1966</v>
      </c>
      <c r="F431" s="102">
        <v>2013</v>
      </c>
      <c r="G431" s="102" t="s">
        <v>3</v>
      </c>
      <c r="H431" s="102">
        <v>4</v>
      </c>
      <c r="I431" s="102">
        <v>6</v>
      </c>
      <c r="J431" s="62">
        <v>2829.5</v>
      </c>
      <c r="K431" s="62">
        <v>2537.8000000000002</v>
      </c>
      <c r="L431" s="62">
        <v>230.6</v>
      </c>
      <c r="M431" s="103">
        <v>144</v>
      </c>
      <c r="N431" s="28">
        <f t="shared" si="89"/>
        <v>9347701.0099999998</v>
      </c>
      <c r="O431" s="30"/>
      <c r="P431" s="30">
        <v>5819327.3799999999</v>
      </c>
      <c r="Q431" s="31"/>
      <c r="R431" s="31"/>
      <c r="S431" s="30"/>
      <c r="T431" s="31"/>
      <c r="U431" s="31"/>
      <c r="V431" s="30">
        <v>291228.86</v>
      </c>
      <c r="W431" s="31"/>
      <c r="X431" s="31"/>
      <c r="Y431" s="30">
        <v>3237144.77</v>
      </c>
      <c r="Z431" s="31"/>
      <c r="AA431" s="31"/>
      <c r="AB431" s="30"/>
      <c r="AC431" s="32"/>
      <c r="AD431" s="32"/>
      <c r="AE431" s="30">
        <v>9188.1000978513803</v>
      </c>
      <c r="AF431" s="30">
        <v>1324.2830200640001</v>
      </c>
      <c r="AG431" s="186">
        <v>2023</v>
      </c>
      <c r="AH431" s="166">
        <v>1632407.51</v>
      </c>
      <c r="AI431" s="5">
        <f>+(K431*10.5+L431*21)*12*0.85</f>
        <v>321192.89999999997</v>
      </c>
      <c r="AJ431" s="5">
        <f>+(K431*10.5+L431*21)*12*30</f>
        <v>11336220</v>
      </c>
      <c r="AL431" s="112">
        <f t="shared" si="92"/>
        <v>0</v>
      </c>
      <c r="AM431" s="30"/>
      <c r="AN431" s="30"/>
      <c r="AO431" s="30"/>
      <c r="AP431" s="30"/>
      <c r="AQ431" s="30"/>
      <c r="AR431" s="30"/>
      <c r="AS431" s="30"/>
      <c r="AT431" s="30"/>
      <c r="AU431" s="30"/>
      <c r="AV431" s="30">
        <v>0</v>
      </c>
      <c r="AW431" s="30"/>
      <c r="AX431" s="30">
        <v>8872451.1999999993</v>
      </c>
      <c r="AY431" s="30">
        <v>459249.81</v>
      </c>
      <c r="AZ431" s="30">
        <v>16000</v>
      </c>
      <c r="BA431" s="40"/>
      <c r="BB431" s="5">
        <f t="shared" si="93"/>
        <v>9347701.0099999998</v>
      </c>
    </row>
    <row r="432" spans="1:54" s="142" customFormat="1" hidden="1">
      <c r="A432" s="10">
        <f>+A430+1</f>
        <v>413</v>
      </c>
      <c r="B432" s="12" t="s">
        <v>96</v>
      </c>
      <c r="C432" s="101" t="s">
        <v>313</v>
      </c>
      <c r="D432" s="101" t="s">
        <v>471</v>
      </c>
      <c r="E432" s="102" t="s">
        <v>315</v>
      </c>
      <c r="F432" s="102"/>
      <c r="G432" s="102" t="s">
        <v>3</v>
      </c>
      <c r="H432" s="102" t="s">
        <v>183</v>
      </c>
      <c r="I432" s="102" t="s">
        <v>316</v>
      </c>
      <c r="J432" s="62">
        <v>5751.1</v>
      </c>
      <c r="K432" s="62">
        <v>4971.6000000000004</v>
      </c>
      <c r="L432" s="62">
        <v>0</v>
      </c>
      <c r="M432" s="103">
        <v>221</v>
      </c>
      <c r="N432" s="28">
        <f t="shared" si="89"/>
        <v>11509868.829999998</v>
      </c>
      <c r="O432" s="62">
        <v>0</v>
      </c>
      <c r="P432" s="30">
        <v>7343308.1399999997</v>
      </c>
      <c r="Q432" s="31"/>
      <c r="R432" s="31"/>
      <c r="S432" s="30">
        <v>0</v>
      </c>
      <c r="T432" s="31"/>
      <c r="U432" s="31"/>
      <c r="V432" s="30">
        <v>470172.68</v>
      </c>
      <c r="W432" s="31"/>
      <c r="X432" s="31"/>
      <c r="Y432" s="30">
        <v>3696388.01</v>
      </c>
      <c r="Z432" s="31"/>
      <c r="AA432" s="31"/>
      <c r="AB432" s="30"/>
      <c r="AC432" s="32"/>
      <c r="AD432" s="32"/>
      <c r="AE432" s="30">
        <v>10054.0694105366</v>
      </c>
      <c r="AF432" s="30">
        <v>1330.2830200640001</v>
      </c>
      <c r="AG432" s="33">
        <v>2023</v>
      </c>
      <c r="AH432" s="98">
        <v>2885684.78</v>
      </c>
      <c r="AI432" s="5">
        <f>+(K432*10.5+L432*21)*12*0.85</f>
        <v>532458.3600000001</v>
      </c>
      <c r="AJ432" s="5">
        <f>+(K432*10.5+L432*21)*12*30</f>
        <v>18792648.000000004</v>
      </c>
      <c r="AK432" s="5"/>
      <c r="AL432" s="112">
        <f t="shared" si="92"/>
        <v>0</v>
      </c>
      <c r="AM432" s="30">
        <v>8087620.75</v>
      </c>
      <c r="AN432" s="30">
        <v>3000884.73</v>
      </c>
      <c r="AO432" s="30">
        <v>0</v>
      </c>
      <c r="AP432" s="30">
        <v>0</v>
      </c>
      <c r="AQ432" s="30"/>
      <c r="AR432" s="30"/>
      <c r="AS432" s="30"/>
      <c r="AT432" s="30">
        <v>0</v>
      </c>
      <c r="AU432" s="30"/>
      <c r="AV432" s="30">
        <v>0</v>
      </c>
      <c r="AW432" s="30"/>
      <c r="AX432" s="30"/>
      <c r="AY432" s="30">
        <v>411763.35</v>
      </c>
      <c r="AZ432" s="30">
        <v>9600</v>
      </c>
      <c r="BA432" s="40"/>
      <c r="BB432" s="5">
        <f t="shared" si="93"/>
        <v>11509868.829999998</v>
      </c>
    </row>
    <row r="433" spans="1:54" s="142" customFormat="1" hidden="1">
      <c r="A433" s="10">
        <f t="shared" ref="A433:A478" si="94">+A432+1</f>
        <v>414</v>
      </c>
      <c r="B433" s="12" t="s">
        <v>96</v>
      </c>
      <c r="C433" s="12" t="s">
        <v>185</v>
      </c>
      <c r="D433" s="12" t="s">
        <v>476</v>
      </c>
      <c r="E433" s="120" t="s">
        <v>370</v>
      </c>
      <c r="F433" s="120"/>
      <c r="G433" s="120" t="s">
        <v>3</v>
      </c>
      <c r="H433" s="120" t="s">
        <v>183</v>
      </c>
      <c r="I433" s="120" t="s">
        <v>183</v>
      </c>
      <c r="J433" s="30">
        <v>2960.3</v>
      </c>
      <c r="K433" s="30">
        <v>2725</v>
      </c>
      <c r="L433" s="30">
        <v>0</v>
      </c>
      <c r="M433" s="121">
        <v>121</v>
      </c>
      <c r="N433" s="28">
        <f t="shared" si="89"/>
        <v>3403308.6</v>
      </c>
      <c r="O433" s="30">
        <v>0</v>
      </c>
      <c r="P433" s="30">
        <v>1392525.5544978001</v>
      </c>
      <c r="Q433" s="31"/>
      <c r="R433" s="31"/>
      <c r="S433" s="30">
        <v>0</v>
      </c>
      <c r="T433" s="31"/>
      <c r="U433" s="31"/>
      <c r="V433" s="30">
        <v>193625.18</v>
      </c>
      <c r="W433" s="31"/>
      <c r="X433" s="31"/>
      <c r="Y433" s="30">
        <v>1817157.8655022001</v>
      </c>
      <c r="Z433" s="31"/>
      <c r="AA433" s="31"/>
      <c r="AB433" s="30"/>
      <c r="AC433" s="32"/>
      <c r="AD433" s="32"/>
      <c r="AE433" s="30">
        <v>8362.46221489454</v>
      </c>
      <c r="AF433" s="30">
        <v>8362.46221489454</v>
      </c>
      <c r="AG433" s="33">
        <v>2023</v>
      </c>
      <c r="AH433" s="157">
        <f>1333137.2-V315</f>
        <v>576703.42999999993</v>
      </c>
      <c r="AI433" s="5">
        <f>+(K433*10+L433*20)*12*0.85</f>
        <v>277950</v>
      </c>
      <c r="AJ433" s="5">
        <f>+(K433*10+L433*20)*12*30-Y315</f>
        <v>6590238.4700000007</v>
      </c>
      <c r="AK433" s="5"/>
      <c r="AL433" s="37">
        <f t="shared" si="92"/>
        <v>0</v>
      </c>
      <c r="AM433" s="30"/>
      <c r="AN433" s="30"/>
      <c r="AO433" s="30"/>
      <c r="AP433" s="30">
        <v>2042385.11</v>
      </c>
      <c r="AQ433" s="30">
        <v>1046167.7</v>
      </c>
      <c r="AR433" s="30"/>
      <c r="AS433" s="30"/>
      <c r="AT433" s="30"/>
      <c r="AU433" s="30"/>
      <c r="AV433" s="30"/>
      <c r="AW433" s="30"/>
      <c r="AX433" s="30"/>
      <c r="AY433" s="30">
        <v>302755.78999999998</v>
      </c>
      <c r="AZ433" s="30">
        <v>12000</v>
      </c>
      <c r="BA433" s="40"/>
      <c r="BB433" s="5">
        <f t="shared" si="93"/>
        <v>3403308.6</v>
      </c>
    </row>
    <row r="434" spans="1:54" hidden="1">
      <c r="A434" s="10">
        <f t="shared" si="94"/>
        <v>415</v>
      </c>
      <c r="B434" s="12">
        <v>205</v>
      </c>
      <c r="C434" s="101" t="s">
        <v>185</v>
      </c>
      <c r="D434" s="101" t="s">
        <v>333</v>
      </c>
      <c r="E434" s="102">
        <v>1974</v>
      </c>
      <c r="F434" s="102">
        <v>2013</v>
      </c>
      <c r="G434" s="102" t="s">
        <v>3</v>
      </c>
      <c r="H434" s="102">
        <v>4</v>
      </c>
      <c r="I434" s="102">
        <v>4</v>
      </c>
      <c r="J434" s="62">
        <v>3940.9</v>
      </c>
      <c r="K434" s="62">
        <v>3373.8</v>
      </c>
      <c r="L434" s="62">
        <v>212.7</v>
      </c>
      <c r="M434" s="103">
        <v>140</v>
      </c>
      <c r="N434" s="28">
        <f t="shared" si="89"/>
        <v>790873.3</v>
      </c>
      <c r="O434" s="62"/>
      <c r="P434" s="30"/>
      <c r="Q434" s="31"/>
      <c r="R434" s="31"/>
      <c r="S434" s="30"/>
      <c r="T434" s="31"/>
      <c r="U434" s="31"/>
      <c r="V434" s="30">
        <v>396466.4</v>
      </c>
      <c r="W434" s="31"/>
      <c r="X434" s="31"/>
      <c r="Y434" s="30">
        <v>394406.9</v>
      </c>
      <c r="Z434" s="31"/>
      <c r="AA434" s="31"/>
      <c r="AB434" s="30"/>
      <c r="AC434" s="32"/>
      <c r="AD434" s="32"/>
      <c r="AE434" s="62">
        <v>1279.0181196823501</v>
      </c>
      <c r="AF434" s="62">
        <v>1279.0181196823501</v>
      </c>
      <c r="AG434" s="33">
        <v>2023</v>
      </c>
      <c r="AH434" s="18">
        <f>1707386.79-112573.23-V132</f>
        <v>-387518.39999999991</v>
      </c>
      <c r="AI434" s="5">
        <f>+(K434*10+L434*20)*12*0.85</f>
        <v>387518.39999999997</v>
      </c>
      <c r="AJ434" s="5">
        <f>+(K434*10+L434*20)*12*30-810211.65-Y132</f>
        <v>2324580.0037593003</v>
      </c>
      <c r="AL434" s="37">
        <f t="shared" si="92"/>
        <v>0</v>
      </c>
      <c r="AM434" s="30"/>
      <c r="AN434" s="30"/>
      <c r="AO434" s="30"/>
      <c r="AP434" s="30">
        <v>790873.3</v>
      </c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40"/>
      <c r="BB434" s="5">
        <f t="shared" si="93"/>
        <v>790873.3</v>
      </c>
    </row>
    <row r="435" spans="1:54" hidden="1">
      <c r="A435" s="10">
        <f t="shared" si="94"/>
        <v>416</v>
      </c>
      <c r="B435" s="12" t="s">
        <v>96</v>
      </c>
      <c r="C435" s="12" t="s">
        <v>185</v>
      </c>
      <c r="D435" s="12" t="s">
        <v>592</v>
      </c>
      <c r="E435" s="102">
        <v>1994</v>
      </c>
      <c r="F435" s="102">
        <v>2005</v>
      </c>
      <c r="G435" s="102" t="s">
        <v>3</v>
      </c>
      <c r="H435" s="102">
        <v>5</v>
      </c>
      <c r="I435" s="102">
        <v>2</v>
      </c>
      <c r="J435" s="62">
        <v>2052</v>
      </c>
      <c r="K435" s="62">
        <v>1876.9</v>
      </c>
      <c r="L435" s="62">
        <v>0</v>
      </c>
      <c r="M435" s="103">
        <v>80</v>
      </c>
      <c r="N435" s="28">
        <f t="shared" si="89"/>
        <v>7589452.7799999993</v>
      </c>
      <c r="O435" s="30"/>
      <c r="P435" s="30">
        <v>3592852.06</v>
      </c>
      <c r="Q435" s="31"/>
      <c r="R435" s="31"/>
      <c r="S435" s="30"/>
      <c r="T435" s="31"/>
      <c r="U435" s="31"/>
      <c r="V435" s="30">
        <v>866180.65</v>
      </c>
      <c r="W435" s="31"/>
      <c r="X435" s="31"/>
      <c r="Y435" s="30">
        <v>3130420.07</v>
      </c>
      <c r="Z435" s="31"/>
      <c r="AA435" s="31"/>
      <c r="AB435" s="30"/>
      <c r="AC435" s="32"/>
      <c r="AD435" s="32"/>
      <c r="AE435" s="30">
        <v>14282.406253241399</v>
      </c>
      <c r="AF435" s="30">
        <v>1336.2830200640001</v>
      </c>
      <c r="AG435" s="33">
        <v>2023</v>
      </c>
      <c r="AH435" s="1">
        <v>1111921.7</v>
      </c>
      <c r="AI435" s="5">
        <f>+(K435*10.5+L435*21)*12*0.85</f>
        <v>201015.99000000002</v>
      </c>
      <c r="AJ435" s="5">
        <f>+(K435*10.5+L435*21)*12*30</f>
        <v>7094682.0000000009</v>
      </c>
      <c r="AL435" s="112">
        <f t="shared" si="92"/>
        <v>0</v>
      </c>
      <c r="AM435" s="30">
        <v>3126691.49</v>
      </c>
      <c r="AN435" s="30">
        <v>1010526.62</v>
      </c>
      <c r="AO435" s="30"/>
      <c r="AP435" s="30">
        <v>965070.61</v>
      </c>
      <c r="AQ435" s="30"/>
      <c r="AR435" s="30"/>
      <c r="AS435" s="30"/>
      <c r="AT435" s="30">
        <v>0</v>
      </c>
      <c r="AU435" s="30"/>
      <c r="AV435" s="30">
        <v>0</v>
      </c>
      <c r="AW435" s="30"/>
      <c r="AX435" s="30">
        <v>2487164.06</v>
      </c>
      <c r="AY435" s="30"/>
      <c r="AZ435" s="30"/>
      <c r="BA435" s="40"/>
      <c r="BB435" s="5">
        <f t="shared" si="93"/>
        <v>7589452.7799999993</v>
      </c>
    </row>
    <row r="436" spans="1:54" hidden="1">
      <c r="A436" s="10">
        <f t="shared" si="94"/>
        <v>417</v>
      </c>
      <c r="B436" s="12">
        <v>206</v>
      </c>
      <c r="C436" s="14" t="s">
        <v>1</v>
      </c>
      <c r="D436" s="14" t="s">
        <v>2</v>
      </c>
      <c r="E436" s="15">
        <v>1969</v>
      </c>
      <c r="F436" s="15">
        <v>2013</v>
      </c>
      <c r="G436" s="15" t="s">
        <v>3</v>
      </c>
      <c r="H436" s="15">
        <v>4</v>
      </c>
      <c r="I436" s="15">
        <v>4</v>
      </c>
      <c r="J436" s="19">
        <v>3016.9</v>
      </c>
      <c r="K436" s="19">
        <v>2778.3</v>
      </c>
      <c r="L436" s="19">
        <v>0</v>
      </c>
      <c r="M436" s="22">
        <v>148</v>
      </c>
      <c r="N436" s="28">
        <f t="shared" si="89"/>
        <v>1451159.65</v>
      </c>
      <c r="O436" s="19"/>
      <c r="P436" s="19">
        <v>582922.99</v>
      </c>
      <c r="Q436" s="29"/>
      <c r="R436" s="29"/>
      <c r="S436" s="30"/>
      <c r="T436" s="31"/>
      <c r="U436" s="31"/>
      <c r="V436" s="30">
        <v>618112.69999999995</v>
      </c>
      <c r="W436" s="31"/>
      <c r="X436" s="31"/>
      <c r="Y436" s="30">
        <v>250123.96</v>
      </c>
      <c r="Z436" s="31"/>
      <c r="AA436" s="31"/>
      <c r="AB436" s="30"/>
      <c r="AC436" s="32"/>
      <c r="AD436" s="32"/>
      <c r="AE436" s="30">
        <v>908.50345653817101</v>
      </c>
      <c r="AF436" s="30">
        <v>1343.2830200640001</v>
      </c>
      <c r="AG436" s="33">
        <v>2023</v>
      </c>
      <c r="AH436" s="18">
        <f>1456293.05-V136</f>
        <v>608495.85000000009</v>
      </c>
      <c r="AI436" s="5">
        <f>+(K436*10.5+L436*21)*12*0.85</f>
        <v>297555.93000000005</v>
      </c>
      <c r="AJ436" s="5">
        <f>+(K436*10.5+L436*21)*12*30-7837046.47-V136</f>
        <v>1817130.3300000022</v>
      </c>
      <c r="AL436" s="37">
        <f t="shared" si="92"/>
        <v>0</v>
      </c>
      <c r="AM436" s="30"/>
      <c r="AN436" s="30"/>
      <c r="AO436" s="30">
        <v>1451159.65</v>
      </c>
      <c r="AP436" s="30">
        <v>0</v>
      </c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40"/>
      <c r="BB436" s="5">
        <f t="shared" si="93"/>
        <v>1451159.65</v>
      </c>
    </row>
    <row r="437" spans="1:54" hidden="1">
      <c r="A437" s="10">
        <f t="shared" si="94"/>
        <v>418</v>
      </c>
      <c r="B437" s="12">
        <f t="shared" ref="B437:B449" si="95">+B436+1</f>
        <v>207</v>
      </c>
      <c r="C437" s="14" t="s">
        <v>1</v>
      </c>
      <c r="D437" s="14" t="s">
        <v>7</v>
      </c>
      <c r="E437" s="15">
        <v>1962</v>
      </c>
      <c r="F437" s="15">
        <v>1962</v>
      </c>
      <c r="G437" s="15" t="s">
        <v>3</v>
      </c>
      <c r="H437" s="15">
        <v>2</v>
      </c>
      <c r="I437" s="15">
        <v>1</v>
      </c>
      <c r="J437" s="19">
        <v>618.70000000000005</v>
      </c>
      <c r="K437" s="19">
        <v>460.5</v>
      </c>
      <c r="L437" s="19">
        <v>0</v>
      </c>
      <c r="M437" s="22">
        <v>45</v>
      </c>
      <c r="N437" s="28">
        <f t="shared" si="89"/>
        <v>536702.36</v>
      </c>
      <c r="O437" s="19"/>
      <c r="P437" s="19">
        <v>0</v>
      </c>
      <c r="Q437" s="29"/>
      <c r="R437" s="29"/>
      <c r="S437" s="30"/>
      <c r="T437" s="31"/>
      <c r="U437" s="31"/>
      <c r="V437" s="30">
        <v>0</v>
      </c>
      <c r="W437" s="52"/>
      <c r="X437" s="52"/>
      <c r="Y437" s="5">
        <v>536702.36</v>
      </c>
      <c r="Z437" s="7"/>
      <c r="AA437" s="7"/>
      <c r="AB437" s="30"/>
      <c r="AC437" s="32"/>
      <c r="AD437" s="32"/>
      <c r="AE437" s="30">
        <v>912.77514831704696</v>
      </c>
      <c r="AF437" s="30">
        <v>1344.2830200640001</v>
      </c>
      <c r="AG437" s="33">
        <v>2023</v>
      </c>
      <c r="AH437" s="18">
        <f>248516.58-V138</f>
        <v>-4385.1700000000128</v>
      </c>
      <c r="AI437" s="5">
        <f>+(K437*10.5+L437*21)*12*0.85</f>
        <v>49319.549999999996</v>
      </c>
      <c r="AJ437" s="5">
        <f>+(K437*10.5+L437*21)*12*30-V138</f>
        <v>1487788.25</v>
      </c>
      <c r="AL437" s="37">
        <f t="shared" si="92"/>
        <v>0</v>
      </c>
      <c r="AM437" s="30">
        <v>0</v>
      </c>
      <c r="AN437" s="30"/>
      <c r="AO437" s="30">
        <v>536702.36</v>
      </c>
      <c r="AP437" s="30"/>
      <c r="AQ437" s="30">
        <v>0</v>
      </c>
      <c r="AR437" s="30"/>
      <c r="AS437" s="30"/>
      <c r="AT437" s="30">
        <v>0</v>
      </c>
      <c r="AU437" s="30"/>
      <c r="AV437" s="30">
        <v>0</v>
      </c>
      <c r="AW437" s="30">
        <v>0</v>
      </c>
      <c r="AX437" s="30">
        <v>0</v>
      </c>
      <c r="AY437" s="30"/>
      <c r="AZ437" s="30"/>
      <c r="BA437" s="40"/>
      <c r="BB437" s="5">
        <f t="shared" si="93"/>
        <v>536702.36</v>
      </c>
    </row>
    <row r="438" spans="1:54" hidden="1">
      <c r="A438" s="10">
        <f t="shared" si="94"/>
        <v>419</v>
      </c>
      <c r="B438" s="12">
        <f t="shared" si="95"/>
        <v>208</v>
      </c>
      <c r="C438" s="14" t="s">
        <v>22</v>
      </c>
      <c r="D438" s="14" t="s">
        <v>24</v>
      </c>
      <c r="E438" s="15" t="s">
        <v>25</v>
      </c>
      <c r="F438" s="15"/>
      <c r="G438" s="15" t="s">
        <v>3</v>
      </c>
      <c r="H438" s="15" t="s">
        <v>27</v>
      </c>
      <c r="I438" s="15" t="s">
        <v>27</v>
      </c>
      <c r="J438" s="14">
        <v>706.48</v>
      </c>
      <c r="K438" s="14">
        <v>667.89</v>
      </c>
      <c r="L438" s="14">
        <v>0</v>
      </c>
      <c r="M438" s="14">
        <v>23</v>
      </c>
      <c r="N438" s="28">
        <f t="shared" si="89"/>
        <v>5183657.0599999968</v>
      </c>
      <c r="O438" s="14"/>
      <c r="P438" s="62">
        <v>1791115.96</v>
      </c>
      <c r="Q438" s="29"/>
      <c r="R438" s="29"/>
      <c r="S438" s="30">
        <v>507855.56</v>
      </c>
      <c r="T438" s="31"/>
      <c r="U438" s="31"/>
      <c r="V438" s="30">
        <v>480261.08848606702</v>
      </c>
      <c r="W438" s="31"/>
      <c r="X438" s="31"/>
      <c r="Y438" s="30">
        <v>2404424.4515139302</v>
      </c>
      <c r="Z438" s="31"/>
      <c r="AA438" s="31"/>
      <c r="AB438" s="63"/>
      <c r="AC438" s="64"/>
      <c r="AD438" s="64"/>
      <c r="AE438" s="30">
        <v>8421.7620819582007</v>
      </c>
      <c r="AF438" s="30">
        <v>8421.7620819582007</v>
      </c>
      <c r="AG438" s="33">
        <v>2023</v>
      </c>
      <c r="AH438" s="1">
        <v>381479.63</v>
      </c>
      <c r="AI438" s="5">
        <v>71531.019</v>
      </c>
      <c r="AJ438" s="5">
        <v>2524624.2000000002</v>
      </c>
      <c r="AL438" s="37">
        <f t="shared" ref="AL438:AL443" si="96">SUM(AM438:BA438)</f>
        <v>5183657.0599999996</v>
      </c>
      <c r="AM438" s="12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>
        <v>5178857.0599999996</v>
      </c>
      <c r="AX438" s="30"/>
      <c r="AY438" s="30"/>
      <c r="AZ438" s="30">
        <v>4800</v>
      </c>
      <c r="BA438" s="40"/>
      <c r="BB438" s="5">
        <f t="shared" si="93"/>
        <v>0</v>
      </c>
    </row>
    <row r="439" spans="1:54" hidden="1">
      <c r="A439" s="10">
        <f t="shared" si="94"/>
        <v>420</v>
      </c>
      <c r="B439" s="12">
        <f t="shared" si="95"/>
        <v>209</v>
      </c>
      <c r="C439" s="14" t="s">
        <v>22</v>
      </c>
      <c r="D439" s="14" t="s">
        <v>38</v>
      </c>
      <c r="E439" s="15" t="s">
        <v>25</v>
      </c>
      <c r="F439" s="15"/>
      <c r="G439" s="15" t="s">
        <v>3</v>
      </c>
      <c r="H439" s="15" t="s">
        <v>27</v>
      </c>
      <c r="I439" s="15" t="s">
        <v>27</v>
      </c>
      <c r="J439" s="14">
        <v>685.95</v>
      </c>
      <c r="K439" s="14">
        <v>641.14</v>
      </c>
      <c r="L439" s="14">
        <v>0</v>
      </c>
      <c r="M439" s="14">
        <v>27</v>
      </c>
      <c r="N439" s="28">
        <f t="shared" si="89"/>
        <v>4752736.2300000004</v>
      </c>
      <c r="O439" s="14"/>
      <c r="P439" s="62">
        <v>1430686.83</v>
      </c>
      <c r="Q439" s="29"/>
      <c r="R439" s="29"/>
      <c r="S439" s="30">
        <v>507855.56</v>
      </c>
      <c r="T439" s="31"/>
      <c r="U439" s="31"/>
      <c r="V439" s="30">
        <v>506070.20759999001</v>
      </c>
      <c r="W439" s="31"/>
      <c r="X439" s="31"/>
      <c r="Y439" s="30">
        <v>2308123.6324000098</v>
      </c>
      <c r="Z439" s="31"/>
      <c r="AA439" s="31"/>
      <c r="AB439" s="63"/>
      <c r="AC439" s="64"/>
      <c r="AD439" s="64"/>
      <c r="AE439" s="30">
        <v>8422.2618355906307</v>
      </c>
      <c r="AF439" s="30">
        <v>8422.2618355906307</v>
      </c>
      <c r="AG439" s="33">
        <v>2023</v>
      </c>
      <c r="AH439" s="1">
        <v>374519.63</v>
      </c>
      <c r="AI439" s="5">
        <v>68666.093999999997</v>
      </c>
      <c r="AJ439" s="5">
        <v>2423509.2000000002</v>
      </c>
      <c r="AL439" s="37">
        <f t="shared" si="96"/>
        <v>4752736.2300000004</v>
      </c>
      <c r="AM439" s="12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>
        <v>4728736.2300000004</v>
      </c>
      <c r="AX439" s="30"/>
      <c r="AY439" s="30"/>
      <c r="AZ439" s="30">
        <v>24000</v>
      </c>
      <c r="BA439" s="40"/>
      <c r="BB439" s="5">
        <f t="shared" si="93"/>
        <v>0</v>
      </c>
    </row>
    <row r="440" spans="1:54" hidden="1">
      <c r="A440" s="10">
        <f t="shared" si="94"/>
        <v>421</v>
      </c>
      <c r="B440" s="12">
        <f t="shared" si="95"/>
        <v>210</v>
      </c>
      <c r="C440" s="14" t="s">
        <v>22</v>
      </c>
      <c r="D440" s="14" t="s">
        <v>69</v>
      </c>
      <c r="E440" s="15" t="s">
        <v>70</v>
      </c>
      <c r="F440" s="15"/>
      <c r="G440" s="15" t="s">
        <v>3</v>
      </c>
      <c r="H440" s="15" t="s">
        <v>27</v>
      </c>
      <c r="I440" s="15" t="s">
        <v>27</v>
      </c>
      <c r="J440" s="14">
        <v>785.98</v>
      </c>
      <c r="K440" s="14">
        <v>722.6</v>
      </c>
      <c r="L440" s="14">
        <v>0</v>
      </c>
      <c r="M440" s="14">
        <v>29</v>
      </c>
      <c r="N440" s="28">
        <f t="shared" si="89"/>
        <v>4847207.9800000042</v>
      </c>
      <c r="O440" s="14"/>
      <c r="P440" s="62">
        <v>1189850.69</v>
      </c>
      <c r="Q440" s="29"/>
      <c r="R440" s="29"/>
      <c r="S440" s="30">
        <v>507855.56</v>
      </c>
      <c r="T440" s="31"/>
      <c r="U440" s="31"/>
      <c r="V440" s="30">
        <v>548119.60320671403</v>
      </c>
      <c r="W440" s="31"/>
      <c r="X440" s="31"/>
      <c r="Y440" s="30">
        <v>2601382.12679329</v>
      </c>
      <c r="Z440" s="31"/>
      <c r="AA440" s="31"/>
      <c r="AB440" s="63"/>
      <c r="AC440" s="64"/>
      <c r="AD440" s="64"/>
      <c r="AE440" s="30">
        <v>8420.8551936487602</v>
      </c>
      <c r="AF440" s="30">
        <v>8420.8551936487602</v>
      </c>
      <c r="AG440" s="33">
        <v>2023</v>
      </c>
      <c r="AH440" s="1">
        <v>408593.99</v>
      </c>
      <c r="AI440" s="5">
        <v>77390.460000000006</v>
      </c>
      <c r="AJ440" s="5">
        <v>2731428</v>
      </c>
      <c r="AL440" s="37">
        <f t="shared" si="96"/>
        <v>4847207.9800000004</v>
      </c>
      <c r="AM440" s="12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>
        <v>4842407.9800000004</v>
      </c>
      <c r="AX440" s="30"/>
      <c r="AY440" s="30"/>
      <c r="AZ440" s="30">
        <v>4800</v>
      </c>
      <c r="BA440" s="40"/>
      <c r="BB440" s="5">
        <f t="shared" si="93"/>
        <v>0</v>
      </c>
    </row>
    <row r="441" spans="1:54" hidden="1">
      <c r="A441" s="10">
        <f t="shared" si="94"/>
        <v>422</v>
      </c>
      <c r="B441" s="12">
        <f t="shared" si="95"/>
        <v>211</v>
      </c>
      <c r="C441" s="14" t="s">
        <v>22</v>
      </c>
      <c r="D441" s="14" t="s">
        <v>75</v>
      </c>
      <c r="E441" s="15" t="s">
        <v>70</v>
      </c>
      <c r="F441" s="15"/>
      <c r="G441" s="15" t="s">
        <v>3</v>
      </c>
      <c r="H441" s="15" t="s">
        <v>27</v>
      </c>
      <c r="I441" s="15" t="s">
        <v>27</v>
      </c>
      <c r="J441" s="14">
        <v>691.94</v>
      </c>
      <c r="K441" s="14">
        <v>653.61</v>
      </c>
      <c r="L441" s="14">
        <v>0</v>
      </c>
      <c r="M441" s="14">
        <v>26</v>
      </c>
      <c r="N441" s="28">
        <f t="shared" si="89"/>
        <v>4753460.0399999972</v>
      </c>
      <c r="O441" s="14"/>
      <c r="P441" s="62">
        <v>1369860.41</v>
      </c>
      <c r="Q441" s="29"/>
      <c r="R441" s="29"/>
      <c r="S441" s="30">
        <v>507855.56</v>
      </c>
      <c r="T441" s="31"/>
      <c r="U441" s="31"/>
      <c r="V441" s="30">
        <v>579238.63575510704</v>
      </c>
      <c r="W441" s="31"/>
      <c r="X441" s="31"/>
      <c r="Y441" s="30">
        <v>2296505.4342448902</v>
      </c>
      <c r="Z441" s="31"/>
      <c r="AA441" s="31"/>
      <c r="AB441" s="63"/>
      <c r="AC441" s="64"/>
      <c r="AD441" s="64"/>
      <c r="AE441" s="30">
        <v>8422.02377644015</v>
      </c>
      <c r="AF441" s="30">
        <v>8422.02377644015</v>
      </c>
      <c r="AG441" s="33">
        <v>2023</v>
      </c>
      <c r="AH441" s="1">
        <v>396107.32</v>
      </c>
      <c r="AI441" s="5">
        <v>70001.630999999994</v>
      </c>
      <c r="AJ441" s="5">
        <v>2470645.7999999998</v>
      </c>
      <c r="AL441" s="37">
        <f t="shared" si="96"/>
        <v>4753460.04</v>
      </c>
      <c r="AM441" s="12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>
        <v>4747460.04</v>
      </c>
      <c r="AX441" s="30"/>
      <c r="AY441" s="30"/>
      <c r="AZ441" s="30">
        <v>6000</v>
      </c>
      <c r="BA441" s="40"/>
      <c r="BB441" s="5">
        <f t="shared" si="93"/>
        <v>0</v>
      </c>
    </row>
    <row r="442" spans="1:54" hidden="1">
      <c r="A442" s="10">
        <f t="shared" si="94"/>
        <v>423</v>
      </c>
      <c r="B442" s="12">
        <f t="shared" si="95"/>
        <v>212</v>
      </c>
      <c r="C442" s="14" t="s">
        <v>22</v>
      </c>
      <c r="D442" s="14" t="s">
        <v>77</v>
      </c>
      <c r="E442" s="15" t="s">
        <v>78</v>
      </c>
      <c r="F442" s="15"/>
      <c r="G442" s="15" t="s">
        <v>3</v>
      </c>
      <c r="H442" s="15" t="s">
        <v>27</v>
      </c>
      <c r="I442" s="15" t="s">
        <v>27</v>
      </c>
      <c r="J442" s="14">
        <v>681.08</v>
      </c>
      <c r="K442" s="14">
        <v>633.24</v>
      </c>
      <c r="L442" s="14">
        <v>0</v>
      </c>
      <c r="M442" s="14">
        <v>30</v>
      </c>
      <c r="N442" s="28">
        <f t="shared" si="89"/>
        <v>4872127.5200000014</v>
      </c>
      <c r="O442" s="14"/>
      <c r="P442" s="62">
        <v>1593756.59</v>
      </c>
      <c r="Q442" s="29"/>
      <c r="R442" s="29"/>
      <c r="S442" s="30">
        <v>507855.56</v>
      </c>
      <c r="T442" s="31"/>
      <c r="U442" s="31"/>
      <c r="V442" s="30">
        <v>545581.389506532</v>
      </c>
      <c r="W442" s="31"/>
      <c r="X442" s="31"/>
      <c r="Y442" s="30">
        <v>2224933.9804934701</v>
      </c>
      <c r="Z442" s="31"/>
      <c r="AA442" s="31"/>
      <c r="AB442" s="63"/>
      <c r="AC442" s="64"/>
      <c r="AD442" s="64"/>
      <c r="AE442" s="30">
        <v>8422.4175023430907</v>
      </c>
      <c r="AF442" s="30">
        <v>8422.4175023430907</v>
      </c>
      <c r="AG442" s="33">
        <v>2023</v>
      </c>
      <c r="AH442" s="1">
        <v>368732.53</v>
      </c>
      <c r="AI442" s="5">
        <v>67820.004000000001</v>
      </c>
      <c r="AJ442" s="5">
        <v>2393647.2000000002</v>
      </c>
      <c r="AL442" s="37">
        <f t="shared" si="96"/>
        <v>4872127.5199999996</v>
      </c>
      <c r="AM442" s="12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>
        <v>4867327.5199999996</v>
      </c>
      <c r="AX442" s="30"/>
      <c r="AY442" s="30"/>
      <c r="AZ442" s="30">
        <v>4800</v>
      </c>
      <c r="BA442" s="40"/>
      <c r="BB442" s="5">
        <f t="shared" si="93"/>
        <v>0</v>
      </c>
    </row>
    <row r="443" spans="1:54" hidden="1">
      <c r="A443" s="10">
        <f t="shared" si="94"/>
        <v>424</v>
      </c>
      <c r="B443" s="12">
        <f t="shared" si="95"/>
        <v>213</v>
      </c>
      <c r="C443" s="14" t="s">
        <v>22</v>
      </c>
      <c r="D443" s="14" t="s">
        <v>80</v>
      </c>
      <c r="E443" s="15" t="s">
        <v>81</v>
      </c>
      <c r="F443" s="15"/>
      <c r="G443" s="15" t="s">
        <v>3</v>
      </c>
      <c r="H443" s="15" t="s">
        <v>27</v>
      </c>
      <c r="I443" s="15" t="s">
        <v>27</v>
      </c>
      <c r="J443" s="14">
        <v>989.4</v>
      </c>
      <c r="K443" s="14">
        <v>861.1</v>
      </c>
      <c r="L443" s="14">
        <v>0</v>
      </c>
      <c r="M443" s="14">
        <v>40</v>
      </c>
      <c r="N443" s="28">
        <f t="shared" si="89"/>
        <v>7963657.8699999955</v>
      </c>
      <c r="O443" s="14"/>
      <c r="P443" s="62">
        <v>3654295.31</v>
      </c>
      <c r="Q443" s="29"/>
      <c r="R443" s="29"/>
      <c r="S443" s="30">
        <v>507855.56</v>
      </c>
      <c r="T443" s="31"/>
      <c r="U443" s="31"/>
      <c r="V443" s="30">
        <v>701520.63218696602</v>
      </c>
      <c r="W443" s="31"/>
      <c r="X443" s="31"/>
      <c r="Y443" s="30">
        <v>3099986.3678130298</v>
      </c>
      <c r="Z443" s="31"/>
      <c r="AA443" s="31"/>
      <c r="AB443" s="63"/>
      <c r="AC443" s="64"/>
      <c r="AD443" s="64"/>
      <c r="AE443" s="30">
        <v>8419.0745040828297</v>
      </c>
      <c r="AF443" s="30">
        <v>8419.0745040828297</v>
      </c>
      <c r="AG443" s="33">
        <v>2023</v>
      </c>
      <c r="AH443" s="1">
        <v>533284.21</v>
      </c>
      <c r="AI443" s="5">
        <v>92223.81</v>
      </c>
      <c r="AJ443" s="5">
        <v>3254958</v>
      </c>
      <c r="AL443" s="37">
        <f t="shared" si="96"/>
        <v>7963657.8700000001</v>
      </c>
      <c r="AM443" s="12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>
        <v>7955657.8700000001</v>
      </c>
      <c r="AX443" s="30"/>
      <c r="AY443" s="30"/>
      <c r="AZ443" s="30">
        <v>8000</v>
      </c>
      <c r="BA443" s="40"/>
      <c r="BB443" s="5">
        <f t="shared" si="93"/>
        <v>0</v>
      </c>
    </row>
    <row r="444" spans="1:54" hidden="1">
      <c r="A444" s="10">
        <f t="shared" si="94"/>
        <v>425</v>
      </c>
      <c r="B444" s="12">
        <f t="shared" si="95"/>
        <v>214</v>
      </c>
      <c r="C444" s="14" t="s">
        <v>82</v>
      </c>
      <c r="D444" s="14" t="s">
        <v>83</v>
      </c>
      <c r="E444" s="15">
        <v>1985</v>
      </c>
      <c r="F444" s="15">
        <v>1985</v>
      </c>
      <c r="G444" s="15" t="s">
        <v>3</v>
      </c>
      <c r="H444" s="15">
        <v>2</v>
      </c>
      <c r="I444" s="15">
        <v>2</v>
      </c>
      <c r="J444" s="19">
        <v>914.7</v>
      </c>
      <c r="K444" s="19">
        <v>845.7</v>
      </c>
      <c r="L444" s="19">
        <v>0</v>
      </c>
      <c r="M444" s="22">
        <v>33</v>
      </c>
      <c r="N444" s="28">
        <f t="shared" si="89"/>
        <v>2107622.31</v>
      </c>
      <c r="O444" s="19"/>
      <c r="P444" s="19">
        <v>1110406.54</v>
      </c>
      <c r="Q444" s="29"/>
      <c r="R444" s="29"/>
      <c r="S444" s="30"/>
      <c r="T444" s="31"/>
      <c r="U444" s="31"/>
      <c r="V444" s="30">
        <v>468014.46</v>
      </c>
      <c r="W444" s="31"/>
      <c r="X444" s="31"/>
      <c r="Y444" s="30">
        <v>529201.31000000006</v>
      </c>
      <c r="Z444" s="31"/>
      <c r="AA444" s="31"/>
      <c r="AB444" s="97"/>
      <c r="AC444" s="32"/>
      <c r="AD444" s="32"/>
      <c r="AE444" s="30">
        <v>6484.7032280950698</v>
      </c>
      <c r="AF444" s="30">
        <v>1354.2830200640001</v>
      </c>
      <c r="AG444" s="33">
        <v>2023</v>
      </c>
      <c r="AH444" s="98">
        <v>429198.67</v>
      </c>
      <c r="AI444" s="5">
        <f t="shared" ref="AI444:AI456" si="97">+(K444*10+L444*20)*12*0.85</f>
        <v>86261.4</v>
      </c>
      <c r="AJ444" s="5">
        <f>+(K444*10+L444*20)*12*30</f>
        <v>3044520</v>
      </c>
      <c r="AL444" s="37">
        <f t="shared" ref="AL444:AL478" si="98">SUBTOTAL(9, AM444:BA444)</f>
        <v>0</v>
      </c>
      <c r="AM444" s="30">
        <v>992115.39</v>
      </c>
      <c r="AN444" s="30">
        <v>816974.44</v>
      </c>
      <c r="AO444" s="30"/>
      <c r="AP444" s="30">
        <v>242295.61</v>
      </c>
      <c r="AQ444" s="30">
        <v>0</v>
      </c>
      <c r="AR444" s="30"/>
      <c r="AS444" s="30"/>
      <c r="AT444" s="30">
        <v>0</v>
      </c>
      <c r="AU444" s="30">
        <v>0</v>
      </c>
      <c r="AV444" s="30">
        <v>0</v>
      </c>
      <c r="AW444" s="30">
        <v>0</v>
      </c>
      <c r="AX444" s="30">
        <v>0</v>
      </c>
      <c r="AY444" s="30">
        <v>38236.870000000003</v>
      </c>
      <c r="AZ444" s="30">
        <v>18000</v>
      </c>
      <c r="BA444" s="40"/>
      <c r="BB444" s="5">
        <f t="shared" si="93"/>
        <v>2107622.31</v>
      </c>
    </row>
    <row r="445" spans="1:54" hidden="1">
      <c r="A445" s="10">
        <f t="shared" si="94"/>
        <v>426</v>
      </c>
      <c r="B445" s="12">
        <f t="shared" si="95"/>
        <v>215</v>
      </c>
      <c r="C445" s="14" t="s">
        <v>82</v>
      </c>
      <c r="D445" s="14" t="s">
        <v>85</v>
      </c>
      <c r="E445" s="15">
        <v>1985</v>
      </c>
      <c r="F445" s="15">
        <v>2009</v>
      </c>
      <c r="G445" s="15" t="s">
        <v>3</v>
      </c>
      <c r="H445" s="15">
        <v>2</v>
      </c>
      <c r="I445" s="15">
        <v>3</v>
      </c>
      <c r="J445" s="19">
        <v>1493.5</v>
      </c>
      <c r="K445" s="19">
        <v>1376.8</v>
      </c>
      <c r="L445" s="19">
        <v>0</v>
      </c>
      <c r="M445" s="22">
        <v>60</v>
      </c>
      <c r="N445" s="28">
        <f t="shared" si="89"/>
        <v>3055335.8200000003</v>
      </c>
      <c r="O445" s="19"/>
      <c r="P445" s="19"/>
      <c r="Q445" s="29"/>
      <c r="R445" s="29"/>
      <c r="S445" s="30"/>
      <c r="T445" s="31"/>
      <c r="U445" s="31"/>
      <c r="V445" s="30">
        <v>848133.93</v>
      </c>
      <c r="W445" s="31"/>
      <c r="X445" s="31"/>
      <c r="Y445" s="30">
        <v>2207201.89</v>
      </c>
      <c r="Z445" s="31"/>
      <c r="AA445" s="31"/>
      <c r="AB445" s="30"/>
      <c r="AC445" s="32"/>
      <c r="AD445" s="32"/>
      <c r="AE445" s="30">
        <v>7465.9600014526404</v>
      </c>
      <c r="AF445" s="30">
        <v>1355.2830200640001</v>
      </c>
      <c r="AG445" s="33">
        <v>2023</v>
      </c>
      <c r="AH445" s="98">
        <v>707700.33</v>
      </c>
      <c r="AI445" s="5">
        <f t="shared" si="97"/>
        <v>140433.60000000001</v>
      </c>
      <c r="AJ445" s="5">
        <f>+(K445*10+L445*20)*12*30</f>
        <v>4956480</v>
      </c>
      <c r="AL445" s="37">
        <f t="shared" si="98"/>
        <v>0</v>
      </c>
      <c r="AM445" s="30">
        <v>1703436.36</v>
      </c>
      <c r="AN445" s="30">
        <v>859294.68</v>
      </c>
      <c r="AO445" s="30"/>
      <c r="AP445" s="30">
        <v>422101.36</v>
      </c>
      <c r="AQ445" s="30">
        <v>0</v>
      </c>
      <c r="AR445" s="30"/>
      <c r="AS445" s="30"/>
      <c r="AT445" s="30">
        <v>0</v>
      </c>
      <c r="AU445" s="30">
        <v>0</v>
      </c>
      <c r="AV445" s="30">
        <v>0</v>
      </c>
      <c r="AW445" s="30">
        <v>0</v>
      </c>
      <c r="AX445" s="30">
        <v>0</v>
      </c>
      <c r="AY445" s="30">
        <v>52503.42</v>
      </c>
      <c r="AZ445" s="30">
        <v>18000</v>
      </c>
      <c r="BA445" s="40"/>
      <c r="BB445" s="5">
        <f t="shared" si="93"/>
        <v>3055335.8200000003</v>
      </c>
    </row>
    <row r="446" spans="1:54" hidden="1">
      <c r="A446" s="10">
        <f t="shared" si="94"/>
        <v>427</v>
      </c>
      <c r="B446" s="12">
        <f t="shared" si="95"/>
        <v>216</v>
      </c>
      <c r="C446" s="101" t="s">
        <v>87</v>
      </c>
      <c r="D446" s="101" t="s">
        <v>88</v>
      </c>
      <c r="E446" s="102">
        <v>1964</v>
      </c>
      <c r="F446" s="102">
        <v>1964</v>
      </c>
      <c r="G446" s="102" t="s">
        <v>3</v>
      </c>
      <c r="H446" s="102">
        <v>2</v>
      </c>
      <c r="I446" s="102">
        <v>2</v>
      </c>
      <c r="J446" s="62">
        <v>816.77</v>
      </c>
      <c r="K446" s="62">
        <v>598.04999999999995</v>
      </c>
      <c r="L446" s="62">
        <v>218.72</v>
      </c>
      <c r="M446" s="103">
        <v>23</v>
      </c>
      <c r="N446" s="28">
        <f t="shared" si="89"/>
        <v>226071.44</v>
      </c>
      <c r="O446" s="62"/>
      <c r="P446" s="62"/>
      <c r="Q446" s="29"/>
      <c r="R446" s="29"/>
      <c r="S446" s="30"/>
      <c r="T446" s="31"/>
      <c r="U446" s="31"/>
      <c r="V446" s="30">
        <v>226071.44</v>
      </c>
      <c r="W446" s="31"/>
      <c r="X446" s="31"/>
      <c r="Y446" s="30"/>
      <c r="Z446" s="31"/>
      <c r="AA446" s="31"/>
      <c r="AB446" s="30"/>
      <c r="AC446" s="32"/>
      <c r="AD446" s="32"/>
      <c r="AE446" s="62">
        <v>708.25338322416303</v>
      </c>
      <c r="AF446" s="62">
        <v>708.25338322416303</v>
      </c>
      <c r="AG446" s="33">
        <v>2023</v>
      </c>
      <c r="AH446" s="1">
        <f>223283.02-99067.28</f>
        <v>124215.73999999999</v>
      </c>
      <c r="AI446" s="5">
        <f t="shared" si="97"/>
        <v>105619.97999999998</v>
      </c>
      <c r="AJ446" s="5">
        <f>+(K446*10+L446*20)*12*30-29457.72</f>
        <v>3698306.2799999993</v>
      </c>
      <c r="AL446" s="37">
        <f t="shared" si="98"/>
        <v>0</v>
      </c>
      <c r="AM446" s="30">
        <v>0</v>
      </c>
      <c r="AN446" s="30">
        <v>0</v>
      </c>
      <c r="AO446" s="30">
        <v>226071.44</v>
      </c>
      <c r="AP446" s="30">
        <v>0</v>
      </c>
      <c r="AQ446" s="30">
        <v>0</v>
      </c>
      <c r="AR446" s="30"/>
      <c r="AS446" s="30"/>
      <c r="AT446" s="30">
        <v>0</v>
      </c>
      <c r="AU446" s="30"/>
      <c r="AV446" s="30">
        <v>0</v>
      </c>
      <c r="AW446" s="30">
        <v>0</v>
      </c>
      <c r="AX446" s="30">
        <v>0</v>
      </c>
      <c r="AY446" s="30"/>
      <c r="AZ446" s="30"/>
      <c r="BA446" s="40"/>
      <c r="BB446" s="5">
        <f t="shared" si="93"/>
        <v>226071.44</v>
      </c>
    </row>
    <row r="447" spans="1:54" hidden="1">
      <c r="A447" s="10">
        <f t="shared" si="94"/>
        <v>428</v>
      </c>
      <c r="B447" s="12">
        <f t="shared" si="95"/>
        <v>217</v>
      </c>
      <c r="C447" s="101" t="s">
        <v>87</v>
      </c>
      <c r="D447" s="101" t="s">
        <v>89</v>
      </c>
      <c r="E447" s="102">
        <v>1964</v>
      </c>
      <c r="F447" s="102">
        <v>1964</v>
      </c>
      <c r="G447" s="102" t="s">
        <v>3</v>
      </c>
      <c r="H447" s="102">
        <v>2</v>
      </c>
      <c r="I447" s="102">
        <v>2</v>
      </c>
      <c r="J447" s="62">
        <v>868.87</v>
      </c>
      <c r="K447" s="62">
        <v>613.55999999999995</v>
      </c>
      <c r="L447" s="62">
        <v>255.31</v>
      </c>
      <c r="M447" s="103">
        <v>26</v>
      </c>
      <c r="N447" s="28">
        <f t="shared" si="89"/>
        <v>240520.95999999999</v>
      </c>
      <c r="O447" s="62"/>
      <c r="P447" s="30"/>
      <c r="Q447" s="31"/>
      <c r="R447" s="31"/>
      <c r="S447" s="30"/>
      <c r="T447" s="31"/>
      <c r="U447" s="31"/>
      <c r="V447" s="30">
        <v>240520.95999999999</v>
      </c>
      <c r="W447" s="31"/>
      <c r="X447" s="31"/>
      <c r="Y447" s="30"/>
      <c r="Z447" s="31"/>
      <c r="AA447" s="31"/>
      <c r="AB447" s="30"/>
      <c r="AC447" s="32"/>
      <c r="AD447" s="32"/>
      <c r="AE447" s="62">
        <v>691.92401571696598</v>
      </c>
      <c r="AF447" s="62">
        <v>691.92401571696598</v>
      </c>
      <c r="AG447" s="33">
        <v>2023</v>
      </c>
      <c r="AH447" s="1">
        <f>278417.8-100860.31</f>
        <v>177557.49</v>
      </c>
      <c r="AI447" s="5">
        <f t="shared" si="97"/>
        <v>114666.35999999997</v>
      </c>
      <c r="AJ447" s="5">
        <f>+(K447*10+L447*20)*12*30-29524.86</f>
        <v>4017523.1399999992</v>
      </c>
      <c r="AL447" s="37">
        <f t="shared" si="98"/>
        <v>0</v>
      </c>
      <c r="AM447" s="30">
        <v>0</v>
      </c>
      <c r="AN447" s="30">
        <v>0</v>
      </c>
      <c r="AO447" s="30">
        <v>240520.95999999999</v>
      </c>
      <c r="AP447" s="30">
        <v>0</v>
      </c>
      <c r="AQ447" s="30">
        <v>0</v>
      </c>
      <c r="AR447" s="30"/>
      <c r="AS447" s="30"/>
      <c r="AT447" s="30">
        <v>0</v>
      </c>
      <c r="AU447" s="30"/>
      <c r="AV447" s="30">
        <v>0</v>
      </c>
      <c r="AW447" s="30">
        <v>0</v>
      </c>
      <c r="AX447" s="30">
        <v>0</v>
      </c>
      <c r="AY447" s="30"/>
      <c r="AZ447" s="30"/>
      <c r="BA447" s="40"/>
      <c r="BB447" s="5">
        <f t="shared" si="93"/>
        <v>240520.95999999999</v>
      </c>
    </row>
    <row r="448" spans="1:54" hidden="1">
      <c r="A448" s="10">
        <f t="shared" si="94"/>
        <v>429</v>
      </c>
      <c r="B448" s="12">
        <f t="shared" si="95"/>
        <v>218</v>
      </c>
      <c r="C448" s="101" t="s">
        <v>87</v>
      </c>
      <c r="D448" s="101" t="s">
        <v>92</v>
      </c>
      <c r="E448" s="102">
        <v>1962</v>
      </c>
      <c r="F448" s="102">
        <v>2017</v>
      </c>
      <c r="G448" s="102" t="s">
        <v>3</v>
      </c>
      <c r="H448" s="102">
        <v>2</v>
      </c>
      <c r="I448" s="102">
        <v>2</v>
      </c>
      <c r="J448" s="62">
        <v>1087.26</v>
      </c>
      <c r="K448" s="62">
        <v>641.25</v>
      </c>
      <c r="L448" s="62">
        <v>254.58</v>
      </c>
      <c r="M448" s="103">
        <v>29</v>
      </c>
      <c r="N448" s="28">
        <f t="shared" si="89"/>
        <v>253456.48</v>
      </c>
      <c r="O448" s="62"/>
      <c r="P448" s="30"/>
      <c r="Q448" s="31"/>
      <c r="R448" s="31"/>
      <c r="S448" s="30"/>
      <c r="T448" s="52"/>
      <c r="U448" s="52"/>
      <c r="V448" s="18">
        <v>253456.48</v>
      </c>
      <c r="W448" s="20"/>
      <c r="X448" s="20"/>
      <c r="Y448" s="30"/>
      <c r="Z448" s="31"/>
      <c r="AA448" s="31"/>
      <c r="AB448" s="107"/>
      <c r="AC448" s="108"/>
      <c r="AD448" s="108"/>
      <c r="AE448" s="62">
        <v>612.93393835884001</v>
      </c>
      <c r="AF448" s="62">
        <v>612.93393835884001</v>
      </c>
      <c r="AG448" s="33">
        <v>2023</v>
      </c>
      <c r="AH448" s="1">
        <f>309756.66-132948.3</f>
        <v>176808.36</v>
      </c>
      <c r="AI448" s="5">
        <f t="shared" si="97"/>
        <v>117341.82</v>
      </c>
      <c r="AJ448" s="5">
        <f>+(K448*10+L448*20)*12*30-30726.12</f>
        <v>4110749.8800000004</v>
      </c>
      <c r="AL448" s="37">
        <f t="shared" si="98"/>
        <v>0</v>
      </c>
      <c r="AM448" s="30">
        <v>0</v>
      </c>
      <c r="AN448" s="30">
        <v>0</v>
      </c>
      <c r="AO448" s="30">
        <v>253456.48</v>
      </c>
      <c r="AP448" s="30">
        <v>0</v>
      </c>
      <c r="AQ448" s="30">
        <v>0</v>
      </c>
      <c r="AR448" s="30"/>
      <c r="AS448" s="30"/>
      <c r="AT448" s="30">
        <v>0</v>
      </c>
      <c r="AU448" s="30">
        <v>0</v>
      </c>
      <c r="AV448" s="30">
        <v>0</v>
      </c>
      <c r="AW448" s="30">
        <v>0</v>
      </c>
      <c r="AX448" s="30">
        <v>0</v>
      </c>
      <c r="AY448" s="30"/>
      <c r="AZ448" s="30"/>
      <c r="BA448" s="40"/>
      <c r="BB448" s="5">
        <f t="shared" si="93"/>
        <v>253456.48</v>
      </c>
    </row>
    <row r="449" spans="1:54" hidden="1">
      <c r="A449" s="10">
        <f t="shared" si="94"/>
        <v>430</v>
      </c>
      <c r="B449" s="12">
        <f t="shared" si="95"/>
        <v>219</v>
      </c>
      <c r="C449" s="101" t="s">
        <v>87</v>
      </c>
      <c r="D449" s="101" t="s">
        <v>94</v>
      </c>
      <c r="E449" s="102">
        <v>1984</v>
      </c>
      <c r="F449" s="102">
        <v>2009</v>
      </c>
      <c r="G449" s="102" t="s">
        <v>3</v>
      </c>
      <c r="H449" s="102">
        <v>2</v>
      </c>
      <c r="I449" s="102">
        <v>2</v>
      </c>
      <c r="J449" s="62">
        <v>1164.7</v>
      </c>
      <c r="K449" s="62">
        <v>745.9</v>
      </c>
      <c r="L449" s="62">
        <v>304.10000000000002</v>
      </c>
      <c r="M449" s="103">
        <v>37</v>
      </c>
      <c r="N449" s="28">
        <f t="shared" si="89"/>
        <v>620415.32999999996</v>
      </c>
      <c r="O449" s="62"/>
      <c r="P449" s="30"/>
      <c r="Q449" s="31"/>
      <c r="R449" s="31"/>
      <c r="S449" s="30"/>
      <c r="T449" s="31"/>
      <c r="U449" s="31"/>
      <c r="V449" s="30">
        <v>200191.26628904001</v>
      </c>
      <c r="W449" s="31"/>
      <c r="X449" s="31"/>
      <c r="Y449" s="30">
        <v>420224.06371095998</v>
      </c>
      <c r="Z449" s="31"/>
      <c r="AA449" s="31"/>
      <c r="AB449" s="107"/>
      <c r="AC449" s="108"/>
      <c r="AD449" s="108"/>
      <c r="AE449" s="62">
        <v>4171.5365941580903</v>
      </c>
      <c r="AF449" s="62">
        <v>4171.5365941580903</v>
      </c>
      <c r="AG449" s="33">
        <v>2023</v>
      </c>
      <c r="AH449" s="1">
        <v>397731.31</v>
      </c>
      <c r="AI449" s="5">
        <f t="shared" si="97"/>
        <v>138118.19999999998</v>
      </c>
      <c r="AJ449" s="5">
        <f>+(K449*10+L449*20)*12*30</f>
        <v>4874760</v>
      </c>
      <c r="AL449" s="37">
        <f t="shared" si="98"/>
        <v>0</v>
      </c>
      <c r="AM449" s="30"/>
      <c r="AN449" s="30">
        <v>601824.37</v>
      </c>
      <c r="AO449" s="30"/>
      <c r="AP449" s="30"/>
      <c r="AQ449" s="30">
        <v>0</v>
      </c>
      <c r="AR449" s="30"/>
      <c r="AS449" s="30"/>
      <c r="AT449" s="30">
        <v>0</v>
      </c>
      <c r="AU449" s="30"/>
      <c r="AV449" s="30">
        <v>0</v>
      </c>
      <c r="AW449" s="30">
        <v>0</v>
      </c>
      <c r="AX449" s="30">
        <v>0</v>
      </c>
      <c r="AY449" s="30">
        <v>13790.96</v>
      </c>
      <c r="AZ449" s="30">
        <v>4800</v>
      </c>
      <c r="BA449" s="40"/>
      <c r="BB449" s="5">
        <f t="shared" si="93"/>
        <v>620415.32999999996</v>
      </c>
    </row>
    <row r="450" spans="1:54" hidden="1">
      <c r="A450" s="10">
        <f t="shared" si="94"/>
        <v>431</v>
      </c>
      <c r="B450" s="12" t="s">
        <v>96</v>
      </c>
      <c r="C450" s="101" t="s">
        <v>87</v>
      </c>
      <c r="D450" s="101" t="s">
        <v>97</v>
      </c>
      <c r="E450" s="102">
        <v>1976</v>
      </c>
      <c r="F450" s="102">
        <v>2008</v>
      </c>
      <c r="G450" s="102" t="s">
        <v>3</v>
      </c>
      <c r="H450" s="102">
        <v>4</v>
      </c>
      <c r="I450" s="102">
        <v>4</v>
      </c>
      <c r="J450" s="62">
        <v>4257.32</v>
      </c>
      <c r="K450" s="62">
        <v>3128.38</v>
      </c>
      <c r="L450" s="62">
        <v>991.08</v>
      </c>
      <c r="M450" s="103">
        <v>124</v>
      </c>
      <c r="N450" s="28">
        <f t="shared" si="89"/>
        <v>223889.01</v>
      </c>
      <c r="O450" s="62"/>
      <c r="P450" s="30"/>
      <c r="Q450" s="31"/>
      <c r="R450" s="31"/>
      <c r="S450" s="30"/>
      <c r="T450" s="31"/>
      <c r="U450" s="31"/>
      <c r="V450" s="30">
        <v>223889.01</v>
      </c>
      <c r="W450" s="31"/>
      <c r="X450" s="31"/>
      <c r="Y450" s="30"/>
      <c r="Z450" s="31"/>
      <c r="AA450" s="31"/>
      <c r="AB450" s="107"/>
      <c r="AC450" s="108"/>
      <c r="AD450" s="108"/>
      <c r="AE450" s="62">
        <v>1050.5361310073999</v>
      </c>
      <c r="AF450" s="62">
        <v>1050.5361310073999</v>
      </c>
      <c r="AG450" s="33">
        <v>2023</v>
      </c>
      <c r="AH450" s="18">
        <f>1377282.4-565094.81-V191</f>
        <v>645001.51999999979</v>
      </c>
      <c r="AI450" s="5">
        <f t="shared" si="97"/>
        <v>521275.08</v>
      </c>
      <c r="AJ450" s="5">
        <f>+(K450*10+L450*20)*12*30-180969.62-Y191</f>
        <v>17384046.41</v>
      </c>
      <c r="AL450" s="37">
        <f t="shared" si="98"/>
        <v>0</v>
      </c>
      <c r="AM450" s="30"/>
      <c r="AN450" s="30"/>
      <c r="AO450" s="30">
        <v>0</v>
      </c>
      <c r="AP450" s="30">
        <v>223889.01</v>
      </c>
      <c r="AQ450" s="30"/>
      <c r="AR450" s="30"/>
      <c r="AS450" s="30"/>
      <c r="AT450" s="30">
        <v>0</v>
      </c>
      <c r="AU450" s="30">
        <v>0</v>
      </c>
      <c r="AV450" s="30"/>
      <c r="AW450" s="30">
        <v>0</v>
      </c>
      <c r="AX450" s="30"/>
      <c r="AY450" s="30"/>
      <c r="AZ450" s="30"/>
      <c r="BA450" s="40"/>
      <c r="BB450" s="5">
        <f t="shared" si="93"/>
        <v>223889.01</v>
      </c>
    </row>
    <row r="451" spans="1:54" hidden="1">
      <c r="A451" s="10">
        <f t="shared" si="94"/>
        <v>432</v>
      </c>
      <c r="B451" s="12" t="s">
        <v>96</v>
      </c>
      <c r="C451" s="12" t="s">
        <v>87</v>
      </c>
      <c r="D451" s="12" t="s">
        <v>100</v>
      </c>
      <c r="E451" s="102">
        <v>1975</v>
      </c>
      <c r="F451" s="102">
        <v>2008</v>
      </c>
      <c r="G451" s="102" t="s">
        <v>3</v>
      </c>
      <c r="H451" s="102">
        <v>4</v>
      </c>
      <c r="I451" s="102">
        <v>4</v>
      </c>
      <c r="J451" s="62">
        <v>4182.96</v>
      </c>
      <c r="K451" s="62">
        <v>3048.03</v>
      </c>
      <c r="L451" s="62">
        <v>978.37</v>
      </c>
      <c r="M451" s="103">
        <v>135</v>
      </c>
      <c r="N451" s="28">
        <f t="shared" si="89"/>
        <v>223889.01</v>
      </c>
      <c r="O451" s="30"/>
      <c r="P451" s="30"/>
      <c r="Q451" s="31"/>
      <c r="R451" s="31"/>
      <c r="S451" s="30"/>
      <c r="T451" s="52"/>
      <c r="U451" s="52"/>
      <c r="V451" s="5">
        <v>223889.01</v>
      </c>
      <c r="W451" s="7"/>
      <c r="X451" s="7"/>
      <c r="Y451" s="30"/>
      <c r="Z451" s="31"/>
      <c r="AA451" s="31"/>
      <c r="AB451" s="107"/>
      <c r="AC451" s="108"/>
      <c r="AD451" s="108"/>
      <c r="AE451" s="62">
        <v>1849.23882793194</v>
      </c>
      <c r="AF451" s="62">
        <v>1849.23882793194</v>
      </c>
      <c r="AG451" s="33">
        <v>2023</v>
      </c>
      <c r="AH451" s="1">
        <f>1500891.17-445165.35</f>
        <v>1055725.8199999998</v>
      </c>
      <c r="AI451" s="5">
        <f t="shared" si="97"/>
        <v>510486.54</v>
      </c>
      <c r="AJ451" s="5">
        <f>+(K451*10+L451*20)*12*30-179374.89</f>
        <v>17837797.109999999</v>
      </c>
      <c r="AL451" s="37">
        <f t="shared" si="98"/>
        <v>0</v>
      </c>
      <c r="AM451" s="30"/>
      <c r="AN451" s="30"/>
      <c r="AO451" s="30">
        <v>0</v>
      </c>
      <c r="AP451" s="30">
        <v>223889.01</v>
      </c>
      <c r="AQ451" s="30"/>
      <c r="AR451" s="30"/>
      <c r="AS451" s="30"/>
      <c r="AT451" s="30">
        <v>0</v>
      </c>
      <c r="AU451" s="30">
        <v>0</v>
      </c>
      <c r="AV451" s="30"/>
      <c r="AW451" s="30">
        <v>0</v>
      </c>
      <c r="AX451" s="30"/>
      <c r="AY451" s="30"/>
      <c r="AZ451" s="30"/>
      <c r="BA451" s="40"/>
      <c r="BB451" s="5">
        <f t="shared" si="93"/>
        <v>223889.01</v>
      </c>
    </row>
    <row r="452" spans="1:54" hidden="1">
      <c r="A452" s="10">
        <f t="shared" si="94"/>
        <v>433</v>
      </c>
      <c r="B452" s="12">
        <v>220</v>
      </c>
      <c r="C452" s="101" t="s">
        <v>87</v>
      </c>
      <c r="D452" s="101" t="s">
        <v>102</v>
      </c>
      <c r="E452" s="102">
        <v>1978</v>
      </c>
      <c r="F452" s="102">
        <v>2007</v>
      </c>
      <c r="G452" s="102" t="s">
        <v>3</v>
      </c>
      <c r="H452" s="102">
        <v>4</v>
      </c>
      <c r="I452" s="102">
        <v>4</v>
      </c>
      <c r="J452" s="62">
        <v>3576.31</v>
      </c>
      <c r="K452" s="62">
        <v>2733.31</v>
      </c>
      <c r="L452" s="62">
        <v>843</v>
      </c>
      <c r="M452" s="103">
        <v>110</v>
      </c>
      <c r="N452" s="28">
        <f t="shared" si="89"/>
        <v>2917814.5300000003</v>
      </c>
      <c r="O452" s="62"/>
      <c r="P452" s="62">
        <v>1242484.1200000001</v>
      </c>
      <c r="Q452" s="29"/>
      <c r="R452" s="29"/>
      <c r="S452" s="30"/>
      <c r="T452" s="31"/>
      <c r="U452" s="31"/>
      <c r="V452" s="30">
        <v>750843.59514580003</v>
      </c>
      <c r="W452" s="31"/>
      <c r="X452" s="31"/>
      <c r="Y452" s="30">
        <v>924486.8148542</v>
      </c>
      <c r="Z452" s="31"/>
      <c r="AA452" s="31"/>
      <c r="AB452" s="107"/>
      <c r="AC452" s="108"/>
      <c r="AD452" s="108"/>
      <c r="AE452" s="62">
        <v>865.45074256588498</v>
      </c>
      <c r="AF452" s="62">
        <v>865.45074256588498</v>
      </c>
      <c r="AG452" s="33">
        <v>2023</v>
      </c>
      <c r="AH452" s="1">
        <f>1278728.82-485172.67</f>
        <v>793556.15000000014</v>
      </c>
      <c r="AI452" s="5">
        <f t="shared" si="97"/>
        <v>450769.61999999994</v>
      </c>
      <c r="AJ452" s="5">
        <f>+(K452*10+L452*20)*12*30-175262.76</f>
        <v>15734253.239999998</v>
      </c>
      <c r="AL452" s="37">
        <f t="shared" si="98"/>
        <v>0</v>
      </c>
      <c r="AM452" s="30"/>
      <c r="AN452" s="30"/>
      <c r="AO452" s="30">
        <v>0</v>
      </c>
      <c r="AP452" s="30">
        <v>278729.45</v>
      </c>
      <c r="AQ452" s="30"/>
      <c r="AR452" s="30"/>
      <c r="AS452" s="30"/>
      <c r="AT452" s="30">
        <v>0</v>
      </c>
      <c r="AU452" s="30">
        <v>0</v>
      </c>
      <c r="AV452" s="30">
        <v>2639085.08</v>
      </c>
      <c r="AW452" s="30">
        <v>0</v>
      </c>
      <c r="AX452" s="30"/>
      <c r="AY452" s="30"/>
      <c r="AZ452" s="30"/>
      <c r="BA452" s="40"/>
      <c r="BB452" s="5">
        <f t="shared" si="93"/>
        <v>2917814.5300000003</v>
      </c>
    </row>
    <row r="453" spans="1:54" hidden="1">
      <c r="A453" s="10">
        <f t="shared" si="94"/>
        <v>434</v>
      </c>
      <c r="B453" s="12">
        <f>+B452+1</f>
        <v>221</v>
      </c>
      <c r="C453" s="101" t="s">
        <v>104</v>
      </c>
      <c r="D453" s="101" t="s">
        <v>105</v>
      </c>
      <c r="E453" s="102">
        <v>1984</v>
      </c>
      <c r="F453" s="102">
        <v>2010</v>
      </c>
      <c r="G453" s="102" t="s">
        <v>3</v>
      </c>
      <c r="H453" s="102">
        <v>5</v>
      </c>
      <c r="I453" s="102">
        <v>4</v>
      </c>
      <c r="J453" s="62">
        <v>3209.1</v>
      </c>
      <c r="K453" s="62">
        <v>1814.6</v>
      </c>
      <c r="L453" s="62">
        <v>635</v>
      </c>
      <c r="M453" s="103">
        <v>66</v>
      </c>
      <c r="N453" s="28">
        <f t="shared" si="89"/>
        <v>492037.06</v>
      </c>
      <c r="O453" s="62"/>
      <c r="P453" s="30">
        <v>6743.2399999999898</v>
      </c>
      <c r="Q453" s="31"/>
      <c r="R453" s="31"/>
      <c r="S453" s="30"/>
      <c r="T453" s="31"/>
      <c r="U453" s="31"/>
      <c r="V453" s="30">
        <v>485293.82</v>
      </c>
      <c r="W453" s="31"/>
      <c r="X453" s="31"/>
      <c r="Y453" s="30"/>
      <c r="Z453" s="31"/>
      <c r="AA453" s="31"/>
      <c r="AB453" s="107"/>
      <c r="AC453" s="108"/>
      <c r="AD453" s="108"/>
      <c r="AE453" s="30">
        <v>214.88336849628899</v>
      </c>
      <c r="AF453" s="30">
        <v>214.88336849628899</v>
      </c>
      <c r="AG453" s="33">
        <v>2023</v>
      </c>
      <c r="AH453" s="1">
        <v>1304593.93</v>
      </c>
      <c r="AI453" s="5">
        <f t="shared" si="97"/>
        <v>314629.2</v>
      </c>
      <c r="AJ453" s="5">
        <f>+(K453*10+L453*20)*12*30</f>
        <v>11104560</v>
      </c>
      <c r="AL453" s="37">
        <f t="shared" si="98"/>
        <v>0</v>
      </c>
      <c r="AM453" s="30"/>
      <c r="AN453" s="30"/>
      <c r="AO453" s="30"/>
      <c r="AP453" s="30">
        <v>492037.06</v>
      </c>
      <c r="AQ453" s="30">
        <v>0</v>
      </c>
      <c r="AR453" s="30"/>
      <c r="AS453" s="30"/>
      <c r="AT453" s="30">
        <v>0</v>
      </c>
      <c r="AU453" s="30">
        <v>0</v>
      </c>
      <c r="AV453" s="30">
        <v>0</v>
      </c>
      <c r="AW453" s="30">
        <v>0</v>
      </c>
      <c r="AX453" s="30">
        <v>0</v>
      </c>
      <c r="AY453" s="30"/>
      <c r="AZ453" s="30"/>
      <c r="BA453" s="40"/>
      <c r="BB453" s="5">
        <f t="shared" si="93"/>
        <v>492037.06</v>
      </c>
    </row>
    <row r="454" spans="1:54" hidden="1">
      <c r="A454" s="10">
        <f t="shared" si="94"/>
        <v>435</v>
      </c>
      <c r="B454" s="12">
        <f>+B453+1</f>
        <v>222</v>
      </c>
      <c r="C454" s="101" t="s">
        <v>104</v>
      </c>
      <c r="D454" s="101" t="s">
        <v>108</v>
      </c>
      <c r="E454" s="102">
        <v>1979</v>
      </c>
      <c r="F454" s="102">
        <v>2013</v>
      </c>
      <c r="G454" s="102" t="s">
        <v>3</v>
      </c>
      <c r="H454" s="102">
        <v>5</v>
      </c>
      <c r="I454" s="102">
        <v>4</v>
      </c>
      <c r="J454" s="62">
        <v>3313.8</v>
      </c>
      <c r="K454" s="62">
        <v>2402.9</v>
      </c>
      <c r="L454" s="62">
        <v>0</v>
      </c>
      <c r="M454" s="103">
        <v>83</v>
      </c>
      <c r="N454" s="28">
        <f t="shared" si="89"/>
        <v>422534</v>
      </c>
      <c r="O454" s="62"/>
      <c r="P454" s="30">
        <v>2800.7600000000102</v>
      </c>
      <c r="Q454" s="31"/>
      <c r="R454" s="31"/>
      <c r="S454" s="30"/>
      <c r="T454" s="31"/>
      <c r="U454" s="31"/>
      <c r="V454" s="30">
        <v>419733.24</v>
      </c>
      <c r="W454" s="31"/>
      <c r="X454" s="31"/>
      <c r="Y454" s="30"/>
      <c r="Z454" s="31"/>
      <c r="AA454" s="31"/>
      <c r="AB454" s="107"/>
      <c r="AC454" s="108"/>
      <c r="AD454" s="108"/>
      <c r="AE454" s="30">
        <v>194.12134447371901</v>
      </c>
      <c r="AF454" s="30">
        <v>194.12134447371901</v>
      </c>
      <c r="AG454" s="33">
        <v>2023</v>
      </c>
      <c r="AH454" s="1">
        <f>846724.36-198805.3544</f>
        <v>647919.00560000003</v>
      </c>
      <c r="AI454" s="5">
        <f t="shared" si="97"/>
        <v>245095.8</v>
      </c>
      <c r="AJ454" s="5">
        <f>+(K454*10+L454*20)*12*30-658098.6</f>
        <v>7992341.4000000004</v>
      </c>
      <c r="AL454" s="37">
        <f t="shared" si="98"/>
        <v>0</v>
      </c>
      <c r="AM454" s="30"/>
      <c r="AN454" s="30"/>
      <c r="AO454" s="30"/>
      <c r="AP454" s="30">
        <v>422534</v>
      </c>
      <c r="AQ454" s="30">
        <v>0</v>
      </c>
      <c r="AR454" s="30"/>
      <c r="AS454" s="30"/>
      <c r="AT454" s="30">
        <v>0</v>
      </c>
      <c r="AU454" s="30">
        <v>0</v>
      </c>
      <c r="AV454" s="30">
        <v>0</v>
      </c>
      <c r="AW454" s="30">
        <v>0</v>
      </c>
      <c r="AX454" s="30">
        <v>0</v>
      </c>
      <c r="AY454" s="30"/>
      <c r="AZ454" s="30"/>
      <c r="BA454" s="40"/>
      <c r="BB454" s="5">
        <f t="shared" si="93"/>
        <v>422534</v>
      </c>
    </row>
    <row r="455" spans="1:54" hidden="1">
      <c r="A455" s="10">
        <f t="shared" si="94"/>
        <v>436</v>
      </c>
      <c r="B455" s="12">
        <f>+B454+1</f>
        <v>223</v>
      </c>
      <c r="C455" s="101" t="s">
        <v>104</v>
      </c>
      <c r="D455" s="101" t="s">
        <v>110</v>
      </c>
      <c r="E455" s="102">
        <v>1983</v>
      </c>
      <c r="F455" s="102">
        <v>2013</v>
      </c>
      <c r="G455" s="102" t="s">
        <v>3</v>
      </c>
      <c r="H455" s="102">
        <v>5</v>
      </c>
      <c r="I455" s="102">
        <v>4</v>
      </c>
      <c r="J455" s="62">
        <v>3317.4</v>
      </c>
      <c r="K455" s="62">
        <v>2427.1</v>
      </c>
      <c r="L455" s="62">
        <v>0</v>
      </c>
      <c r="M455" s="103">
        <v>71</v>
      </c>
      <c r="N455" s="28">
        <f t="shared" si="89"/>
        <v>548136.26</v>
      </c>
      <c r="O455" s="62"/>
      <c r="P455" s="30"/>
      <c r="Q455" s="31"/>
      <c r="R455" s="31"/>
      <c r="S455" s="30"/>
      <c r="T455" s="31"/>
      <c r="U455" s="31"/>
      <c r="V455" s="30">
        <v>548136.26</v>
      </c>
      <c r="W455" s="31"/>
      <c r="X455" s="31"/>
      <c r="Y455" s="30"/>
      <c r="Z455" s="31"/>
      <c r="AA455" s="31"/>
      <c r="AB455" s="30"/>
      <c r="AC455" s="32"/>
      <c r="AD455" s="32"/>
      <c r="AE455" s="62">
        <v>1644.3863048123101</v>
      </c>
      <c r="AF455" s="62">
        <v>1644.3863048123101</v>
      </c>
      <c r="AG455" s="33">
        <v>2023</v>
      </c>
      <c r="AH455" s="18">
        <f>701008.17</f>
        <v>701008.17</v>
      </c>
      <c r="AI455" s="5">
        <f t="shared" si="97"/>
        <v>247564.19999999998</v>
      </c>
      <c r="AJ455" s="5">
        <f>+(K455*10+L455*20)*12*30</f>
        <v>8737560</v>
      </c>
      <c r="AL455" s="37">
        <f t="shared" si="98"/>
        <v>0</v>
      </c>
      <c r="AM455" s="30">
        <v>0</v>
      </c>
      <c r="AN455" s="30">
        <v>0</v>
      </c>
      <c r="AO455" s="30"/>
      <c r="AP455" s="30">
        <v>548136.26</v>
      </c>
      <c r="AQ455" s="30">
        <v>0</v>
      </c>
      <c r="AR455" s="30"/>
      <c r="AS455" s="30"/>
      <c r="AT455" s="30">
        <v>0</v>
      </c>
      <c r="AU455" s="30">
        <v>0</v>
      </c>
      <c r="AV455" s="30">
        <v>0</v>
      </c>
      <c r="AW455" s="30">
        <v>0</v>
      </c>
      <c r="AX455" s="30">
        <v>0</v>
      </c>
      <c r="AY455" s="30"/>
      <c r="AZ455" s="30"/>
      <c r="BA455" s="40"/>
      <c r="BB455" s="5">
        <f t="shared" si="93"/>
        <v>548136.26</v>
      </c>
    </row>
    <row r="456" spans="1:54" hidden="1">
      <c r="A456" s="10">
        <f t="shared" si="94"/>
        <v>437</v>
      </c>
      <c r="B456" s="12" t="s">
        <v>96</v>
      </c>
      <c r="C456" s="12" t="s">
        <v>112</v>
      </c>
      <c r="D456" s="12" t="s">
        <v>113</v>
      </c>
      <c r="E456" s="102">
        <v>1984</v>
      </c>
      <c r="F456" s="102">
        <v>1984</v>
      </c>
      <c r="G456" s="102" t="s">
        <v>3</v>
      </c>
      <c r="H456" s="102">
        <v>5</v>
      </c>
      <c r="I456" s="102">
        <v>4</v>
      </c>
      <c r="J456" s="62">
        <v>3359.4</v>
      </c>
      <c r="K456" s="62">
        <v>2391.8000000000002</v>
      </c>
      <c r="L456" s="62">
        <v>553.20000000000005</v>
      </c>
      <c r="M456" s="103">
        <v>62</v>
      </c>
      <c r="N456" s="28">
        <f t="shared" si="89"/>
        <v>25027038.060000002</v>
      </c>
      <c r="O456" s="30"/>
      <c r="P456" s="30">
        <v>22977257.241377302</v>
      </c>
      <c r="Q456" s="31"/>
      <c r="R456" s="31"/>
      <c r="S456" s="30"/>
      <c r="T456" s="31"/>
      <c r="U456" s="31"/>
      <c r="V456" s="30">
        <v>532568.43999999994</v>
      </c>
      <c r="W456" s="31"/>
      <c r="X456" s="31"/>
      <c r="Y456" s="30">
        <v>20527.639999999701</v>
      </c>
      <c r="Z456" s="31"/>
      <c r="AA456" s="31"/>
      <c r="AB456" s="30">
        <v>1496684.7386227001</v>
      </c>
      <c r="AC456" s="32"/>
      <c r="AD456" s="32"/>
      <c r="AE456" s="62">
        <v>9447.5019991094505</v>
      </c>
      <c r="AF456" s="62">
        <v>9447.5019991094505</v>
      </c>
      <c r="AG456" s="33">
        <v>2023</v>
      </c>
      <c r="AH456" s="18">
        <f>1110865.63-V277</f>
        <v>-1008162.0784741603</v>
      </c>
      <c r="AI456" s="5">
        <f t="shared" si="97"/>
        <v>356816.39999999997</v>
      </c>
      <c r="AJ456" s="5">
        <f>+(K456*10+L456*20)*12*30-3112059.45-Y277</f>
        <v>-2251565.0415257998</v>
      </c>
      <c r="AL456" s="37">
        <f t="shared" si="98"/>
        <v>0</v>
      </c>
      <c r="AM456" s="30"/>
      <c r="AN456" s="30"/>
      <c r="AO456" s="30"/>
      <c r="AP456" s="30"/>
      <c r="AQ456" s="30">
        <v>0</v>
      </c>
      <c r="AR456" s="30"/>
      <c r="AS456" s="30"/>
      <c r="AT456" s="30">
        <v>0</v>
      </c>
      <c r="AU456" s="30"/>
      <c r="AV456" s="30">
        <v>0</v>
      </c>
      <c r="AW456" s="30">
        <v>25027038.059999999</v>
      </c>
      <c r="AX456" s="30"/>
      <c r="AY456" s="30"/>
      <c r="AZ456" s="30"/>
      <c r="BA456" s="40"/>
      <c r="BB456" s="5">
        <f>N698-AL698</f>
        <v>2298025.2799999998</v>
      </c>
    </row>
    <row r="457" spans="1:54" hidden="1">
      <c r="A457" s="10">
        <f t="shared" si="94"/>
        <v>438</v>
      </c>
      <c r="B457" s="12" t="s">
        <v>96</v>
      </c>
      <c r="C457" s="12" t="s">
        <v>116</v>
      </c>
      <c r="D457" s="12" t="s">
        <v>117</v>
      </c>
      <c r="E457" s="102">
        <v>1994</v>
      </c>
      <c r="F457" s="102">
        <v>2015</v>
      </c>
      <c r="G457" s="102" t="s">
        <v>3</v>
      </c>
      <c r="H457" s="102">
        <v>9</v>
      </c>
      <c r="I457" s="102">
        <v>4</v>
      </c>
      <c r="J457" s="62">
        <v>9059.2999999999993</v>
      </c>
      <c r="K457" s="62">
        <v>7958.2</v>
      </c>
      <c r="L457" s="62">
        <v>49</v>
      </c>
      <c r="M457" s="103">
        <v>376</v>
      </c>
      <c r="N457" s="28">
        <f t="shared" si="89"/>
        <v>93897055.49000001</v>
      </c>
      <c r="O457" s="30"/>
      <c r="P457" s="30">
        <v>57714537.439999998</v>
      </c>
      <c r="Q457" s="31"/>
      <c r="R457" s="31"/>
      <c r="S457" s="30"/>
      <c r="T457" s="31"/>
      <c r="U457" s="31"/>
      <c r="V457" s="30">
        <v>2626184.12</v>
      </c>
      <c r="W457" s="31"/>
      <c r="X457" s="31"/>
      <c r="Y457" s="30">
        <v>27140016.4937406</v>
      </c>
      <c r="Z457" s="31"/>
      <c r="AA457" s="31"/>
      <c r="AB457" s="30">
        <v>6416317.4362594197</v>
      </c>
      <c r="AC457" s="32"/>
      <c r="AD457" s="32"/>
      <c r="AE457" s="30">
        <v>11258.2479020311</v>
      </c>
      <c r="AF457" s="30">
        <v>1384.2830200640001</v>
      </c>
      <c r="AG457" s="33">
        <v>2023</v>
      </c>
      <c r="AH457" s="98">
        <f>5650783.47-5939473.29</f>
        <v>-288689.8200000003</v>
      </c>
      <c r="AI457" s="5">
        <f>+(K457*13.95+L457*23.65)*12*0.85</f>
        <v>1144192.548</v>
      </c>
      <c r="AJ457" s="5">
        <f>+(K457*13.95+L457*23.65)*12*30</f>
        <v>40383266.399999999</v>
      </c>
      <c r="AL457" s="112">
        <f t="shared" si="98"/>
        <v>0</v>
      </c>
      <c r="AM457" s="30"/>
      <c r="AN457" s="30"/>
      <c r="AO457" s="30"/>
      <c r="AP457" s="30"/>
      <c r="AQ457" s="30">
        <v>0</v>
      </c>
      <c r="AR457" s="30"/>
      <c r="AS457" s="30"/>
      <c r="AT457" s="30"/>
      <c r="AU457" s="30">
        <v>0</v>
      </c>
      <c r="AV457" s="30">
        <v>0</v>
      </c>
      <c r="AW457" s="30">
        <v>93307087.400000006</v>
      </c>
      <c r="AX457" s="30">
        <v>0</v>
      </c>
      <c r="AY457" s="30">
        <v>579968.09</v>
      </c>
      <c r="AZ457" s="30">
        <v>10000</v>
      </c>
      <c r="BA457" s="40"/>
      <c r="BB457" s="5"/>
    </row>
    <row r="458" spans="1:54" hidden="1">
      <c r="A458" s="10">
        <f t="shared" si="94"/>
        <v>439</v>
      </c>
      <c r="B458" s="12">
        <v>224</v>
      </c>
      <c r="C458" s="101" t="s">
        <v>116</v>
      </c>
      <c r="D458" s="101" t="s">
        <v>119</v>
      </c>
      <c r="E458" s="102">
        <v>1989</v>
      </c>
      <c r="F458" s="102">
        <v>2014</v>
      </c>
      <c r="G458" s="102" t="s">
        <v>3</v>
      </c>
      <c r="H458" s="102">
        <v>9</v>
      </c>
      <c r="I458" s="102">
        <v>3</v>
      </c>
      <c r="J458" s="62">
        <v>6626.1</v>
      </c>
      <c r="K458" s="62">
        <v>6102.5</v>
      </c>
      <c r="L458" s="62">
        <v>67.8</v>
      </c>
      <c r="M458" s="103">
        <v>265</v>
      </c>
      <c r="N458" s="28">
        <f t="shared" si="89"/>
        <v>5271196.8599999994</v>
      </c>
      <c r="O458" s="30"/>
      <c r="P458" s="30">
        <v>3779579.42</v>
      </c>
      <c r="Q458" s="31"/>
      <c r="R458" s="31"/>
      <c r="S458" s="30"/>
      <c r="T458" s="31"/>
      <c r="U458" s="31"/>
      <c r="V458" s="30">
        <v>186090.51</v>
      </c>
      <c r="W458" s="31"/>
      <c r="X458" s="31"/>
      <c r="Y458" s="30">
        <v>1305526.93</v>
      </c>
      <c r="Z458" s="31"/>
      <c r="AA458" s="31"/>
      <c r="AB458" s="30"/>
      <c r="AC458" s="32"/>
      <c r="AD458" s="32"/>
      <c r="AE458" s="30">
        <v>3812.0594102356699</v>
      </c>
      <c r="AF458" s="30">
        <v>3812.0594102356699</v>
      </c>
      <c r="AG458" s="33">
        <v>2023</v>
      </c>
      <c r="AH458" s="98">
        <f>3444334.74-V154</f>
        <v>2166388.4700000002</v>
      </c>
      <c r="AI458" s="5">
        <f>+(K458*13.29+L458*22.52)*12*0.85</f>
        <v>842816.62619999982</v>
      </c>
      <c r="AJ458" s="5">
        <f>+(K458*13.29+L458*22.52)*12*30-Y154</f>
        <v>0</v>
      </c>
      <c r="AL458" s="37">
        <f t="shared" si="98"/>
        <v>0</v>
      </c>
      <c r="AM458" s="30"/>
      <c r="AN458" s="30"/>
      <c r="AO458" s="30"/>
      <c r="AP458" s="30">
        <v>5271196.8600000003</v>
      </c>
      <c r="AQ458" s="30">
        <v>0</v>
      </c>
      <c r="AR458" s="30"/>
      <c r="AS458" s="30"/>
      <c r="AT458" s="30">
        <v>0</v>
      </c>
      <c r="AU458" s="30"/>
      <c r="AV458" s="30">
        <v>0</v>
      </c>
      <c r="AW458" s="30"/>
      <c r="AX458" s="30"/>
      <c r="AY458" s="30"/>
      <c r="AZ458" s="30"/>
      <c r="BA458" s="40"/>
      <c r="BB458" s="5"/>
    </row>
    <row r="459" spans="1:54" hidden="1">
      <c r="A459" s="10">
        <f t="shared" si="94"/>
        <v>440</v>
      </c>
      <c r="B459" s="113">
        <v>225</v>
      </c>
      <c r="C459" s="101" t="s">
        <v>116</v>
      </c>
      <c r="D459" s="101" t="s">
        <v>121</v>
      </c>
      <c r="E459" s="102">
        <v>2000</v>
      </c>
      <c r="F459" s="102">
        <v>2013</v>
      </c>
      <c r="G459" s="102" t="s">
        <v>3</v>
      </c>
      <c r="H459" s="102">
        <v>9</v>
      </c>
      <c r="I459" s="102">
        <v>6</v>
      </c>
      <c r="J459" s="62">
        <v>12225.7</v>
      </c>
      <c r="K459" s="62">
        <v>12225.7</v>
      </c>
      <c r="L459" s="62">
        <v>0</v>
      </c>
      <c r="M459" s="103">
        <v>575</v>
      </c>
      <c r="N459" s="28">
        <f t="shared" si="89"/>
        <v>18000110.390000001</v>
      </c>
      <c r="O459" s="62"/>
      <c r="P459" s="62"/>
      <c r="Q459" s="29"/>
      <c r="R459" s="29"/>
      <c r="S459" s="62"/>
      <c r="T459" s="29"/>
      <c r="U459" s="29"/>
      <c r="V459" s="62">
        <v>10608888.593</v>
      </c>
      <c r="W459" s="29"/>
      <c r="X459" s="29"/>
      <c r="Y459" s="62">
        <v>7391221.7970000003</v>
      </c>
      <c r="Z459" s="29"/>
      <c r="AA459" s="29"/>
      <c r="AB459" s="62"/>
      <c r="AC459" s="106"/>
      <c r="AD459" s="106"/>
      <c r="AE459" s="62">
        <v>2096.1008367619002</v>
      </c>
      <c r="AF459" s="62">
        <v>1390.2830200640001</v>
      </c>
      <c r="AG459" s="33">
        <v>2023</v>
      </c>
      <c r="AH459" s="98">
        <v>8869293.7400000002</v>
      </c>
      <c r="AI459" s="5">
        <f>+(K459*13.95+L459*23.65)*12*0.85</f>
        <v>1739594.8530000001</v>
      </c>
      <c r="AJ459" s="5">
        <f>+(K459*13.95+L459*23.65)*12*30</f>
        <v>61397465.400000006</v>
      </c>
      <c r="AL459" s="112">
        <f t="shared" si="98"/>
        <v>0</v>
      </c>
      <c r="AM459" s="62"/>
      <c r="AN459" s="62"/>
      <c r="AO459" s="62"/>
      <c r="AP459" s="62"/>
      <c r="AQ459" s="62"/>
      <c r="AR459" s="62"/>
      <c r="AS459" s="62"/>
      <c r="AT459" s="62">
        <v>16975058.390000001</v>
      </c>
      <c r="AU459" s="62"/>
      <c r="AV459" s="62"/>
      <c r="AW459" s="62"/>
      <c r="AX459" s="30"/>
      <c r="AY459" s="30">
        <v>768789</v>
      </c>
      <c r="AZ459" s="30">
        <v>256263</v>
      </c>
      <c r="BA459" s="40"/>
      <c r="BB459" s="5"/>
    </row>
    <row r="460" spans="1:54" hidden="1">
      <c r="A460" s="10">
        <f t="shared" si="94"/>
        <v>441</v>
      </c>
      <c r="B460" s="12">
        <v>226</v>
      </c>
      <c r="C460" s="101" t="s">
        <v>116</v>
      </c>
      <c r="D460" s="101" t="s">
        <v>123</v>
      </c>
      <c r="E460" s="102">
        <v>1970</v>
      </c>
      <c r="F460" s="102">
        <v>2015</v>
      </c>
      <c r="G460" s="102" t="s">
        <v>3</v>
      </c>
      <c r="H460" s="102">
        <v>4</v>
      </c>
      <c r="I460" s="102">
        <v>3</v>
      </c>
      <c r="J460" s="62">
        <v>2337.1999999999998</v>
      </c>
      <c r="K460" s="62">
        <v>1988.4</v>
      </c>
      <c r="L460" s="62">
        <v>46.7</v>
      </c>
      <c r="M460" s="103">
        <v>101</v>
      </c>
      <c r="N460" s="28">
        <f t="shared" si="89"/>
        <v>13923869.550000001</v>
      </c>
      <c r="O460" s="30"/>
      <c r="P460" s="30">
        <v>6918478.8700000001</v>
      </c>
      <c r="Q460" s="31"/>
      <c r="R460" s="31"/>
      <c r="S460" s="30"/>
      <c r="T460" s="31"/>
      <c r="U460" s="31"/>
      <c r="V460" s="30">
        <v>1648380.9534551699</v>
      </c>
      <c r="W460" s="31"/>
      <c r="X460" s="31"/>
      <c r="Y460" s="30">
        <v>5357009.72654483</v>
      </c>
      <c r="Z460" s="31"/>
      <c r="AA460" s="31"/>
      <c r="AB460" s="30"/>
      <c r="AC460" s="32"/>
      <c r="AD460" s="32"/>
      <c r="AE460" s="30">
        <v>10577.7377528377</v>
      </c>
      <c r="AF460" s="30">
        <v>10577.7377528377</v>
      </c>
      <c r="AG460" s="33">
        <v>2023</v>
      </c>
      <c r="AH460" s="1">
        <v>960970.65</v>
      </c>
      <c r="AI460" s="5">
        <f>+(K460*10+L460*20)*12*0.85</f>
        <v>212343.6</v>
      </c>
      <c r="AJ460" s="5">
        <f>+(K460*10+L460*20)*12*30</f>
        <v>7494480</v>
      </c>
      <c r="AL460" s="37">
        <f t="shared" si="98"/>
        <v>0</v>
      </c>
      <c r="AM460" s="30">
        <v>6125064</v>
      </c>
      <c r="AN460" s="30">
        <v>2367725.5699999998</v>
      </c>
      <c r="AO460" s="30"/>
      <c r="AP460" s="30"/>
      <c r="AQ460" s="30">
        <v>0</v>
      </c>
      <c r="AR460" s="30"/>
      <c r="AS460" s="30"/>
      <c r="AT460" s="30">
        <v>0</v>
      </c>
      <c r="AU460" s="30">
        <v>5431079.9800000004</v>
      </c>
      <c r="AV460" s="30">
        <v>0</v>
      </c>
      <c r="AW460" s="30">
        <v>0</v>
      </c>
      <c r="AX460" s="30">
        <v>0</v>
      </c>
      <c r="AY460" s="30"/>
      <c r="AZ460" s="30"/>
      <c r="BA460" s="40"/>
      <c r="BB460" s="5"/>
    </row>
    <row r="461" spans="1:54" hidden="1">
      <c r="A461" s="10">
        <f t="shared" si="94"/>
        <v>442</v>
      </c>
      <c r="B461" s="12" t="s">
        <v>96</v>
      </c>
      <c r="C461" s="12" t="s">
        <v>116</v>
      </c>
      <c r="D461" s="12" t="s">
        <v>125</v>
      </c>
      <c r="E461" s="102">
        <v>1986</v>
      </c>
      <c r="F461" s="102">
        <v>2015</v>
      </c>
      <c r="G461" s="102" t="s">
        <v>3</v>
      </c>
      <c r="H461" s="102">
        <v>9</v>
      </c>
      <c r="I461" s="102">
        <v>1</v>
      </c>
      <c r="J461" s="62">
        <v>2147.3000000000002</v>
      </c>
      <c r="K461" s="62">
        <v>1765</v>
      </c>
      <c r="L461" s="62">
        <v>118.1</v>
      </c>
      <c r="M461" s="103">
        <v>71</v>
      </c>
      <c r="N461" s="28">
        <f t="shared" si="89"/>
        <v>2593578.2999999998</v>
      </c>
      <c r="O461" s="30"/>
      <c r="P461" s="30">
        <v>1436340.71</v>
      </c>
      <c r="Q461" s="31"/>
      <c r="R461" s="31"/>
      <c r="S461" s="30"/>
      <c r="T461" s="31"/>
      <c r="U461" s="31"/>
      <c r="V461" s="30"/>
      <c r="W461" s="31"/>
      <c r="X461" s="31"/>
      <c r="Y461" s="30">
        <v>1157237.5900000001</v>
      </c>
      <c r="Z461" s="31"/>
      <c r="AA461" s="31"/>
      <c r="AB461" s="30"/>
      <c r="AC461" s="32"/>
      <c r="AD461" s="32"/>
      <c r="AE461" s="62">
        <v>10650.4915964548</v>
      </c>
      <c r="AF461" s="62">
        <v>10650.4915964548</v>
      </c>
      <c r="AG461" s="33">
        <v>2023</v>
      </c>
      <c r="AH461" s="1">
        <v>1032655.91</v>
      </c>
      <c r="AI461" s="5">
        <f>+(K461*13.29+L461*22.52)*12*0.85</f>
        <v>266387.91239999997</v>
      </c>
      <c r="AJ461" s="5">
        <f>+(K461*13.29+L461*22.52)*12*30</f>
        <v>9401926.3200000003</v>
      </c>
      <c r="AL461" s="37">
        <f t="shared" si="98"/>
        <v>0</v>
      </c>
      <c r="AM461" s="30"/>
      <c r="AN461" s="30"/>
      <c r="AO461" s="30"/>
      <c r="AP461" s="30"/>
      <c r="AQ461" s="30">
        <v>0</v>
      </c>
      <c r="AR461" s="30"/>
      <c r="AS461" s="30"/>
      <c r="AT461" s="30">
        <v>0</v>
      </c>
      <c r="AU461" s="30">
        <v>2593578.2999999998</v>
      </c>
      <c r="AV461" s="30">
        <v>0</v>
      </c>
      <c r="AW461" s="30">
        <v>0</v>
      </c>
      <c r="AX461" s="30"/>
      <c r="AY461" s="30"/>
      <c r="AZ461" s="30"/>
      <c r="BA461" s="40"/>
      <c r="BB461" s="5"/>
    </row>
    <row r="462" spans="1:54" hidden="1">
      <c r="A462" s="10">
        <f t="shared" si="94"/>
        <v>443</v>
      </c>
      <c r="B462" s="12" t="s">
        <v>96</v>
      </c>
      <c r="C462" s="12" t="s">
        <v>116</v>
      </c>
      <c r="D462" s="12" t="s">
        <v>127</v>
      </c>
      <c r="E462" s="102">
        <v>1991</v>
      </c>
      <c r="F462" s="102">
        <v>2015</v>
      </c>
      <c r="G462" s="102" t="s">
        <v>3</v>
      </c>
      <c r="H462" s="102">
        <v>9</v>
      </c>
      <c r="I462" s="102">
        <v>3</v>
      </c>
      <c r="J462" s="62">
        <v>6893.1</v>
      </c>
      <c r="K462" s="62">
        <v>6102.4</v>
      </c>
      <c r="L462" s="62">
        <v>65.5</v>
      </c>
      <c r="M462" s="103">
        <v>255</v>
      </c>
      <c r="N462" s="28">
        <f t="shared" si="89"/>
        <v>10877868</v>
      </c>
      <c r="O462" s="30"/>
      <c r="P462" s="30">
        <v>3554180.9</v>
      </c>
      <c r="Q462" s="31"/>
      <c r="R462" s="31"/>
      <c r="S462" s="30"/>
      <c r="T462" s="31"/>
      <c r="U462" s="31"/>
      <c r="V462" s="30">
        <v>952068.37</v>
      </c>
      <c r="W462" s="31"/>
      <c r="X462" s="31"/>
      <c r="Y462" s="30">
        <v>6371618.7300000004</v>
      </c>
      <c r="Z462" s="31"/>
      <c r="AA462" s="31"/>
      <c r="AB462" s="30"/>
      <c r="AC462" s="32"/>
      <c r="AD462" s="32"/>
      <c r="AE462" s="62">
        <v>6681.5848132589499</v>
      </c>
      <c r="AF462" s="62">
        <v>6681.5848132589499</v>
      </c>
      <c r="AG462" s="33">
        <v>2023</v>
      </c>
      <c r="AH462" s="18">
        <f>3490024.25</f>
        <v>3490024.25</v>
      </c>
      <c r="AI462" s="5">
        <f>+(K462*13.29+L462*22.52)*12*0.85</f>
        <v>842274.75119999982</v>
      </c>
      <c r="AJ462" s="5">
        <f>+(K462*13.29+L462*22.52)*12*30</f>
        <v>29727344.159999996</v>
      </c>
      <c r="AL462" s="37">
        <f t="shared" si="98"/>
        <v>0</v>
      </c>
      <c r="AM462" s="30">
        <v>5809151.5899999999</v>
      </c>
      <c r="AN462" s="30">
        <v>5068716.41</v>
      </c>
      <c r="AO462" s="30"/>
      <c r="AP462" s="30"/>
      <c r="AQ462" s="30"/>
      <c r="AR462" s="30"/>
      <c r="AS462" s="30"/>
      <c r="AT462" s="30">
        <v>0</v>
      </c>
      <c r="AU462" s="30"/>
      <c r="AV462" s="30">
        <v>0</v>
      </c>
      <c r="AW462" s="30"/>
      <c r="AY462" s="30"/>
      <c r="AZ462" s="30"/>
      <c r="BA462" s="40"/>
      <c r="BB462" s="5"/>
    </row>
    <row r="463" spans="1:54" hidden="1">
      <c r="A463" s="10">
        <f t="shared" si="94"/>
        <v>444</v>
      </c>
      <c r="B463" s="12">
        <v>227</v>
      </c>
      <c r="C463" s="101" t="s">
        <v>116</v>
      </c>
      <c r="D463" s="101" t="s">
        <v>129</v>
      </c>
      <c r="E463" s="102">
        <v>1981</v>
      </c>
      <c r="F463" s="102">
        <v>2012</v>
      </c>
      <c r="G463" s="102" t="s">
        <v>3</v>
      </c>
      <c r="H463" s="102">
        <v>9</v>
      </c>
      <c r="I463" s="102">
        <v>1</v>
      </c>
      <c r="J463" s="62">
        <v>3186</v>
      </c>
      <c r="K463" s="62">
        <v>2438</v>
      </c>
      <c r="L463" s="62">
        <v>0</v>
      </c>
      <c r="M463" s="103">
        <v>147</v>
      </c>
      <c r="N463" s="28">
        <f t="shared" si="89"/>
        <v>13595928.309999982</v>
      </c>
      <c r="O463" s="62"/>
      <c r="P463" s="30">
        <v>373281.41480163101</v>
      </c>
      <c r="Q463" s="31"/>
      <c r="R463" s="31"/>
      <c r="S463" s="30"/>
      <c r="T463" s="31"/>
      <c r="U463" s="31"/>
      <c r="V463" s="30">
        <v>1671137.24773895</v>
      </c>
      <c r="W463" s="31"/>
      <c r="X463" s="31"/>
      <c r="Y463" s="30">
        <v>11551509.647459401</v>
      </c>
      <c r="Z463" s="31"/>
      <c r="AA463" s="31"/>
      <c r="AB463" s="30"/>
      <c r="AC463" s="32"/>
      <c r="AD463" s="32"/>
      <c r="AE463" s="62">
        <v>10006.3379510254</v>
      </c>
      <c r="AF463" s="62">
        <v>10006.3379510254</v>
      </c>
      <c r="AG463" s="33">
        <v>2023</v>
      </c>
      <c r="AH463" s="1">
        <v>1391149.44</v>
      </c>
      <c r="AI463" s="5">
        <f>+(K463*13.29+L463*22.52)*12*0.85</f>
        <v>330490.40399999998</v>
      </c>
      <c r="AJ463" s="5">
        <f>+(K463*13.29+L463*22.52)*12*30</f>
        <v>11664367.199999999</v>
      </c>
      <c r="AL463" s="37">
        <f t="shared" si="98"/>
        <v>0</v>
      </c>
      <c r="AM463" s="30"/>
      <c r="AN463" s="30"/>
      <c r="AO463" s="30"/>
      <c r="AP463" s="30"/>
      <c r="AQ463" s="30"/>
      <c r="AR463" s="30"/>
      <c r="AS463" s="30"/>
      <c r="AT463" s="30"/>
      <c r="AU463" s="30">
        <v>0</v>
      </c>
      <c r="AV463" s="30">
        <v>0</v>
      </c>
      <c r="AW463" s="30">
        <v>13459169.380000001</v>
      </c>
      <c r="AX463" s="30"/>
      <c r="AY463" s="30"/>
      <c r="AZ463" s="30"/>
      <c r="BA463" s="109">
        <v>136758.93</v>
      </c>
      <c r="BB463" s="5"/>
    </row>
    <row r="464" spans="1:54" hidden="1">
      <c r="A464" s="10">
        <f t="shared" si="94"/>
        <v>445</v>
      </c>
      <c r="B464" s="12">
        <v>228</v>
      </c>
      <c r="C464" s="101" t="s">
        <v>116</v>
      </c>
      <c r="D464" s="101" t="s">
        <v>131</v>
      </c>
      <c r="E464" s="102">
        <v>1972</v>
      </c>
      <c r="F464" s="102">
        <v>2013</v>
      </c>
      <c r="G464" s="102" t="s">
        <v>3</v>
      </c>
      <c r="H464" s="102">
        <v>4</v>
      </c>
      <c r="I464" s="102">
        <v>6</v>
      </c>
      <c r="J464" s="62">
        <v>4437.8999999999996</v>
      </c>
      <c r="K464" s="62">
        <v>4088.2</v>
      </c>
      <c r="L464" s="62">
        <v>0</v>
      </c>
      <c r="M464" s="103">
        <v>207</v>
      </c>
      <c r="N464" s="28">
        <f t="shared" si="89"/>
        <v>11006074.42</v>
      </c>
      <c r="O464" s="62"/>
      <c r="P464" s="30">
        <v>0</v>
      </c>
      <c r="Q464" s="31"/>
      <c r="R464" s="31"/>
      <c r="S464" s="30"/>
      <c r="T464" s="31"/>
      <c r="U464" s="31"/>
      <c r="V464" s="30">
        <v>2349964.75</v>
      </c>
      <c r="W464" s="31"/>
      <c r="X464" s="31"/>
      <c r="Y464" s="30">
        <v>8656109.6699999999</v>
      </c>
      <c r="Z464" s="31"/>
      <c r="AA464" s="31"/>
      <c r="AB464" s="107"/>
      <c r="AC464" s="108"/>
      <c r="AD464" s="108"/>
      <c r="AE464" s="62">
        <v>3210.50449477241</v>
      </c>
      <c r="AF464" s="62">
        <v>3210.50449477241</v>
      </c>
      <c r="AG464" s="33">
        <v>2023</v>
      </c>
      <c r="AH464" s="1">
        <v>1932968.35</v>
      </c>
      <c r="AI464" s="5">
        <f>+(K464*10+L464*20)*12*0.85</f>
        <v>416996.39999999997</v>
      </c>
      <c r="AJ464" s="5">
        <f>+(K464*10+L464*20)*12*30</f>
        <v>14717520</v>
      </c>
      <c r="AL464" s="37">
        <f t="shared" si="98"/>
        <v>0</v>
      </c>
      <c r="AM464" s="30">
        <v>11006074.42</v>
      </c>
      <c r="AN464" s="30"/>
      <c r="AO464" s="30"/>
      <c r="AP464" s="30"/>
      <c r="AQ464" s="30">
        <v>0</v>
      </c>
      <c r="AR464" s="30"/>
      <c r="AS464" s="30"/>
      <c r="AT464" s="30">
        <v>0</v>
      </c>
      <c r="AU464" s="30">
        <v>0</v>
      </c>
      <c r="AV464" s="30">
        <v>0</v>
      </c>
      <c r="AW464" s="30">
        <v>0</v>
      </c>
      <c r="AX464" s="30">
        <v>0</v>
      </c>
      <c r="AY464" s="30"/>
      <c r="AZ464" s="30"/>
      <c r="BA464" s="40"/>
      <c r="BB464" s="5"/>
    </row>
    <row r="465" spans="1:54" hidden="1">
      <c r="A465" s="10">
        <f t="shared" si="94"/>
        <v>446</v>
      </c>
      <c r="B465" s="12" t="s">
        <v>96</v>
      </c>
      <c r="C465" s="101" t="s">
        <v>116</v>
      </c>
      <c r="D465" s="101" t="s">
        <v>133</v>
      </c>
      <c r="E465" s="102">
        <v>1993</v>
      </c>
      <c r="F465" s="102">
        <v>2014</v>
      </c>
      <c r="G465" s="102" t="s">
        <v>3</v>
      </c>
      <c r="H465" s="102">
        <v>9</v>
      </c>
      <c r="I465" s="102">
        <v>1</v>
      </c>
      <c r="J465" s="62">
        <v>2553.4</v>
      </c>
      <c r="K465" s="62">
        <v>2128.8000000000002</v>
      </c>
      <c r="L465" s="62">
        <v>0</v>
      </c>
      <c r="M465" s="103">
        <v>78</v>
      </c>
      <c r="N465" s="28">
        <f t="shared" si="89"/>
        <v>9324892.6799999997</v>
      </c>
      <c r="O465" s="62"/>
      <c r="P465" s="30">
        <v>882022.34999999905</v>
      </c>
      <c r="Q465" s="31"/>
      <c r="R465" s="31"/>
      <c r="S465" s="30"/>
      <c r="T465" s="31"/>
      <c r="U465" s="31"/>
      <c r="V465" s="30">
        <v>555476.24</v>
      </c>
      <c r="W465" s="31"/>
      <c r="X465" s="31"/>
      <c r="Y465" s="30">
        <v>7887394.0899999999</v>
      </c>
      <c r="Z465" s="31"/>
      <c r="AA465" s="31"/>
      <c r="AB465" s="30"/>
      <c r="AC465" s="32"/>
      <c r="AD465" s="32"/>
      <c r="AE465" s="62">
        <v>10063.5427054129</v>
      </c>
      <c r="AF465" s="62">
        <v>10063.5427054129</v>
      </c>
      <c r="AG465" s="33">
        <v>2023</v>
      </c>
      <c r="AH465" s="1">
        <f>1103126.79-79353.74-714183.7328</f>
        <v>309589.31720000005</v>
      </c>
      <c r="AI465" s="5">
        <f>+(K465*13.29+L465*22.52)*12*0.85</f>
        <v>288575.87039999996</v>
      </c>
      <c r="AJ465" s="5">
        <f>+(K465*13.95+L465*23.65)*12*30-300950.5-2600695.91</f>
        <v>7789187.1899999995</v>
      </c>
      <c r="AL465" s="37">
        <f t="shared" si="98"/>
        <v>0</v>
      </c>
      <c r="AM465" s="30"/>
      <c r="AN465" s="30"/>
      <c r="AO465" s="30"/>
      <c r="AP465" s="30"/>
      <c r="AQ465" s="30"/>
      <c r="AR465" s="30"/>
      <c r="AS465" s="30"/>
      <c r="AT465" s="30">
        <v>0</v>
      </c>
      <c r="AU465" s="30">
        <v>0</v>
      </c>
      <c r="AV465" s="30">
        <v>0</v>
      </c>
      <c r="AW465" s="30">
        <v>9226685.7799999993</v>
      </c>
      <c r="AX465" s="30"/>
      <c r="AY465" s="30"/>
      <c r="AZ465" s="30"/>
      <c r="BA465" s="109">
        <v>98206.9</v>
      </c>
      <c r="BB465" s="5"/>
    </row>
    <row r="466" spans="1:54" hidden="1">
      <c r="A466" s="10">
        <f t="shared" si="94"/>
        <v>447</v>
      </c>
      <c r="B466" s="12" t="s">
        <v>96</v>
      </c>
      <c r="C466" s="101" t="s">
        <v>135</v>
      </c>
      <c r="D466" s="12" t="s">
        <v>136</v>
      </c>
      <c r="E466" s="102">
        <v>1987</v>
      </c>
      <c r="F466" s="102">
        <v>1987</v>
      </c>
      <c r="G466" s="102" t="s">
        <v>3</v>
      </c>
      <c r="H466" s="102">
        <v>5</v>
      </c>
      <c r="I466" s="102">
        <v>4</v>
      </c>
      <c r="J466" s="62">
        <v>4891.3999999999996</v>
      </c>
      <c r="K466" s="62">
        <v>4293.1000000000004</v>
      </c>
      <c r="L466" s="62">
        <v>598.29999999999995</v>
      </c>
      <c r="M466" s="103">
        <v>199</v>
      </c>
      <c r="N466" s="28">
        <f t="shared" ref="N466:N478" si="99">SUM(P466:AB466)</f>
        <v>17830898.719999999</v>
      </c>
      <c r="O466" s="30"/>
      <c r="P466" s="30">
        <v>7316300.2400000002</v>
      </c>
      <c r="Q466" s="31"/>
      <c r="R466" s="31"/>
      <c r="S466" s="30"/>
      <c r="T466" s="31"/>
      <c r="U466" s="31"/>
      <c r="V466" s="30"/>
      <c r="W466" s="31"/>
      <c r="X466" s="31"/>
      <c r="Y466" s="30">
        <v>10514598.48</v>
      </c>
      <c r="Z466" s="31"/>
      <c r="AA466" s="31"/>
      <c r="AB466" s="30"/>
      <c r="AC466" s="32"/>
      <c r="AD466" s="32"/>
      <c r="AE466" s="62">
        <v>5890.98496186998</v>
      </c>
      <c r="AF466" s="62">
        <v>5890.98496186998</v>
      </c>
      <c r="AG466" s="33">
        <v>2023</v>
      </c>
      <c r="AH466" s="1">
        <v>2008581.69</v>
      </c>
      <c r="AI466" s="5">
        <f t="shared" ref="AI466:AI478" si="100">+(K466*10+L466*20)*12*0.85</f>
        <v>559949.4</v>
      </c>
      <c r="AJ466" s="5">
        <f>+(K466*10+L466*20)*12*30</f>
        <v>19762920</v>
      </c>
      <c r="AL466" s="37">
        <f t="shared" si="98"/>
        <v>0</v>
      </c>
      <c r="AM466" s="30">
        <v>13314058.640000001</v>
      </c>
      <c r="AN466" s="30">
        <v>4516840.08</v>
      </c>
      <c r="AO466" s="30">
        <v>0</v>
      </c>
      <c r="AP466" s="30">
        <v>0</v>
      </c>
      <c r="AQ466" s="30">
        <v>0</v>
      </c>
      <c r="AR466" s="30"/>
      <c r="AS466" s="30"/>
      <c r="AT466" s="30">
        <v>0</v>
      </c>
      <c r="AU466" s="30"/>
      <c r="AV466" s="30">
        <v>0</v>
      </c>
      <c r="AW466" s="30">
        <v>0</v>
      </c>
      <c r="AX466" s="30">
        <v>0</v>
      </c>
      <c r="AY466" s="30"/>
      <c r="AZ466" s="30"/>
      <c r="BA466" s="40"/>
      <c r="BB466" s="5"/>
    </row>
    <row r="467" spans="1:54" hidden="1">
      <c r="A467" s="10">
        <f t="shared" si="94"/>
        <v>448</v>
      </c>
      <c r="B467" s="12">
        <v>229</v>
      </c>
      <c r="C467" s="101" t="s">
        <v>135</v>
      </c>
      <c r="D467" s="101" t="s">
        <v>138</v>
      </c>
      <c r="E467" s="102">
        <v>1986</v>
      </c>
      <c r="F467" s="102">
        <v>1986</v>
      </c>
      <c r="G467" s="102" t="s">
        <v>3</v>
      </c>
      <c r="H467" s="102">
        <v>5</v>
      </c>
      <c r="I467" s="102">
        <v>4</v>
      </c>
      <c r="J467" s="62">
        <v>4691.8999999999996</v>
      </c>
      <c r="K467" s="62">
        <v>4321.1000000000004</v>
      </c>
      <c r="L467" s="62">
        <v>298</v>
      </c>
      <c r="M467" s="103">
        <v>195</v>
      </c>
      <c r="N467" s="28">
        <f t="shared" si="99"/>
        <v>14344128.080000002</v>
      </c>
      <c r="O467" s="62"/>
      <c r="P467" s="30">
        <v>7020762.4800000004</v>
      </c>
      <c r="Q467" s="31"/>
      <c r="R467" s="31"/>
      <c r="S467" s="30"/>
      <c r="T467" s="31"/>
      <c r="U467" s="31"/>
      <c r="V467" s="30">
        <v>1322918.1599999999</v>
      </c>
      <c r="W467" s="31"/>
      <c r="X467" s="31"/>
      <c r="Y467" s="30">
        <v>6000447.4400000004</v>
      </c>
      <c r="Z467" s="31"/>
      <c r="AA467" s="31"/>
      <c r="AB467" s="30"/>
      <c r="AC467" s="32"/>
      <c r="AD467" s="32"/>
      <c r="AE467" s="62">
        <v>3693.1535671306101</v>
      </c>
      <c r="AF467" s="62">
        <v>3693.1535671306101</v>
      </c>
      <c r="AG467" s="33">
        <v>2023</v>
      </c>
      <c r="AH467" s="18">
        <f>1886055.9-V171</f>
        <v>821373.96</v>
      </c>
      <c r="AI467" s="5">
        <f t="shared" si="100"/>
        <v>501544.2</v>
      </c>
      <c r="AJ467" s="5">
        <f>+(K467*10+L467*20)*12*30-Y171</f>
        <v>7689755.25</v>
      </c>
      <c r="AL467" s="37">
        <f t="shared" si="98"/>
        <v>0</v>
      </c>
      <c r="AM467" s="30">
        <v>10307046.52</v>
      </c>
      <c r="AN467" s="30">
        <v>4037081.56</v>
      </c>
      <c r="AO467" s="30">
        <v>0</v>
      </c>
      <c r="AP467" s="30">
        <v>0</v>
      </c>
      <c r="AQ467" s="30">
        <v>0</v>
      </c>
      <c r="AR467" s="30"/>
      <c r="AS467" s="30"/>
      <c r="AT467" s="30">
        <v>0</v>
      </c>
      <c r="AU467" s="30"/>
      <c r="AV467" s="30">
        <v>0</v>
      </c>
      <c r="AW467" s="30">
        <v>0</v>
      </c>
      <c r="AX467" s="30">
        <v>0</v>
      </c>
      <c r="AY467" s="30"/>
      <c r="AZ467" s="30"/>
      <c r="BA467" s="40"/>
      <c r="BB467" s="5"/>
    </row>
    <row r="468" spans="1:54" hidden="1">
      <c r="A468" s="10">
        <f t="shared" si="94"/>
        <v>449</v>
      </c>
      <c r="B468" s="12">
        <v>230</v>
      </c>
      <c r="C468" s="12" t="s">
        <v>140</v>
      </c>
      <c r="D468" s="101" t="s">
        <v>141</v>
      </c>
      <c r="E468" s="120">
        <v>1982</v>
      </c>
      <c r="F468" s="120">
        <v>1982</v>
      </c>
      <c r="G468" s="120" t="s">
        <v>3</v>
      </c>
      <c r="H468" s="120">
        <v>5</v>
      </c>
      <c r="I468" s="120">
        <v>1</v>
      </c>
      <c r="J468" s="30">
        <v>982.9</v>
      </c>
      <c r="K468" s="30">
        <v>982.9</v>
      </c>
      <c r="L468" s="30">
        <v>0</v>
      </c>
      <c r="M468" s="121">
        <v>23</v>
      </c>
      <c r="N468" s="28">
        <f t="shared" si="99"/>
        <v>366422.22000000003</v>
      </c>
      <c r="O468" s="30"/>
      <c r="P468" s="30">
        <v>195479.78</v>
      </c>
      <c r="Q468" s="31"/>
      <c r="R468" s="31"/>
      <c r="S468" s="30"/>
      <c r="T468" s="31"/>
      <c r="U468" s="31"/>
      <c r="V468" s="30">
        <v>77872.800000000003</v>
      </c>
      <c r="W468" s="31"/>
      <c r="X468" s="31"/>
      <c r="Y468" s="30">
        <v>93069.64</v>
      </c>
      <c r="Z468" s="31"/>
      <c r="AA468" s="31"/>
      <c r="AB468" s="30"/>
      <c r="AC468" s="32"/>
      <c r="AD468" s="32"/>
      <c r="AE468" s="30">
        <v>1864.73306517836</v>
      </c>
      <c r="AF468" s="30">
        <v>1864.73306517836</v>
      </c>
      <c r="AG468" s="33">
        <v>2023</v>
      </c>
      <c r="AH468" s="18" t="e">
        <f>344430.27-#REF!</f>
        <v>#REF!</v>
      </c>
      <c r="AI468" s="5">
        <f t="shared" si="100"/>
        <v>100255.8</v>
      </c>
      <c r="AJ468" s="5" t="e">
        <f>+(K468*10+L468*20)*12*30-#REF!</f>
        <v>#REF!</v>
      </c>
      <c r="AL468" s="37">
        <f t="shared" si="98"/>
        <v>0</v>
      </c>
      <c r="AM468" s="62"/>
      <c r="AN468" s="30"/>
      <c r="AO468" s="30"/>
      <c r="AP468" s="30">
        <v>366422.22</v>
      </c>
      <c r="AQ468" s="30">
        <v>0</v>
      </c>
      <c r="AR468" s="30"/>
      <c r="AS468" s="30"/>
      <c r="AT468" s="30">
        <v>0</v>
      </c>
      <c r="AU468" s="30"/>
      <c r="AV468" s="30"/>
      <c r="AW468" s="30"/>
      <c r="AX468" s="30"/>
      <c r="AY468" s="30"/>
      <c r="AZ468" s="30"/>
      <c r="BA468" s="40"/>
      <c r="BB468" s="5"/>
    </row>
    <row r="469" spans="1:54" hidden="1">
      <c r="A469" s="10">
        <f t="shared" si="94"/>
        <v>450</v>
      </c>
      <c r="B469" s="12">
        <v>231</v>
      </c>
      <c r="C469" s="12" t="s">
        <v>140</v>
      </c>
      <c r="D469" s="12" t="s">
        <v>142</v>
      </c>
      <c r="E469" s="120">
        <v>1989</v>
      </c>
      <c r="F469" s="120">
        <v>2013</v>
      </c>
      <c r="G469" s="120" t="s">
        <v>3</v>
      </c>
      <c r="H469" s="120">
        <v>5</v>
      </c>
      <c r="I469" s="120">
        <v>3</v>
      </c>
      <c r="J469" s="30">
        <v>2867.1</v>
      </c>
      <c r="K469" s="30">
        <v>2862</v>
      </c>
      <c r="L469" s="30">
        <v>0</v>
      </c>
      <c r="M469" s="121">
        <v>82</v>
      </c>
      <c r="N469" s="28">
        <f t="shared" si="99"/>
        <v>3803871.2300000004</v>
      </c>
      <c r="O469" s="30"/>
      <c r="P469" s="30">
        <v>1559587.2043000001</v>
      </c>
      <c r="Q469" s="31"/>
      <c r="R469" s="31"/>
      <c r="S469" s="30"/>
      <c r="T469" s="31"/>
      <c r="U469" s="31"/>
      <c r="V469" s="30">
        <v>432993.52</v>
      </c>
      <c r="W469" s="31"/>
      <c r="X469" s="31"/>
      <c r="Y469" s="30">
        <v>1811290.5057000001</v>
      </c>
      <c r="Z469" s="31"/>
      <c r="AA469" s="31"/>
      <c r="AB469" s="30"/>
      <c r="AC469" s="32"/>
      <c r="AD469" s="32"/>
      <c r="AE469" s="30">
        <v>2696.6219328372999</v>
      </c>
      <c r="AF469" s="30">
        <v>2696.6219328372999</v>
      </c>
      <c r="AG469" s="33">
        <v>2023</v>
      </c>
      <c r="AH469" s="1">
        <v>853930.16</v>
      </c>
      <c r="AI469" s="5">
        <f t="shared" si="100"/>
        <v>291924</v>
      </c>
      <c r="AJ469" s="5">
        <f>+(K469*10+L469*20)*12*30</f>
        <v>10303200</v>
      </c>
      <c r="AL469" s="37">
        <f t="shared" si="98"/>
        <v>0</v>
      </c>
      <c r="AM469" s="62">
        <v>0</v>
      </c>
      <c r="AN469" s="30">
        <v>0</v>
      </c>
      <c r="AO469" s="30"/>
      <c r="AP469" s="30"/>
      <c r="AQ469" s="30">
        <v>0</v>
      </c>
      <c r="AR469" s="30"/>
      <c r="AS469" s="30"/>
      <c r="AT469" s="30">
        <v>0</v>
      </c>
      <c r="AU469" s="30">
        <v>3803871.23</v>
      </c>
      <c r="AV469" s="30">
        <v>0</v>
      </c>
      <c r="AW469" s="30">
        <v>0</v>
      </c>
      <c r="AX469" s="30"/>
      <c r="AY469" s="30"/>
      <c r="AZ469" s="30"/>
      <c r="BA469" s="40"/>
      <c r="BB469" s="5"/>
    </row>
    <row r="470" spans="1:54" hidden="1">
      <c r="A470" s="10">
        <f t="shared" si="94"/>
        <v>451</v>
      </c>
      <c r="B470" s="12">
        <v>232</v>
      </c>
      <c r="C470" s="12" t="s">
        <v>140</v>
      </c>
      <c r="D470" s="12" t="s">
        <v>144</v>
      </c>
      <c r="E470" s="120">
        <v>1971</v>
      </c>
      <c r="F470" s="120">
        <v>2012</v>
      </c>
      <c r="G470" s="120" t="s">
        <v>3</v>
      </c>
      <c r="H470" s="120">
        <v>4</v>
      </c>
      <c r="I470" s="120">
        <v>4</v>
      </c>
      <c r="J470" s="30">
        <v>2748.3</v>
      </c>
      <c r="K470" s="30">
        <v>2738.3</v>
      </c>
      <c r="L470" s="30">
        <v>0</v>
      </c>
      <c r="M470" s="121">
        <v>105</v>
      </c>
      <c r="N470" s="28">
        <f t="shared" si="99"/>
        <v>4188288.59</v>
      </c>
      <c r="O470" s="30"/>
      <c r="P470" s="30">
        <v>1034749.07</v>
      </c>
      <c r="Q470" s="31"/>
      <c r="R470" s="31"/>
      <c r="S470" s="30"/>
      <c r="T470" s="31"/>
      <c r="U470" s="31"/>
      <c r="V470" s="30">
        <v>464433.48</v>
      </c>
      <c r="W470" s="31"/>
      <c r="X470" s="31"/>
      <c r="Y470" s="30">
        <v>2689106.04</v>
      </c>
      <c r="Z470" s="31"/>
      <c r="AA470" s="31"/>
      <c r="AB470" s="30"/>
      <c r="AC470" s="32"/>
      <c r="AD470" s="32"/>
      <c r="AE470" s="30">
        <v>2250.2367697749801</v>
      </c>
      <c r="AF470" s="30">
        <v>2250.2367697749801</v>
      </c>
      <c r="AG470" s="33">
        <v>2023</v>
      </c>
      <c r="AH470" s="1">
        <v>971459.84</v>
      </c>
      <c r="AI470" s="5">
        <f t="shared" si="100"/>
        <v>279306.59999999998</v>
      </c>
      <c r="AJ470" s="5">
        <f>+(K470*10+L470*20)*12*30</f>
        <v>9857880</v>
      </c>
      <c r="AL470" s="37">
        <f t="shared" si="98"/>
        <v>0</v>
      </c>
      <c r="AM470" s="62">
        <v>0</v>
      </c>
      <c r="AN470" s="30">
        <v>0</v>
      </c>
      <c r="AO470" s="30"/>
      <c r="AP470" s="30">
        <v>1099685.3899999999</v>
      </c>
      <c r="AQ470" s="30">
        <v>0</v>
      </c>
      <c r="AR470" s="30"/>
      <c r="AS470" s="30"/>
      <c r="AT470" s="30">
        <v>0</v>
      </c>
      <c r="AU470" s="30">
        <v>3088603.2</v>
      </c>
      <c r="AV470" s="30">
        <v>0</v>
      </c>
      <c r="AW470" s="30"/>
      <c r="AX470" s="30"/>
      <c r="AY470" s="30"/>
      <c r="AZ470" s="30"/>
      <c r="BA470" s="40"/>
      <c r="BB470" s="5"/>
    </row>
    <row r="471" spans="1:54" hidden="1">
      <c r="A471" s="10">
        <f t="shared" si="94"/>
        <v>452</v>
      </c>
      <c r="B471" s="12">
        <f>+B470+1</f>
        <v>233</v>
      </c>
      <c r="C471" s="12" t="s">
        <v>140</v>
      </c>
      <c r="D471" s="12" t="s">
        <v>146</v>
      </c>
      <c r="E471" s="120">
        <v>1979</v>
      </c>
      <c r="F471" s="120">
        <v>2013</v>
      </c>
      <c r="G471" s="120" t="s">
        <v>3</v>
      </c>
      <c r="H471" s="120">
        <v>4</v>
      </c>
      <c r="I471" s="120">
        <v>2</v>
      </c>
      <c r="J471" s="30">
        <v>1304.3</v>
      </c>
      <c r="K471" s="30">
        <v>1304.3</v>
      </c>
      <c r="L471" s="30">
        <v>0</v>
      </c>
      <c r="M471" s="121">
        <v>47</v>
      </c>
      <c r="N471" s="28">
        <f t="shared" si="99"/>
        <v>4320197.0199999986</v>
      </c>
      <c r="O471" s="30"/>
      <c r="P471" s="30">
        <v>2179448.048</v>
      </c>
      <c r="Q471" s="31"/>
      <c r="R471" s="31"/>
      <c r="S471" s="30"/>
      <c r="T471" s="31"/>
      <c r="U471" s="31"/>
      <c r="V471" s="30"/>
      <c r="W471" s="31"/>
      <c r="X471" s="31"/>
      <c r="Y471" s="30">
        <v>1980036.6075841801</v>
      </c>
      <c r="Z471" s="31"/>
      <c r="AA471" s="31"/>
      <c r="AB471" s="30">
        <v>160712.364415819</v>
      </c>
      <c r="AC471" s="32"/>
      <c r="AD471" s="32"/>
      <c r="AE471" s="30">
        <v>6159.9478384599497</v>
      </c>
      <c r="AF471" s="30">
        <v>6159.9478384599497</v>
      </c>
      <c r="AG471" s="33">
        <v>2023</v>
      </c>
      <c r="AH471" s="18">
        <f>505122.22</f>
        <v>505122.22</v>
      </c>
      <c r="AI471" s="5">
        <f t="shared" si="100"/>
        <v>133038.6</v>
      </c>
      <c r="AJ471" s="5">
        <f>+(K471*10+L471*20)*12*30</f>
        <v>4695480</v>
      </c>
      <c r="AL471" s="37">
        <f t="shared" si="98"/>
        <v>0</v>
      </c>
      <c r="AM471" s="62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>
        <v>4320197.0199999996</v>
      </c>
      <c r="AY471" s="30"/>
      <c r="AZ471" s="30"/>
      <c r="BA471" s="40"/>
      <c r="BB471" s="5"/>
    </row>
    <row r="472" spans="1:54" hidden="1">
      <c r="A472" s="10">
        <f t="shared" si="94"/>
        <v>453</v>
      </c>
      <c r="B472" s="12">
        <v>234</v>
      </c>
      <c r="C472" s="12" t="s">
        <v>140</v>
      </c>
      <c r="D472" s="12" t="s">
        <v>148</v>
      </c>
      <c r="E472" s="120">
        <v>1975</v>
      </c>
      <c r="F472" s="120">
        <v>2010</v>
      </c>
      <c r="G472" s="120" t="s">
        <v>3</v>
      </c>
      <c r="H472" s="120">
        <v>4</v>
      </c>
      <c r="I472" s="120">
        <v>2</v>
      </c>
      <c r="J472" s="30">
        <v>1415.4</v>
      </c>
      <c r="K472" s="30">
        <v>1415.4</v>
      </c>
      <c r="L472" s="30">
        <v>0</v>
      </c>
      <c r="M472" s="121">
        <v>39</v>
      </c>
      <c r="N472" s="28">
        <f t="shared" si="99"/>
        <v>3298923.58</v>
      </c>
      <c r="O472" s="30"/>
      <c r="P472" s="30">
        <v>1410277.8660000099</v>
      </c>
      <c r="Q472" s="31"/>
      <c r="R472" s="31"/>
      <c r="S472" s="30"/>
      <c r="T472" s="31"/>
      <c r="U472" s="31"/>
      <c r="V472" s="30"/>
      <c r="W472" s="31"/>
      <c r="X472" s="31"/>
      <c r="Y472" s="30">
        <v>1888645.7139999899</v>
      </c>
      <c r="Z472" s="31"/>
      <c r="AA472" s="31"/>
      <c r="AB472" s="30"/>
      <c r="AC472" s="32"/>
      <c r="AD472" s="32"/>
      <c r="AE472" s="30">
        <v>6431.0933063492503</v>
      </c>
      <c r="AF472" s="30">
        <v>6431.0933063492503</v>
      </c>
      <c r="AG472" s="33">
        <v>2023</v>
      </c>
      <c r="AH472" s="1">
        <f>559628.74-472211.3</f>
        <v>87417.44</v>
      </c>
      <c r="AI472" s="5">
        <f t="shared" si="100"/>
        <v>144370.79999999999</v>
      </c>
      <c r="AJ472" s="5">
        <f>+(K472*10+L472*20)*12*30-628714.2721</f>
        <v>4466725.7279000003</v>
      </c>
      <c r="AL472" s="37">
        <f t="shared" si="98"/>
        <v>0</v>
      </c>
      <c r="AM472" s="62"/>
      <c r="AN472" s="30"/>
      <c r="AO472" s="30"/>
      <c r="AP472" s="30">
        <v>0</v>
      </c>
      <c r="AQ472" s="30">
        <v>0</v>
      </c>
      <c r="AR472" s="30"/>
      <c r="AS472" s="30"/>
      <c r="AT472" s="30">
        <v>0</v>
      </c>
      <c r="AU472" s="30">
        <v>0</v>
      </c>
      <c r="AV472" s="30">
        <v>0</v>
      </c>
      <c r="AW472" s="30">
        <v>0</v>
      </c>
      <c r="AX472" s="30">
        <v>3298923.58</v>
      </c>
      <c r="AY472" s="30"/>
      <c r="AZ472" s="30"/>
      <c r="BA472" s="40"/>
      <c r="BB472" s="5"/>
    </row>
    <row r="473" spans="1:54" hidden="1">
      <c r="A473" s="10">
        <f t="shared" si="94"/>
        <v>454</v>
      </c>
      <c r="B473" s="12">
        <v>235</v>
      </c>
      <c r="C473" s="12" t="s">
        <v>140</v>
      </c>
      <c r="D473" s="12" t="s">
        <v>150</v>
      </c>
      <c r="E473" s="120">
        <v>1979</v>
      </c>
      <c r="F473" s="120">
        <v>1979</v>
      </c>
      <c r="G473" s="120" t="s">
        <v>3</v>
      </c>
      <c r="H473" s="120">
        <v>4</v>
      </c>
      <c r="I473" s="120">
        <v>2</v>
      </c>
      <c r="J473" s="30">
        <v>1251.7</v>
      </c>
      <c r="K473" s="30">
        <v>1251.7</v>
      </c>
      <c r="L473" s="30">
        <v>0</v>
      </c>
      <c r="M473" s="121">
        <v>44</v>
      </c>
      <c r="N473" s="28">
        <f t="shared" si="99"/>
        <v>3158936.6999999997</v>
      </c>
      <c r="O473" s="30"/>
      <c r="P473" s="30">
        <v>868511.46149999998</v>
      </c>
      <c r="Q473" s="31"/>
      <c r="R473" s="31"/>
      <c r="S473" s="30"/>
      <c r="T473" s="31"/>
      <c r="U473" s="31"/>
      <c r="V473" s="30">
        <v>143042.91</v>
      </c>
      <c r="W473" s="31"/>
      <c r="X473" s="31"/>
      <c r="Y473" s="30">
        <v>2147382.3284999998</v>
      </c>
      <c r="Z473" s="31"/>
      <c r="AA473" s="31"/>
      <c r="AB473" s="30"/>
      <c r="AC473" s="32"/>
      <c r="AD473" s="32"/>
      <c r="AE473" s="30">
        <v>7740.1983369618401</v>
      </c>
      <c r="AF473" s="30">
        <v>7740.1983369618401</v>
      </c>
      <c r="AG473" s="33">
        <v>2023</v>
      </c>
      <c r="AH473" s="18">
        <f>438075.68</f>
        <v>438075.68</v>
      </c>
      <c r="AI473" s="5">
        <f t="shared" si="100"/>
        <v>127673.4</v>
      </c>
      <c r="AJ473" s="5">
        <f>+(K473*10+L473*20)*12*30-1289981.92</f>
        <v>3216138.08</v>
      </c>
      <c r="AL473" s="37">
        <f t="shared" si="98"/>
        <v>0</v>
      </c>
      <c r="AM473" s="62"/>
      <c r="AN473" s="30"/>
      <c r="AO473" s="30"/>
      <c r="AP473" s="30">
        <v>316550.13</v>
      </c>
      <c r="AQ473" s="30">
        <v>0</v>
      </c>
      <c r="AR473" s="30"/>
      <c r="AS473" s="30"/>
      <c r="AT473" s="30">
        <v>0</v>
      </c>
      <c r="AU473" s="30">
        <v>0</v>
      </c>
      <c r="AV473" s="30">
        <v>0</v>
      </c>
      <c r="AW473" s="30">
        <v>0</v>
      </c>
      <c r="AX473" s="30">
        <v>2842386.57</v>
      </c>
      <c r="AY473" s="30"/>
      <c r="AZ473" s="30"/>
      <c r="BA473" s="40"/>
      <c r="BB473" s="5"/>
    </row>
    <row r="474" spans="1:54" hidden="1">
      <c r="A474" s="10">
        <f t="shared" si="94"/>
        <v>455</v>
      </c>
      <c r="B474" s="12">
        <v>236</v>
      </c>
      <c r="C474" s="12" t="s">
        <v>140</v>
      </c>
      <c r="D474" s="12" t="s">
        <v>152</v>
      </c>
      <c r="E474" s="120">
        <v>1972</v>
      </c>
      <c r="F474" s="120">
        <v>1972</v>
      </c>
      <c r="G474" s="120" t="s">
        <v>3</v>
      </c>
      <c r="H474" s="120">
        <v>4</v>
      </c>
      <c r="I474" s="120">
        <v>2</v>
      </c>
      <c r="J474" s="30">
        <v>1471.5</v>
      </c>
      <c r="K474" s="30">
        <v>1257.9000000000001</v>
      </c>
      <c r="L474" s="30">
        <v>0</v>
      </c>
      <c r="M474" s="121">
        <v>37</v>
      </c>
      <c r="N474" s="28">
        <f t="shared" si="99"/>
        <v>5454094.2599999998</v>
      </c>
      <c r="O474" s="30"/>
      <c r="P474" s="30">
        <v>3266723.8713446301</v>
      </c>
      <c r="Q474" s="31"/>
      <c r="R474" s="31"/>
      <c r="S474" s="30"/>
      <c r="T474" s="31"/>
      <c r="U474" s="31"/>
      <c r="V474" s="30"/>
      <c r="W474" s="31"/>
      <c r="X474" s="31"/>
      <c r="Y474" s="30">
        <v>2187370.3886553701</v>
      </c>
      <c r="Z474" s="31"/>
      <c r="AA474" s="31"/>
      <c r="AB474" s="30"/>
      <c r="AC474" s="32"/>
      <c r="AD474" s="32"/>
      <c r="AE474" s="30">
        <v>5285.59583227029</v>
      </c>
      <c r="AF474" s="30">
        <v>5285.59583227029</v>
      </c>
      <c r="AG474" s="33">
        <v>2023</v>
      </c>
      <c r="AH474" s="1">
        <f>337730.12</f>
        <v>337730.12</v>
      </c>
      <c r="AI474" s="5">
        <f t="shared" si="100"/>
        <v>128305.8</v>
      </c>
      <c r="AJ474" s="5">
        <f>+(K474*10+L474*20)*12*30</f>
        <v>4528440</v>
      </c>
      <c r="AL474" s="37">
        <f t="shared" si="98"/>
        <v>0</v>
      </c>
      <c r="AM474" s="62">
        <v>0</v>
      </c>
      <c r="AN474" s="30">
        <v>0</v>
      </c>
      <c r="AO474" s="30">
        <v>0</v>
      </c>
      <c r="AP474" s="30">
        <v>0</v>
      </c>
      <c r="AQ474" s="30">
        <v>0</v>
      </c>
      <c r="AR474" s="30"/>
      <c r="AS474" s="30"/>
      <c r="AT474" s="30">
        <v>0</v>
      </c>
      <c r="AU474" s="30">
        <v>0</v>
      </c>
      <c r="AV474" s="30">
        <v>0</v>
      </c>
      <c r="AW474" s="30">
        <v>5454094.2599999998</v>
      </c>
      <c r="AX474" s="30"/>
      <c r="AY474" s="30"/>
      <c r="AZ474" s="30"/>
      <c r="BA474" s="40"/>
      <c r="BB474" s="5"/>
    </row>
    <row r="475" spans="1:54" hidden="1">
      <c r="A475" s="10">
        <f t="shared" si="94"/>
        <v>456</v>
      </c>
      <c r="B475" s="12">
        <v>237</v>
      </c>
      <c r="C475" s="101" t="s">
        <v>154</v>
      </c>
      <c r="D475" s="101" t="s">
        <v>155</v>
      </c>
      <c r="E475" s="102">
        <v>1989</v>
      </c>
      <c r="F475" s="102">
        <v>2013</v>
      </c>
      <c r="G475" s="102" t="s">
        <v>3</v>
      </c>
      <c r="H475" s="102">
        <v>4</v>
      </c>
      <c r="I475" s="102">
        <v>2</v>
      </c>
      <c r="J475" s="62">
        <v>1529.1</v>
      </c>
      <c r="K475" s="62">
        <v>1348.1</v>
      </c>
      <c r="L475" s="62">
        <v>0</v>
      </c>
      <c r="M475" s="103">
        <v>46</v>
      </c>
      <c r="N475" s="28">
        <f t="shared" si="99"/>
        <v>5770612.3300000001</v>
      </c>
      <c r="O475" s="62"/>
      <c r="P475" s="30">
        <v>3305050.92</v>
      </c>
      <c r="Q475" s="31"/>
      <c r="R475" s="31"/>
      <c r="S475" s="30"/>
      <c r="T475" s="31"/>
      <c r="U475" s="31"/>
      <c r="V475" s="30">
        <v>444526.31</v>
      </c>
      <c r="W475" s="31"/>
      <c r="X475" s="31"/>
      <c r="Y475" s="30">
        <v>2021035.1</v>
      </c>
      <c r="Z475" s="31"/>
      <c r="AA475" s="31"/>
      <c r="AB475" s="30"/>
      <c r="AC475" s="32"/>
      <c r="AD475" s="32"/>
      <c r="AE475" s="62">
        <v>5519.6941713715596</v>
      </c>
      <c r="AF475" s="62">
        <v>5519.6941713715596</v>
      </c>
      <c r="AG475" s="33">
        <v>2023</v>
      </c>
      <c r="AH475" s="1">
        <v>579070.04</v>
      </c>
      <c r="AI475" s="5">
        <f t="shared" si="100"/>
        <v>137506.19999999998</v>
      </c>
      <c r="AJ475" s="5">
        <f>+(K475*10+L475*20)*12*30</f>
        <v>4853160</v>
      </c>
      <c r="AL475" s="37">
        <f t="shared" si="98"/>
        <v>0</v>
      </c>
      <c r="AM475" s="30"/>
      <c r="AN475" s="30"/>
      <c r="AO475" s="30">
        <v>0</v>
      </c>
      <c r="AP475" s="30">
        <v>0</v>
      </c>
      <c r="AQ475" s="30">
        <v>0</v>
      </c>
      <c r="AR475" s="30"/>
      <c r="AS475" s="30"/>
      <c r="AT475" s="30">
        <v>0</v>
      </c>
      <c r="AU475" s="30">
        <v>5770612.3300000001</v>
      </c>
      <c r="AV475" s="30">
        <v>0</v>
      </c>
      <c r="AW475" s="30">
        <v>0</v>
      </c>
      <c r="AX475" s="30">
        <v>0</v>
      </c>
      <c r="AY475" s="30"/>
      <c r="AZ475" s="30"/>
      <c r="BA475" s="40"/>
      <c r="BB475" s="5"/>
    </row>
    <row r="476" spans="1:54" hidden="1">
      <c r="A476" s="10">
        <f t="shared" si="94"/>
        <v>457</v>
      </c>
      <c r="B476" s="12">
        <v>238</v>
      </c>
      <c r="C476" s="101" t="s">
        <v>154</v>
      </c>
      <c r="D476" s="101" t="s">
        <v>157</v>
      </c>
      <c r="E476" s="102">
        <v>1988</v>
      </c>
      <c r="F476" s="102">
        <v>2013</v>
      </c>
      <c r="G476" s="102" t="s">
        <v>3</v>
      </c>
      <c r="H476" s="102">
        <v>3</v>
      </c>
      <c r="I476" s="102">
        <v>3</v>
      </c>
      <c r="J476" s="62">
        <v>1390.3</v>
      </c>
      <c r="K476" s="62">
        <v>1293.32</v>
      </c>
      <c r="L476" s="62">
        <v>0</v>
      </c>
      <c r="M476" s="103">
        <v>45</v>
      </c>
      <c r="N476" s="28">
        <f t="shared" si="99"/>
        <v>7256814.7199999997</v>
      </c>
      <c r="O476" s="62"/>
      <c r="P476" s="30">
        <v>814890.63999999897</v>
      </c>
      <c r="Q476" s="31"/>
      <c r="R476" s="31"/>
      <c r="S476" s="30"/>
      <c r="T476" s="31"/>
      <c r="U476" s="31"/>
      <c r="V476" s="30">
        <v>668271.06000000006</v>
      </c>
      <c r="W476" s="31"/>
      <c r="X476" s="31"/>
      <c r="Y476" s="30">
        <v>4475429.4624260003</v>
      </c>
      <c r="Z476" s="31"/>
      <c r="AA476" s="31"/>
      <c r="AB476" s="30">
        <v>1298223.557574</v>
      </c>
      <c r="AC476" s="32"/>
      <c r="AD476" s="32"/>
      <c r="AE476" s="62">
        <v>7207.4729053644896</v>
      </c>
      <c r="AF476" s="62">
        <v>7207.4729053644896</v>
      </c>
      <c r="AG476" s="33">
        <v>2023</v>
      </c>
      <c r="AH476" s="1">
        <f>536959.76-224352.09</f>
        <v>312607.67000000004</v>
      </c>
      <c r="AI476" s="5">
        <f t="shared" si="100"/>
        <v>131918.63999999998</v>
      </c>
      <c r="AJ476" s="5">
        <f>+(K476*10+L476*20)*12*30-1061869.95</f>
        <v>3594082.05</v>
      </c>
      <c r="AL476" s="37">
        <f t="shared" si="98"/>
        <v>0</v>
      </c>
      <c r="AM476" s="30">
        <v>0</v>
      </c>
      <c r="AN476" s="30">
        <v>0</v>
      </c>
      <c r="AO476" s="30">
        <v>0</v>
      </c>
      <c r="AP476" s="30">
        <v>0</v>
      </c>
      <c r="AQ476" s="30">
        <v>0</v>
      </c>
      <c r="AR476" s="30"/>
      <c r="AS476" s="30"/>
      <c r="AT476" s="30">
        <v>0</v>
      </c>
      <c r="AU476" s="30">
        <v>7256814.7199999997</v>
      </c>
      <c r="AV476" s="30">
        <v>0</v>
      </c>
      <c r="AW476" s="30"/>
      <c r="AX476" s="30">
        <v>0</v>
      </c>
      <c r="AY476" s="30"/>
      <c r="AZ476" s="30"/>
      <c r="BA476" s="40"/>
      <c r="BB476" s="5"/>
    </row>
    <row r="477" spans="1:54" hidden="1">
      <c r="A477" s="10">
        <f t="shared" si="94"/>
        <v>458</v>
      </c>
      <c r="B477" s="12">
        <v>239</v>
      </c>
      <c r="C477" s="12" t="s">
        <v>159</v>
      </c>
      <c r="D477" s="12" t="s">
        <v>160</v>
      </c>
      <c r="E477" s="120">
        <v>1978</v>
      </c>
      <c r="F477" s="120">
        <v>2011</v>
      </c>
      <c r="G477" s="120" t="s">
        <v>3</v>
      </c>
      <c r="H477" s="120">
        <v>4</v>
      </c>
      <c r="I477" s="120">
        <v>4</v>
      </c>
      <c r="J477" s="30">
        <v>3928.1</v>
      </c>
      <c r="K477" s="30">
        <v>3427.4</v>
      </c>
      <c r="L477" s="30">
        <v>412.7</v>
      </c>
      <c r="M477" s="121">
        <v>110</v>
      </c>
      <c r="N477" s="28">
        <f t="shared" si="99"/>
        <v>6397046.1500000004</v>
      </c>
      <c r="O477" s="30"/>
      <c r="P477" s="30">
        <v>357289.05</v>
      </c>
      <c r="Q477" s="31"/>
      <c r="R477" s="31"/>
      <c r="S477" s="30"/>
      <c r="T477" s="31"/>
      <c r="U477" s="31"/>
      <c r="V477" s="30">
        <v>2262800.4500000002</v>
      </c>
      <c r="W477" s="31"/>
      <c r="X477" s="31"/>
      <c r="Y477" s="30">
        <v>3776956.65</v>
      </c>
      <c r="Z477" s="31"/>
      <c r="AA477" s="31"/>
      <c r="AB477" s="30">
        <v>0</v>
      </c>
      <c r="AC477" s="32"/>
      <c r="AD477" s="32"/>
      <c r="AE477" s="30">
        <v>1616.9992983324</v>
      </c>
      <c r="AF477" s="30">
        <v>1616.9992983324</v>
      </c>
      <c r="AG477" s="33">
        <v>2023</v>
      </c>
      <c r="AH477" s="1">
        <v>1829014.85</v>
      </c>
      <c r="AI477" s="5">
        <f t="shared" si="100"/>
        <v>433785.59999999998</v>
      </c>
      <c r="AJ477" s="5">
        <f>+(K477*10+L477*20)*12*30</f>
        <v>15310080</v>
      </c>
      <c r="AL477" s="37">
        <f t="shared" si="98"/>
        <v>0</v>
      </c>
      <c r="AM477" s="62">
        <v>0</v>
      </c>
      <c r="AN477" s="30">
        <v>0</v>
      </c>
      <c r="AO477" s="30">
        <v>0</v>
      </c>
      <c r="AP477" s="30">
        <v>0</v>
      </c>
      <c r="AQ477" s="30">
        <v>0</v>
      </c>
      <c r="AR477" s="30"/>
      <c r="AS477" s="30"/>
      <c r="AT477" s="30">
        <v>0</v>
      </c>
      <c r="AU477" s="30">
        <v>0</v>
      </c>
      <c r="AV477" s="30">
        <v>0</v>
      </c>
      <c r="AW477" s="30">
        <v>0</v>
      </c>
      <c r="AX477" s="30">
        <v>6397046.1500000004</v>
      </c>
      <c r="AY477" s="30"/>
      <c r="AZ477" s="30"/>
      <c r="BA477" s="40"/>
      <c r="BB477" s="5"/>
    </row>
    <row r="478" spans="1:54" hidden="1">
      <c r="A478" s="10">
        <f t="shared" si="94"/>
        <v>459</v>
      </c>
      <c r="B478" s="12">
        <v>240</v>
      </c>
      <c r="C478" s="101" t="s">
        <v>162</v>
      </c>
      <c r="D478" s="101" t="s">
        <v>163</v>
      </c>
      <c r="E478" s="102">
        <v>1970</v>
      </c>
      <c r="F478" s="102">
        <v>2010</v>
      </c>
      <c r="G478" s="102" t="s">
        <v>3</v>
      </c>
      <c r="H478" s="102">
        <v>5</v>
      </c>
      <c r="I478" s="102">
        <v>4</v>
      </c>
      <c r="J478" s="62">
        <v>3258</v>
      </c>
      <c r="K478" s="62">
        <v>3018.9</v>
      </c>
      <c r="L478" s="62">
        <v>0</v>
      </c>
      <c r="M478" s="103">
        <v>132</v>
      </c>
      <c r="N478" s="28">
        <f t="shared" si="99"/>
        <v>9357328.8200000003</v>
      </c>
      <c r="O478" s="30"/>
      <c r="P478" s="30">
        <v>919348.41</v>
      </c>
      <c r="Q478" s="31"/>
      <c r="R478" s="31"/>
      <c r="S478" s="30"/>
      <c r="T478" s="31"/>
      <c r="U478" s="31"/>
      <c r="V478" s="30">
        <v>652968.1</v>
      </c>
      <c r="W478" s="31"/>
      <c r="X478" s="31"/>
      <c r="Y478" s="30">
        <v>7785012.3099999996</v>
      </c>
      <c r="Z478" s="31"/>
      <c r="AA478" s="31"/>
      <c r="AB478" s="30"/>
      <c r="AC478" s="32"/>
      <c r="AD478" s="32"/>
      <c r="AE478" s="30">
        <v>4397.2265858425299</v>
      </c>
      <c r="AF478" s="30">
        <v>4397.2265858425299</v>
      </c>
      <c r="AG478" s="33">
        <v>2023</v>
      </c>
      <c r="AH478" s="1">
        <f>1025494.69-680454.39</f>
        <v>345040.29999999993</v>
      </c>
      <c r="AI478" s="5">
        <f t="shared" si="100"/>
        <v>307927.8</v>
      </c>
      <c r="AJ478" s="5">
        <f>+(K478*10+L478*20)*12*30-16805.39</f>
        <v>10851234.609999999</v>
      </c>
      <c r="AL478" s="37">
        <f t="shared" si="98"/>
        <v>0</v>
      </c>
      <c r="AM478" s="30">
        <v>0</v>
      </c>
      <c r="AN478" s="30">
        <v>0</v>
      </c>
      <c r="AO478" s="30">
        <v>0</v>
      </c>
      <c r="AP478" s="30">
        <v>0</v>
      </c>
      <c r="AQ478" s="30">
        <v>0</v>
      </c>
      <c r="AR478" s="30"/>
      <c r="AS478" s="30"/>
      <c r="AT478" s="30">
        <v>0</v>
      </c>
      <c r="AU478" s="30">
        <v>0</v>
      </c>
      <c r="AV478" s="30">
        <v>0</v>
      </c>
      <c r="AW478" s="30">
        <v>7030996.7999999998</v>
      </c>
      <c r="AX478" s="30">
        <v>2326332.02</v>
      </c>
      <c r="AY478" s="30"/>
      <c r="AZ478" s="30"/>
      <c r="BA478" s="40"/>
      <c r="BB478" s="5"/>
    </row>
    <row r="479" spans="1:54" s="122" customFormat="1" ht="17.25" hidden="1" customHeight="1">
      <c r="D479" s="123">
        <v>2024</v>
      </c>
      <c r="E479" s="124"/>
      <c r="F479" s="124"/>
      <c r="G479" s="124"/>
      <c r="H479" s="124"/>
      <c r="I479" s="124"/>
      <c r="J479" s="125">
        <v>1266954.24</v>
      </c>
      <c r="K479" s="125">
        <v>1040521.33</v>
      </c>
      <c r="L479" s="125">
        <v>65032.14</v>
      </c>
      <c r="M479" s="125">
        <v>44027</v>
      </c>
      <c r="N479" s="126">
        <f t="shared" ref="N479:AB479" si="101">N480+N702+N705+N815+N835</f>
        <v>2795807221.6475401</v>
      </c>
      <c r="O479" s="126">
        <f t="shared" si="101"/>
        <v>0</v>
      </c>
      <c r="P479" s="126">
        <f t="shared" si="101"/>
        <v>578930502.99999964</v>
      </c>
      <c r="Q479" s="127">
        <f t="shared" si="101"/>
        <v>441532639.99999994</v>
      </c>
      <c r="R479" s="127">
        <f t="shared" si="101"/>
        <v>137397863</v>
      </c>
      <c r="S479" s="126">
        <f t="shared" si="101"/>
        <v>116703642.41</v>
      </c>
      <c r="T479" s="127">
        <f t="shared" si="101"/>
        <v>113596932.41</v>
      </c>
      <c r="U479" s="127">
        <f t="shared" si="101"/>
        <v>3106710</v>
      </c>
      <c r="V479" s="126">
        <f t="shared" si="101"/>
        <v>402100898.68519986</v>
      </c>
      <c r="W479" s="127">
        <f t="shared" si="101"/>
        <v>252024102.83699995</v>
      </c>
      <c r="X479" s="127">
        <f t="shared" si="101"/>
        <v>5306618.1499999994</v>
      </c>
      <c r="Y479" s="126">
        <f t="shared" si="101"/>
        <v>1326898799.1105402</v>
      </c>
      <c r="Z479" s="127">
        <f t="shared" si="101"/>
        <v>846831309.26300013</v>
      </c>
      <c r="AA479" s="127">
        <f t="shared" si="101"/>
        <v>859416.96000000206</v>
      </c>
      <c r="AB479" s="126">
        <f t="shared" si="101"/>
        <v>371173378.44179988</v>
      </c>
      <c r="AC479" s="127"/>
      <c r="AD479" s="127"/>
      <c r="AE479" s="128"/>
      <c r="AF479" s="128"/>
      <c r="AG479" s="129"/>
      <c r="AI479" s="130"/>
      <c r="AJ479" s="130"/>
      <c r="AK479" s="130"/>
      <c r="AL479" s="126">
        <f t="shared" ref="AL479:BB479" si="102">SUM(AL481:AL699)</f>
        <v>9000055.3300000001</v>
      </c>
      <c r="AM479" s="126">
        <f t="shared" si="102"/>
        <v>287951634.03000003</v>
      </c>
      <c r="AN479" s="126">
        <f t="shared" si="102"/>
        <v>84485944.780000016</v>
      </c>
      <c r="AO479" s="126">
        <f t="shared" si="102"/>
        <v>152642515.99000001</v>
      </c>
      <c r="AP479" s="126">
        <f t="shared" si="102"/>
        <v>85378295.590000004</v>
      </c>
      <c r="AQ479" s="126">
        <f t="shared" si="102"/>
        <v>27454928.640000001</v>
      </c>
      <c r="AR479" s="126">
        <f t="shared" si="102"/>
        <v>0</v>
      </c>
      <c r="AS479" s="126">
        <f t="shared" si="102"/>
        <v>0</v>
      </c>
      <c r="AT479" s="126">
        <f t="shared" si="102"/>
        <v>93382142.579999983</v>
      </c>
      <c r="AU479" s="126">
        <f t="shared" si="102"/>
        <v>250643494.09</v>
      </c>
      <c r="AV479" s="126">
        <f t="shared" si="102"/>
        <v>49526316.780000001</v>
      </c>
      <c r="AW479" s="126">
        <f t="shared" si="102"/>
        <v>723764749.08000004</v>
      </c>
      <c r="AX479" s="126">
        <f t="shared" si="102"/>
        <v>76339918.750000015</v>
      </c>
      <c r="AY479" s="126">
        <f t="shared" si="102"/>
        <v>4354572.79</v>
      </c>
      <c r="AZ479" s="126">
        <f t="shared" si="102"/>
        <v>1446986.04</v>
      </c>
      <c r="BA479" s="131">
        <f t="shared" si="102"/>
        <v>364476.27999999997</v>
      </c>
      <c r="BB479" s="131">
        <f t="shared" si="102"/>
        <v>337</v>
      </c>
    </row>
    <row r="480" spans="1:54" s="122" customFormat="1" ht="17.25" hidden="1" customHeight="1">
      <c r="A480" s="132"/>
      <c r="B480" s="132"/>
      <c r="C480" s="132"/>
      <c r="D480" s="133" t="s">
        <v>166</v>
      </c>
      <c r="E480" s="134"/>
      <c r="F480" s="134"/>
      <c r="G480" s="134"/>
      <c r="H480" s="134"/>
      <c r="I480" s="134"/>
      <c r="J480" s="135">
        <v>856798.89</v>
      </c>
      <c r="K480" s="135">
        <v>703501.03</v>
      </c>
      <c r="L480" s="135">
        <v>38673.760000000002</v>
      </c>
      <c r="M480" s="135">
        <v>30008</v>
      </c>
      <c r="N480" s="136">
        <f t="shared" ref="N480:AD480" si="103">SUM(N481:N701)</f>
        <v>1839828629.6199999</v>
      </c>
      <c r="O480" s="136">
        <f t="shared" si="103"/>
        <v>0</v>
      </c>
      <c r="P480" s="136">
        <f t="shared" si="103"/>
        <v>574319970.59999967</v>
      </c>
      <c r="Q480" s="137">
        <f t="shared" si="103"/>
        <v>441532639.99999994</v>
      </c>
      <c r="R480" s="137">
        <f t="shared" si="103"/>
        <v>132787330.59999999</v>
      </c>
      <c r="S480" s="136">
        <f t="shared" si="103"/>
        <v>8877562.4199999999</v>
      </c>
      <c r="T480" s="137">
        <f t="shared" si="103"/>
        <v>8877562.4199999999</v>
      </c>
      <c r="U480" s="137">
        <f t="shared" si="103"/>
        <v>0</v>
      </c>
      <c r="V480" s="136">
        <f t="shared" si="103"/>
        <v>257330740.98699993</v>
      </c>
      <c r="W480" s="137">
        <f t="shared" si="103"/>
        <v>252024102.83699995</v>
      </c>
      <c r="X480" s="137">
        <f t="shared" si="103"/>
        <v>5306618.1499999994</v>
      </c>
      <c r="Y480" s="136">
        <f t="shared" si="103"/>
        <v>847690726.22300017</v>
      </c>
      <c r="Z480" s="137">
        <f t="shared" si="103"/>
        <v>846831309.26300013</v>
      </c>
      <c r="AA480" s="137">
        <f t="shared" si="103"/>
        <v>859416.96000000206</v>
      </c>
      <c r="AB480" s="136">
        <f t="shared" si="103"/>
        <v>151609629.38999993</v>
      </c>
      <c r="AC480" s="137">
        <f t="shared" si="103"/>
        <v>1361083.83</v>
      </c>
      <c r="AD480" s="137">
        <f t="shared" si="103"/>
        <v>150248545.55999991</v>
      </c>
      <c r="AE480" s="138"/>
      <c r="AF480" s="138"/>
      <c r="AG480" s="139"/>
      <c r="AI480" s="130"/>
      <c r="AJ480" s="130"/>
      <c r="AK480" s="130"/>
      <c r="AL480" s="140"/>
      <c r="AM480" s="126"/>
      <c r="AN480" s="126"/>
      <c r="AO480" s="126"/>
      <c r="AP480" s="126"/>
      <c r="AQ480" s="126"/>
      <c r="AR480" s="126"/>
      <c r="AS480" s="126"/>
      <c r="AT480" s="126"/>
      <c r="AU480" s="126"/>
      <c r="AV480" s="126"/>
      <c r="AW480" s="126"/>
      <c r="AX480" s="126"/>
      <c r="AY480" s="126"/>
      <c r="AZ480" s="126"/>
      <c r="BA480" s="131"/>
      <c r="BB480" s="141"/>
    </row>
    <row r="481" spans="1:54" s="142" customFormat="1" ht="15.75" hidden="1">
      <c r="A481" s="10">
        <v>460</v>
      </c>
      <c r="B481" s="12">
        <v>1</v>
      </c>
      <c r="C481" s="101" t="s">
        <v>171</v>
      </c>
      <c r="D481" s="101" t="s">
        <v>172</v>
      </c>
      <c r="E481" s="102" t="s">
        <v>173</v>
      </c>
      <c r="F481" s="102"/>
      <c r="G481" s="102" t="s">
        <v>3</v>
      </c>
      <c r="H481" s="102" t="s">
        <v>174</v>
      </c>
      <c r="I481" s="102" t="s">
        <v>175</v>
      </c>
      <c r="J481" s="62">
        <v>11221.5</v>
      </c>
      <c r="K481" s="62">
        <v>7503.7</v>
      </c>
      <c r="L481" s="62">
        <v>56.5</v>
      </c>
      <c r="M481" s="103">
        <v>285</v>
      </c>
      <c r="N481" s="28">
        <f t="shared" ref="N481:N544" si="104">P481+S481+V481+Y481+AB481</f>
        <v>9000055.3300000001</v>
      </c>
      <c r="O481" s="62">
        <v>0</v>
      </c>
      <c r="P481" s="30">
        <f t="shared" ref="P481:P544" si="105">Q481+R481</f>
        <v>0</v>
      </c>
      <c r="Q481" s="143"/>
      <c r="R481" s="31"/>
      <c r="S481" s="30"/>
      <c r="T481" s="31"/>
      <c r="U481" s="31"/>
      <c r="V481" s="28">
        <f t="shared" ref="V481:V512" si="106">W481+X481</f>
        <v>6285769.7999999998</v>
      </c>
      <c r="W481" s="144">
        <v>5773243.7999999998</v>
      </c>
      <c r="X481" s="144">
        <v>512526</v>
      </c>
      <c r="Y481" s="28">
        <f t="shared" ref="Y481:Y544" si="107">Z481+AA481</f>
        <v>2714285.53</v>
      </c>
      <c r="Z481" s="145">
        <v>2714285.53</v>
      </c>
      <c r="AA481" s="145"/>
      <c r="AB481" s="146">
        <f t="shared" ref="AB481:AB486" si="108">AC481+AD481</f>
        <v>0</v>
      </c>
      <c r="AC481" s="147"/>
      <c r="AD481" s="147"/>
      <c r="AE481" s="30">
        <v>1707.5775950531099</v>
      </c>
      <c r="AF481" s="30">
        <v>1172.2830200640001</v>
      </c>
      <c r="AG481" s="33">
        <v>2024</v>
      </c>
      <c r="AH481" s="142">
        <v>5336292.42</v>
      </c>
      <c r="AI481" s="5">
        <f>+(K481*15.35+L481*26.02)*12*0.85</f>
        <v>1189849.635</v>
      </c>
      <c r="AJ481" s="5">
        <f>+(K481*15.35+L481*26.02)*12*30</f>
        <v>41994693</v>
      </c>
      <c r="AK481" s="5">
        <f t="shared" ref="AK481:AK544" si="109">+N481-AL481</f>
        <v>0</v>
      </c>
      <c r="AL481" s="146">
        <f>SUM(AM481:BA481)</f>
        <v>9000055.3300000001</v>
      </c>
      <c r="AM481" s="62">
        <v>0</v>
      </c>
      <c r="AN481" s="30">
        <v>0</v>
      </c>
      <c r="AO481" s="30">
        <v>0</v>
      </c>
      <c r="AP481" s="62">
        <v>0</v>
      </c>
      <c r="AQ481" s="30"/>
      <c r="AR481" s="30">
        <v>0</v>
      </c>
      <c r="AS481" s="62"/>
      <c r="AT481" s="30">
        <v>8487529.3300000001</v>
      </c>
      <c r="AU481" s="30">
        <v>0</v>
      </c>
      <c r="AV481" s="62">
        <v>0</v>
      </c>
      <c r="AW481" s="30">
        <v>0</v>
      </c>
      <c r="AX481" s="30">
        <v>0</v>
      </c>
      <c r="AY481" s="30">
        <v>384394.5</v>
      </c>
      <c r="AZ481" s="30">
        <v>128131.5</v>
      </c>
      <c r="BA481" s="148"/>
      <c r="BB481" s="149">
        <f t="shared" ref="BB481:BB544" si="110">COUNTIF(AM481:AX481, "&gt;0")</f>
        <v>1</v>
      </c>
    </row>
    <row r="482" spans="1:54" ht="15.75" hidden="1">
      <c r="A482" s="10">
        <f t="shared" ref="A482:A513" si="111">A481+1</f>
        <v>461</v>
      </c>
      <c r="B482" s="12">
        <f t="shared" ref="B482:B513" si="112">B481+1</f>
        <v>2</v>
      </c>
      <c r="C482" s="101" t="s">
        <v>171</v>
      </c>
      <c r="D482" s="101" t="s">
        <v>177</v>
      </c>
      <c r="E482" s="102">
        <v>1993</v>
      </c>
      <c r="F482" s="102">
        <v>2013</v>
      </c>
      <c r="G482" s="102" t="s">
        <v>3</v>
      </c>
      <c r="H482" s="102">
        <v>9</v>
      </c>
      <c r="I482" s="102">
        <v>5</v>
      </c>
      <c r="J482" s="62">
        <v>19441.7</v>
      </c>
      <c r="K482" s="62">
        <v>13182.1</v>
      </c>
      <c r="L482" s="62">
        <v>0</v>
      </c>
      <c r="M482" s="103">
        <v>478</v>
      </c>
      <c r="N482" s="28">
        <f t="shared" si="104"/>
        <v>19801216.77</v>
      </c>
      <c r="O482" s="62"/>
      <c r="P482" s="30">
        <f t="shared" si="105"/>
        <v>0</v>
      </c>
      <c r="Q482" s="143"/>
      <c r="R482" s="31"/>
      <c r="S482" s="30"/>
      <c r="T482" s="31"/>
      <c r="U482" s="31"/>
      <c r="V482" s="28">
        <f t="shared" si="106"/>
        <v>3656714.18</v>
      </c>
      <c r="W482" s="144">
        <v>3656714.18</v>
      </c>
      <c r="X482" s="144"/>
      <c r="Y482" s="28">
        <f t="shared" si="107"/>
        <v>16144502.59</v>
      </c>
      <c r="Z482" s="145">
        <v>16144502.59</v>
      </c>
      <c r="AA482" s="145"/>
      <c r="AB482" s="146">
        <f t="shared" si="108"/>
        <v>0</v>
      </c>
      <c r="AC482" s="147"/>
      <c r="AD482" s="147"/>
      <c r="AE482" s="30">
        <v>2885.28697522024</v>
      </c>
      <c r="AF482" s="30">
        <v>1177.2830200640001</v>
      </c>
      <c r="AG482" s="33">
        <v>2024</v>
      </c>
      <c r="AH482" s="1">
        <v>0</v>
      </c>
      <c r="AI482" s="5">
        <f>+(K482*15.35+L482*26.02)*12*0.85</f>
        <v>2063921.3970000001</v>
      </c>
      <c r="AJ482" s="5">
        <f>+(K482*15.35+L482*26.02)*12*30-[3]Лист1!$AQ$204</f>
        <v>55617708.900000006</v>
      </c>
      <c r="AK482" s="5">
        <f t="shared" si="109"/>
        <v>19801216.77</v>
      </c>
      <c r="AL482" s="146">
        <f t="shared" ref="AL482:AL545" si="113">SUBTOTAL(9, AM482:BA482)</f>
        <v>0</v>
      </c>
      <c r="AM482" s="62">
        <v>0</v>
      </c>
      <c r="AN482" s="30">
        <v>0</v>
      </c>
      <c r="AO482" s="30"/>
      <c r="AP482" s="30">
        <v>0</v>
      </c>
      <c r="AQ482" s="30">
        <v>0</v>
      </c>
      <c r="AR482" s="30"/>
      <c r="AS482" s="62">
        <v>0</v>
      </c>
      <c r="AT482" s="30">
        <v>0</v>
      </c>
      <c r="AU482" s="30">
        <v>0</v>
      </c>
      <c r="AV482" s="62">
        <v>19801216.77</v>
      </c>
      <c r="AW482" s="30">
        <v>0</v>
      </c>
      <c r="AX482" s="30">
        <v>0</v>
      </c>
      <c r="AY482" s="30"/>
      <c r="AZ482" s="30"/>
      <c r="BA482" s="148"/>
      <c r="BB482" s="149">
        <f t="shared" si="110"/>
        <v>1</v>
      </c>
    </row>
    <row r="483" spans="1:54" ht="15.75" hidden="1">
      <c r="A483" s="10">
        <f t="shared" si="111"/>
        <v>462</v>
      </c>
      <c r="B483" s="12">
        <f t="shared" si="112"/>
        <v>3</v>
      </c>
      <c r="C483" s="101" t="s">
        <v>171</v>
      </c>
      <c r="D483" s="101" t="s">
        <v>179</v>
      </c>
      <c r="E483" s="102">
        <v>1997</v>
      </c>
      <c r="F483" s="102">
        <v>2013</v>
      </c>
      <c r="G483" s="102" t="s">
        <v>3</v>
      </c>
      <c r="H483" s="102">
        <v>3</v>
      </c>
      <c r="I483" s="102">
        <v>3</v>
      </c>
      <c r="J483" s="62">
        <v>2554.6999999999998</v>
      </c>
      <c r="K483" s="62">
        <v>1158.4000000000001</v>
      </c>
      <c r="L483" s="62">
        <v>157.9</v>
      </c>
      <c r="M483" s="103">
        <v>40</v>
      </c>
      <c r="N483" s="28">
        <f t="shared" si="104"/>
        <v>442006.85</v>
      </c>
      <c r="O483" s="62"/>
      <c r="P483" s="30">
        <f t="shared" si="105"/>
        <v>0</v>
      </c>
      <c r="Q483" s="150"/>
      <c r="R483" s="144"/>
      <c r="S483" s="62"/>
      <c r="T483" s="29"/>
      <c r="U483" s="29"/>
      <c r="V483" s="28">
        <f t="shared" si="106"/>
        <v>442006.85</v>
      </c>
      <c r="W483" s="144">
        <v>442006.85</v>
      </c>
      <c r="X483" s="144"/>
      <c r="Y483" s="28">
        <f t="shared" si="107"/>
        <v>0</v>
      </c>
      <c r="Z483" s="145"/>
      <c r="AA483" s="145"/>
      <c r="AB483" s="146">
        <f t="shared" si="108"/>
        <v>0</v>
      </c>
      <c r="AC483" s="147"/>
      <c r="AD483" s="147"/>
      <c r="AE483" s="62">
        <v>7543.5478082503996</v>
      </c>
      <c r="AF483" s="62">
        <v>7543.5478082503996</v>
      </c>
      <c r="AG483" s="33">
        <v>2024</v>
      </c>
      <c r="AH483" s="18"/>
      <c r="AI483" s="5">
        <f>+(K483*11.55+L483*23.1)*12*0.85</f>
        <v>173675.50200000001</v>
      </c>
      <c r="AJ483" s="5">
        <f>+(K483*11.55+L483*23.1)*12*30-[3]Лист1!$AQ$205</f>
        <v>2310698.7900000005</v>
      </c>
      <c r="AK483" s="5">
        <f t="shared" si="109"/>
        <v>442006.85</v>
      </c>
      <c r="AL483" s="146">
        <f t="shared" si="113"/>
        <v>0</v>
      </c>
      <c r="AM483" s="62"/>
      <c r="AO483" s="30"/>
      <c r="AP483" s="30">
        <v>442006.85</v>
      </c>
      <c r="AQ483" s="30">
        <v>0</v>
      </c>
      <c r="AR483" s="30"/>
      <c r="AS483" s="62"/>
      <c r="AT483" s="30">
        <v>0</v>
      </c>
      <c r="AU483" s="30"/>
      <c r="AV483" s="62"/>
      <c r="AW483" s="30"/>
      <c r="AX483" s="30"/>
      <c r="AY483" s="30"/>
      <c r="AZ483" s="30"/>
      <c r="BA483" s="151"/>
      <c r="BB483" s="149">
        <f t="shared" si="110"/>
        <v>1</v>
      </c>
    </row>
    <row r="484" spans="1:54" s="142" customFormat="1" ht="15.75" hidden="1">
      <c r="A484" s="10">
        <f t="shared" si="111"/>
        <v>463</v>
      </c>
      <c r="B484" s="12">
        <f t="shared" si="112"/>
        <v>4</v>
      </c>
      <c r="C484" s="101" t="s">
        <v>171</v>
      </c>
      <c r="D484" s="101" t="s">
        <v>181</v>
      </c>
      <c r="E484" s="102" t="s">
        <v>182</v>
      </c>
      <c r="F484" s="102"/>
      <c r="G484" s="102" t="s">
        <v>3</v>
      </c>
      <c r="H484" s="102" t="s">
        <v>183</v>
      </c>
      <c r="I484" s="102" t="s">
        <v>183</v>
      </c>
      <c r="J484" s="62">
        <v>4119.1000000000004</v>
      </c>
      <c r="K484" s="62">
        <v>2443.1</v>
      </c>
      <c r="L484" s="62">
        <v>0</v>
      </c>
      <c r="M484" s="103">
        <v>95</v>
      </c>
      <c r="N484" s="28">
        <f t="shared" si="104"/>
        <v>22000784.93</v>
      </c>
      <c r="O484" s="62">
        <v>0</v>
      </c>
      <c r="P484" s="30">
        <f t="shared" si="105"/>
        <v>7515078.7599999998</v>
      </c>
      <c r="Q484" s="152">
        <v>7515078.7599999998</v>
      </c>
      <c r="R484" s="145"/>
      <c r="S484" s="146">
        <v>2709187.48</v>
      </c>
      <c r="T484" s="145">
        <v>2709187.48</v>
      </c>
      <c r="U484" s="145"/>
      <c r="V484" s="28">
        <f t="shared" si="106"/>
        <v>1397878.82</v>
      </c>
      <c r="W484" s="144">
        <v>1397878.82</v>
      </c>
      <c r="X484" s="144"/>
      <c r="Y484" s="28">
        <f t="shared" si="107"/>
        <v>8755949.0800000001</v>
      </c>
      <c r="Z484" s="145">
        <v>8755949.0800000001</v>
      </c>
      <c r="AA484" s="145"/>
      <c r="AB484" s="146">
        <f t="shared" si="108"/>
        <v>1622690.79</v>
      </c>
      <c r="AC484" s="147"/>
      <c r="AD484" s="145">
        <v>1622690.79</v>
      </c>
      <c r="AE484" s="30">
        <v>10825.8723727263</v>
      </c>
      <c r="AF484" s="30">
        <v>1178.2830200640001</v>
      </c>
      <c r="AG484" s="33">
        <v>2024</v>
      </c>
      <c r="AH484" s="142">
        <v>341485.37</v>
      </c>
      <c r="AI484" s="5">
        <f>+(K484*11.55+L484*23.1)*12*0.85</f>
        <v>287821.61100000003</v>
      </c>
      <c r="AJ484" s="5">
        <f>+(K484*11.55+L484*23.1)*12*30</f>
        <v>10158409.800000001</v>
      </c>
      <c r="AK484" s="5">
        <f t="shared" si="109"/>
        <v>22000784.93</v>
      </c>
      <c r="AL484" s="146">
        <f t="shared" si="113"/>
        <v>0</v>
      </c>
      <c r="AM484" s="62">
        <v>5117306.05</v>
      </c>
      <c r="AN484" s="30">
        <v>0</v>
      </c>
      <c r="AO484" s="30">
        <v>2956319.09</v>
      </c>
      <c r="AP484" s="30">
        <v>656570.94999999995</v>
      </c>
      <c r="AQ484" s="30">
        <v>0</v>
      </c>
      <c r="AR484" s="30"/>
      <c r="AS484" s="62"/>
      <c r="AT484" s="30">
        <v>0</v>
      </c>
      <c r="AU484" s="30"/>
      <c r="AV484" s="30"/>
      <c r="AW484" s="30">
        <v>13270588.84</v>
      </c>
      <c r="AX484" s="30">
        <v>0</v>
      </c>
      <c r="AY484" s="153"/>
      <c r="AZ484" s="153"/>
      <c r="BA484" s="148"/>
      <c r="BB484" s="149">
        <f t="shared" si="110"/>
        <v>4</v>
      </c>
    </row>
    <row r="485" spans="1:54" s="142" customFormat="1" ht="15.75" hidden="1">
      <c r="A485" s="10">
        <f t="shared" si="111"/>
        <v>464</v>
      </c>
      <c r="B485" s="12">
        <f t="shared" si="112"/>
        <v>5</v>
      </c>
      <c r="C485" s="101" t="s">
        <v>171</v>
      </c>
      <c r="D485" s="101" t="s">
        <v>187</v>
      </c>
      <c r="E485" s="102" t="s">
        <v>188</v>
      </c>
      <c r="F485" s="102"/>
      <c r="G485" s="102" t="s">
        <v>3</v>
      </c>
      <c r="H485" s="102" t="s">
        <v>183</v>
      </c>
      <c r="I485" s="102" t="s">
        <v>183</v>
      </c>
      <c r="J485" s="62">
        <v>4123.1000000000004</v>
      </c>
      <c r="K485" s="62">
        <v>2363</v>
      </c>
      <c r="L485" s="62">
        <v>91.8</v>
      </c>
      <c r="M485" s="103">
        <v>100</v>
      </c>
      <c r="N485" s="28">
        <f t="shared" si="104"/>
        <v>21471100.469999999</v>
      </c>
      <c r="O485" s="62">
        <v>0</v>
      </c>
      <c r="P485" s="30">
        <f t="shared" si="105"/>
        <v>6368373.4299999997</v>
      </c>
      <c r="Q485" s="152">
        <v>6368373.4299999997</v>
      </c>
      <c r="R485" s="145"/>
      <c r="S485" s="146">
        <v>2709187.47</v>
      </c>
      <c r="T485" s="145">
        <v>2709187.47</v>
      </c>
      <c r="U485" s="145"/>
      <c r="V485" s="28">
        <f t="shared" si="106"/>
        <v>1689747.05</v>
      </c>
      <c r="W485" s="144">
        <v>1689747.05</v>
      </c>
      <c r="X485" s="144"/>
      <c r="Y485" s="28">
        <f t="shared" si="107"/>
        <v>9066674.6600000001</v>
      </c>
      <c r="Z485" s="145">
        <v>9066674.6600000001</v>
      </c>
      <c r="AA485" s="145"/>
      <c r="AB485" s="146">
        <f t="shared" si="108"/>
        <v>1637117.86</v>
      </c>
      <c r="AC485" s="147"/>
      <c r="AD485" s="145">
        <v>1637117.86</v>
      </c>
      <c r="AE485" s="30">
        <v>10259.626094067</v>
      </c>
      <c r="AF485" s="30">
        <v>1179.2830200640001</v>
      </c>
      <c r="AG485" s="33">
        <v>2024</v>
      </c>
      <c r="AH485" s="98">
        <v>624953.98</v>
      </c>
      <c r="AI485" s="5">
        <f>+(K485*11.55+L485*23.1)*12*0.85</f>
        <v>300014.946</v>
      </c>
      <c r="AJ485" s="5">
        <f>+(K485*11.55+L485*23.1)*12*30</f>
        <v>10588762.800000001</v>
      </c>
      <c r="AK485" s="5">
        <f t="shared" si="109"/>
        <v>21471100.469999999</v>
      </c>
      <c r="AL485" s="146">
        <f t="shared" si="113"/>
        <v>0</v>
      </c>
      <c r="AM485" s="62">
        <v>4516630.92</v>
      </c>
      <c r="AN485" s="30">
        <v>0</v>
      </c>
      <c r="AO485" s="30">
        <v>2939342.87</v>
      </c>
      <c r="AP485" s="30">
        <v>583291.01</v>
      </c>
      <c r="AQ485" s="30">
        <v>0</v>
      </c>
      <c r="AR485" s="30"/>
      <c r="AS485" s="62"/>
      <c r="AT485" s="30">
        <v>0</v>
      </c>
      <c r="AU485" s="30"/>
      <c r="AV485" s="30"/>
      <c r="AW485" s="30">
        <v>13431835.67</v>
      </c>
      <c r="AX485" s="30">
        <v>0</v>
      </c>
      <c r="AY485" s="153"/>
      <c r="AZ485" s="153"/>
      <c r="BA485" s="148"/>
      <c r="BB485" s="149">
        <f t="shared" si="110"/>
        <v>4</v>
      </c>
    </row>
    <row r="486" spans="1:54" s="142" customFormat="1" ht="15.75" hidden="1">
      <c r="A486" s="10">
        <f t="shared" si="111"/>
        <v>465</v>
      </c>
      <c r="B486" s="12">
        <f t="shared" si="112"/>
        <v>6</v>
      </c>
      <c r="C486" s="101" t="s">
        <v>171</v>
      </c>
      <c r="D486" s="101" t="s">
        <v>190</v>
      </c>
      <c r="E486" s="102" t="s">
        <v>191</v>
      </c>
      <c r="F486" s="102"/>
      <c r="G486" s="102" t="s">
        <v>3</v>
      </c>
      <c r="H486" s="102" t="s">
        <v>183</v>
      </c>
      <c r="I486" s="102" t="s">
        <v>183</v>
      </c>
      <c r="J486" s="62">
        <v>4170.5</v>
      </c>
      <c r="K486" s="62">
        <v>2454.1</v>
      </c>
      <c r="L486" s="62">
        <v>0</v>
      </c>
      <c r="M486" s="103">
        <v>90</v>
      </c>
      <c r="N486" s="28">
        <f t="shared" si="104"/>
        <v>12985326.369999999</v>
      </c>
      <c r="O486" s="62"/>
      <c r="P486" s="30">
        <f t="shared" si="105"/>
        <v>0</v>
      </c>
      <c r="Q486" s="154"/>
      <c r="R486" s="145"/>
      <c r="S486" s="146">
        <v>2709187.47</v>
      </c>
      <c r="T486" s="145">
        <v>2709187.47</v>
      </c>
      <c r="U486" s="145"/>
      <c r="V486" s="28">
        <f t="shared" si="106"/>
        <v>1637608.13</v>
      </c>
      <c r="W486" s="144">
        <v>1637608.13</v>
      </c>
      <c r="X486" s="144"/>
      <c r="Y486" s="28">
        <f t="shared" si="107"/>
        <v>8201729.4199999999</v>
      </c>
      <c r="Z486" s="145">
        <v>8201729.4199999999</v>
      </c>
      <c r="AA486" s="145"/>
      <c r="AB486" s="146">
        <f t="shared" si="108"/>
        <v>436801.35</v>
      </c>
      <c r="AC486" s="147"/>
      <c r="AD486" s="145">
        <v>436801.35</v>
      </c>
      <c r="AE486" s="30">
        <v>5667.17</v>
      </c>
      <c r="AF486" s="30">
        <v>1180.2830200640001</v>
      </c>
      <c r="AG486" s="33">
        <v>2024</v>
      </c>
      <c r="AH486" s="155">
        <v>1374774.02</v>
      </c>
      <c r="AI486" s="5">
        <f>+(K486*10.5+L486*21)*12*0.85</f>
        <v>262834.11</v>
      </c>
      <c r="AJ486" s="5">
        <f>+(K486*10.5+L486*21)*12*30</f>
        <v>9276498</v>
      </c>
      <c r="AK486" s="5">
        <f t="shared" si="109"/>
        <v>12985326.369999999</v>
      </c>
      <c r="AL486" s="146">
        <f t="shared" si="113"/>
        <v>0</v>
      </c>
      <c r="AM486" s="62"/>
      <c r="AN486" s="30"/>
      <c r="AO486" s="30"/>
      <c r="AP486" s="30"/>
      <c r="AQ486" s="30"/>
      <c r="AR486" s="30"/>
      <c r="AS486" s="62"/>
      <c r="AT486" s="30"/>
      <c r="AU486" s="30"/>
      <c r="AV486" s="30"/>
      <c r="AW486" s="30">
        <v>12985326.369999999</v>
      </c>
      <c r="AX486" s="30">
        <v>0</v>
      </c>
      <c r="AY486" s="153"/>
      <c r="AZ486" s="153"/>
      <c r="BA486" s="148"/>
      <c r="BB486" s="149">
        <f t="shared" si="110"/>
        <v>1</v>
      </c>
    </row>
    <row r="487" spans="1:54" ht="15.75" hidden="1">
      <c r="A487" s="10">
        <f t="shared" si="111"/>
        <v>466</v>
      </c>
      <c r="B487" s="12">
        <f t="shared" si="112"/>
        <v>7</v>
      </c>
      <c r="C487" s="12" t="s">
        <v>106</v>
      </c>
      <c r="D487" s="12" t="s">
        <v>193</v>
      </c>
      <c r="E487" s="102">
        <v>1989</v>
      </c>
      <c r="F487" s="102">
        <v>2012</v>
      </c>
      <c r="G487" s="102" t="s">
        <v>3</v>
      </c>
      <c r="H487" s="102">
        <v>5</v>
      </c>
      <c r="I487" s="102">
        <v>4</v>
      </c>
      <c r="J487" s="62">
        <v>5759.5</v>
      </c>
      <c r="K487" s="62">
        <v>4823.5</v>
      </c>
      <c r="L487" s="62">
        <v>45.7</v>
      </c>
      <c r="M487" s="103">
        <v>170</v>
      </c>
      <c r="N487" s="28">
        <f t="shared" si="104"/>
        <v>10766029.58</v>
      </c>
      <c r="O487" s="30"/>
      <c r="P487" s="30">
        <f t="shared" si="105"/>
        <v>6399055.5599999996</v>
      </c>
      <c r="Q487" s="152">
        <v>6399055.5599999996</v>
      </c>
      <c r="R487" s="145"/>
      <c r="S487" s="30"/>
      <c r="T487" s="31"/>
      <c r="U487" s="31"/>
      <c r="V487" s="28">
        <f t="shared" si="106"/>
        <v>579024.37</v>
      </c>
      <c r="W487" s="144">
        <v>579024.37</v>
      </c>
      <c r="X487" s="144"/>
      <c r="Y487" s="28">
        <f t="shared" si="107"/>
        <v>3678452.33</v>
      </c>
      <c r="Z487" s="144">
        <v>3678452.33</v>
      </c>
      <c r="AA487" s="144"/>
      <c r="AB487" s="151">
        <v>109497.32</v>
      </c>
      <c r="AC487" s="145">
        <v>109497.32</v>
      </c>
      <c r="AD487" s="147"/>
      <c r="AE487" s="62">
        <v>3631.3565411908598</v>
      </c>
      <c r="AF487" s="62">
        <v>3631.3565411908598</v>
      </c>
      <c r="AG487" s="33">
        <v>2024</v>
      </c>
      <c r="AI487" s="5">
        <f>+(K487*11.55+L487*23.1)*12*0.85</f>
        <v>579024.36899999995</v>
      </c>
      <c r="AJ487" s="5">
        <f>+(K487*11.55+L487*23.1)*12*30-[3]Лист1!$AQ$223</f>
        <v>14903976.609999999</v>
      </c>
      <c r="AK487" s="5">
        <f t="shared" si="109"/>
        <v>10766029.58</v>
      </c>
      <c r="AL487" s="146">
        <f t="shared" si="113"/>
        <v>0</v>
      </c>
      <c r="AM487" s="62">
        <v>0</v>
      </c>
      <c r="AN487" s="30">
        <v>0</v>
      </c>
      <c r="AO487" s="30"/>
      <c r="AP487" s="30"/>
      <c r="AQ487" s="30">
        <v>0</v>
      </c>
      <c r="AR487" s="30"/>
      <c r="AS487" s="62"/>
      <c r="AT487" s="30">
        <v>0</v>
      </c>
      <c r="AU487" s="30">
        <v>0</v>
      </c>
      <c r="AV487" s="30"/>
      <c r="AW487" s="30">
        <v>10656532.26</v>
      </c>
      <c r="AX487" s="30"/>
      <c r="AY487" s="30"/>
      <c r="AZ487" s="30"/>
      <c r="BA487" s="156"/>
      <c r="BB487" s="149">
        <f t="shared" si="110"/>
        <v>1</v>
      </c>
    </row>
    <row r="488" spans="1:54" s="142" customFormat="1" ht="18" hidden="1" customHeight="1">
      <c r="A488" s="10">
        <f t="shared" si="111"/>
        <v>467</v>
      </c>
      <c r="B488" s="12">
        <f t="shared" si="112"/>
        <v>8</v>
      </c>
      <c r="C488" s="101" t="s">
        <v>90</v>
      </c>
      <c r="D488" s="101" t="s">
        <v>195</v>
      </c>
      <c r="E488" s="102" t="s">
        <v>188</v>
      </c>
      <c r="F488" s="102"/>
      <c r="G488" s="102" t="s">
        <v>3</v>
      </c>
      <c r="H488" s="102" t="s">
        <v>169</v>
      </c>
      <c r="I488" s="102" t="s">
        <v>183</v>
      </c>
      <c r="J488" s="62">
        <v>3725.6</v>
      </c>
      <c r="K488" s="62">
        <v>3166.8</v>
      </c>
      <c r="L488" s="62">
        <v>0</v>
      </c>
      <c r="M488" s="103">
        <v>150</v>
      </c>
      <c r="N488" s="28">
        <f t="shared" si="104"/>
        <v>17226746.399999999</v>
      </c>
      <c r="O488" s="62">
        <v>0</v>
      </c>
      <c r="P488" s="30">
        <f t="shared" si="105"/>
        <v>10570071.939999999</v>
      </c>
      <c r="Q488" s="152">
        <v>6759161.6399999997</v>
      </c>
      <c r="R488" s="145">
        <v>3810910.3</v>
      </c>
      <c r="S488" s="30"/>
      <c r="T488" s="31"/>
      <c r="U488" s="31"/>
      <c r="V488" s="28">
        <f t="shared" si="106"/>
        <v>1473487.75</v>
      </c>
      <c r="W488" s="144">
        <v>1473487.75</v>
      </c>
      <c r="X488" s="144"/>
      <c r="Y488" s="28">
        <f t="shared" si="107"/>
        <v>3460512.07</v>
      </c>
      <c r="Z488" s="144">
        <v>3460512.07</v>
      </c>
      <c r="AA488" s="144"/>
      <c r="AB488" s="146">
        <f t="shared" ref="AB488:AB496" si="114">AC488+AD488</f>
        <v>1722674.64</v>
      </c>
      <c r="AC488" s="147"/>
      <c r="AD488" s="145">
        <v>1722674.64</v>
      </c>
      <c r="AE488" s="30">
        <v>6036.35638456785</v>
      </c>
      <c r="AF488" s="30">
        <v>1181.2830200640001</v>
      </c>
      <c r="AG488" s="33">
        <v>2024</v>
      </c>
      <c r="AH488" s="142">
        <v>1644265.53</v>
      </c>
      <c r="AI488" s="5">
        <f>+(K488*10+L488*20)*12*0.85</f>
        <v>323013.59999999998</v>
      </c>
      <c r="AJ488" s="5">
        <f>+(K488*10+L488*20)*12*30</f>
        <v>11400480</v>
      </c>
      <c r="AK488" s="5">
        <f t="shared" si="109"/>
        <v>17226746.399999999</v>
      </c>
      <c r="AL488" s="146">
        <f t="shared" si="113"/>
        <v>0</v>
      </c>
      <c r="AM488" s="62"/>
      <c r="AN488" s="30"/>
      <c r="AO488" s="30"/>
      <c r="AP488" s="30"/>
      <c r="AQ488" s="30"/>
      <c r="AR488" s="30"/>
      <c r="AS488" s="62"/>
      <c r="AT488" s="30"/>
      <c r="AU488" s="30"/>
      <c r="AV488" s="30"/>
      <c r="AW488" s="30">
        <v>17226746.399999999</v>
      </c>
      <c r="AX488" s="30"/>
      <c r="AY488" s="153"/>
      <c r="AZ488" s="153"/>
      <c r="BA488" s="148"/>
      <c r="BB488" s="149">
        <f t="shared" si="110"/>
        <v>1</v>
      </c>
    </row>
    <row r="489" spans="1:54" ht="17.25" hidden="1" customHeight="1">
      <c r="A489" s="10">
        <f t="shared" si="111"/>
        <v>468</v>
      </c>
      <c r="B489" s="12">
        <f t="shared" si="112"/>
        <v>9</v>
      </c>
      <c r="C489" s="101" t="s">
        <v>106</v>
      </c>
      <c r="D489" s="101" t="s">
        <v>198</v>
      </c>
      <c r="E489" s="102">
        <v>1998</v>
      </c>
      <c r="F489" s="102">
        <v>1998</v>
      </c>
      <c r="G489" s="102" t="s">
        <v>3</v>
      </c>
      <c r="H489" s="102">
        <v>5</v>
      </c>
      <c r="I489" s="102">
        <v>4</v>
      </c>
      <c r="J489" s="62">
        <v>4979.8</v>
      </c>
      <c r="K489" s="62">
        <v>4317.2</v>
      </c>
      <c r="L489" s="62">
        <v>0</v>
      </c>
      <c r="M489" s="103">
        <v>170</v>
      </c>
      <c r="N489" s="28">
        <f t="shared" si="104"/>
        <v>12005669.59</v>
      </c>
      <c r="O489" s="62"/>
      <c r="P489" s="30">
        <f t="shared" si="105"/>
        <v>7199614.7599999998</v>
      </c>
      <c r="Q489" s="152">
        <v>4930802.9800000004</v>
      </c>
      <c r="R489" s="145">
        <v>2268811.7799999998</v>
      </c>
      <c r="S489" s="30"/>
      <c r="T489" s="31"/>
      <c r="U489" s="31"/>
      <c r="V489" s="28">
        <f t="shared" si="106"/>
        <v>449404.89</v>
      </c>
      <c r="W489" s="144">
        <v>449404.89</v>
      </c>
      <c r="X489" s="144"/>
      <c r="Y489" s="28">
        <f t="shared" si="107"/>
        <v>3165735.44</v>
      </c>
      <c r="Z489" s="145">
        <v>3069210.88</v>
      </c>
      <c r="AA489" s="145">
        <v>96524.5600000001</v>
      </c>
      <c r="AB489" s="146">
        <f t="shared" si="114"/>
        <v>1190914.5</v>
      </c>
      <c r="AC489" s="147"/>
      <c r="AD489" s="145">
        <v>1190914.5</v>
      </c>
      <c r="AE489" s="30">
        <v>5983.4926343375801</v>
      </c>
      <c r="AF489" s="30">
        <v>1180.2830200640001</v>
      </c>
      <c r="AG489" s="33">
        <v>2024</v>
      </c>
      <c r="AH489" s="1">
        <f>2564742.71-1318564.22</f>
        <v>1246178.49</v>
      </c>
      <c r="AI489" s="5">
        <f>+(K489*10.5+L489*21)*12*0.85</f>
        <v>462372.11999999994</v>
      </c>
      <c r="AJ489" s="5">
        <f>+(K489*10.5+L489*21)*12*30</f>
        <v>16319015.999999998</v>
      </c>
      <c r="AK489" s="5">
        <f t="shared" si="109"/>
        <v>12005669.59</v>
      </c>
      <c r="AL489" s="146">
        <f t="shared" si="113"/>
        <v>0</v>
      </c>
      <c r="AM489" s="62">
        <v>5393202.3799999999</v>
      </c>
      <c r="AN489" s="30">
        <v>3557169.42</v>
      </c>
      <c r="AO489" s="30"/>
      <c r="AP489" s="30">
        <v>2958773.23</v>
      </c>
      <c r="AQ489" s="30">
        <v>0</v>
      </c>
      <c r="AR489" s="30"/>
      <c r="AS489" s="62"/>
      <c r="AT489" s="30">
        <v>0</v>
      </c>
      <c r="AU489" s="30">
        <v>0</v>
      </c>
      <c r="AV489" s="30">
        <v>0</v>
      </c>
      <c r="AW489" s="30">
        <v>0</v>
      </c>
      <c r="AX489" s="30">
        <v>0</v>
      </c>
      <c r="AY489" s="30"/>
      <c r="AZ489" s="30"/>
      <c r="BA489" s="156">
        <v>96524.56</v>
      </c>
      <c r="BB489" s="149">
        <f t="shared" si="110"/>
        <v>3</v>
      </c>
    </row>
    <row r="490" spans="1:54" ht="15.75" hidden="1">
      <c r="A490" s="10">
        <f t="shared" si="111"/>
        <v>469</v>
      </c>
      <c r="B490" s="12">
        <f t="shared" si="112"/>
        <v>10</v>
      </c>
      <c r="C490" s="101" t="s">
        <v>106</v>
      </c>
      <c r="D490" s="101" t="s">
        <v>200</v>
      </c>
      <c r="E490" s="102">
        <v>1996</v>
      </c>
      <c r="F490" s="102">
        <v>1996</v>
      </c>
      <c r="G490" s="102" t="s">
        <v>3</v>
      </c>
      <c r="H490" s="102">
        <v>5</v>
      </c>
      <c r="I490" s="102">
        <v>4</v>
      </c>
      <c r="J490" s="62">
        <v>3635.6</v>
      </c>
      <c r="K490" s="62">
        <v>3076.7</v>
      </c>
      <c r="L490" s="62">
        <v>0</v>
      </c>
      <c r="M490" s="103">
        <v>122</v>
      </c>
      <c r="N490" s="28">
        <f t="shared" si="104"/>
        <v>4785435.03</v>
      </c>
      <c r="O490" s="62"/>
      <c r="P490" s="30">
        <f t="shared" si="105"/>
        <v>2963084.91</v>
      </c>
      <c r="Q490" s="152">
        <v>2170568.33</v>
      </c>
      <c r="R490" s="145">
        <v>792516.58</v>
      </c>
      <c r="S490" s="30"/>
      <c r="T490" s="31"/>
      <c r="U490" s="31"/>
      <c r="V490" s="28">
        <f t="shared" si="106"/>
        <v>288250.55</v>
      </c>
      <c r="W490" s="144">
        <v>288250.55</v>
      </c>
      <c r="X490" s="144"/>
      <c r="Y490" s="28">
        <f t="shared" si="107"/>
        <v>1060346.32</v>
      </c>
      <c r="Z490" s="145">
        <v>1012443.75</v>
      </c>
      <c r="AA490" s="145">
        <v>47902.570000000102</v>
      </c>
      <c r="AB490" s="146">
        <f t="shared" si="114"/>
        <v>473753.25</v>
      </c>
      <c r="AC490" s="147"/>
      <c r="AD490" s="145">
        <v>473753.25</v>
      </c>
      <c r="AE490" s="30">
        <v>1109.97150386968</v>
      </c>
      <c r="AF490" s="30">
        <v>1182.2830200640001</v>
      </c>
      <c r="AG490" s="33">
        <v>2024</v>
      </c>
      <c r="AH490" s="18"/>
      <c r="AI490" s="5">
        <f>+(K490*11.55+L490*23.1)*12*0.85</f>
        <v>362466.027</v>
      </c>
      <c r="AJ490" s="5">
        <f>+(K490*11.55+L490*23.1)*12*30-[3]Лист1!$AQ$221</f>
        <v>11666484.76</v>
      </c>
      <c r="AK490" s="5">
        <f t="shared" si="109"/>
        <v>4785435.03</v>
      </c>
      <c r="AL490" s="146">
        <f t="shared" si="113"/>
        <v>0</v>
      </c>
      <c r="AM490" s="62">
        <v>4737532.46</v>
      </c>
      <c r="AN490" s="30"/>
      <c r="AO490" s="30"/>
      <c r="AP490" s="30"/>
      <c r="AQ490" s="30">
        <v>0</v>
      </c>
      <c r="AR490" s="30"/>
      <c r="AS490" s="62"/>
      <c r="AT490" s="30">
        <v>0</v>
      </c>
      <c r="AU490" s="30">
        <v>0</v>
      </c>
      <c r="AV490" s="30">
        <v>0</v>
      </c>
      <c r="AW490" s="30">
        <v>0</v>
      </c>
      <c r="AX490" s="30">
        <v>0</v>
      </c>
      <c r="AY490" s="30"/>
      <c r="AZ490" s="30"/>
      <c r="BA490" s="156">
        <v>47902.57</v>
      </c>
      <c r="BB490" s="149">
        <f t="shared" si="110"/>
        <v>1</v>
      </c>
    </row>
    <row r="491" spans="1:54" s="142" customFormat="1" ht="15.75" hidden="1">
      <c r="A491" s="10">
        <f t="shared" si="111"/>
        <v>470</v>
      </c>
      <c r="B491" s="12">
        <f t="shared" si="112"/>
        <v>11</v>
      </c>
      <c r="C491" s="101" t="s">
        <v>202</v>
      </c>
      <c r="D491" s="101" t="s">
        <v>203</v>
      </c>
      <c r="E491" s="102" t="s">
        <v>204</v>
      </c>
      <c r="F491" s="102"/>
      <c r="G491" s="102" t="s">
        <v>3</v>
      </c>
      <c r="H491" s="102" t="s">
        <v>169</v>
      </c>
      <c r="I491" s="102" t="s">
        <v>183</v>
      </c>
      <c r="J491" s="62">
        <v>3731.6</v>
      </c>
      <c r="K491" s="62">
        <v>3131.6</v>
      </c>
      <c r="L491" s="62">
        <v>600</v>
      </c>
      <c r="M491" s="103">
        <v>135</v>
      </c>
      <c r="N491" s="28">
        <f t="shared" si="104"/>
        <v>32110899.539999999</v>
      </c>
      <c r="O491" s="62">
        <v>0</v>
      </c>
      <c r="P491" s="30">
        <f t="shared" si="105"/>
        <v>16075316.34</v>
      </c>
      <c r="Q491" s="152">
        <v>16075316.34</v>
      </c>
      <c r="R491" s="145"/>
      <c r="S491" s="30"/>
      <c r="T491" s="31"/>
      <c r="U491" s="31"/>
      <c r="V491" s="28">
        <f t="shared" si="106"/>
        <v>441823.2</v>
      </c>
      <c r="W491" s="144">
        <v>441823.2</v>
      </c>
      <c r="X491" s="144"/>
      <c r="Y491" s="28">
        <f t="shared" si="107"/>
        <v>15593760</v>
      </c>
      <c r="Z491" s="145">
        <v>15593760</v>
      </c>
      <c r="AA491" s="145"/>
      <c r="AB491" s="146">
        <f t="shared" si="114"/>
        <v>0</v>
      </c>
      <c r="AC491" s="147"/>
      <c r="AD491" s="145"/>
      <c r="AE491" s="62">
        <v>9389.2312832000007</v>
      </c>
      <c r="AF491" s="62">
        <v>9389.2312832000007</v>
      </c>
      <c r="AG491" s="33">
        <v>2024</v>
      </c>
      <c r="AH491" s="157">
        <f>1031781.22</f>
        <v>1031781.22</v>
      </c>
      <c r="AI491" s="5">
        <f t="shared" ref="AI491:AI496" si="115">+(K491*10+L491*20)*12*0.85</f>
        <v>441823.2</v>
      </c>
      <c r="AJ491" s="5">
        <f t="shared" ref="AJ491:AJ496" si="116">+(K491*10+L491*20)*12*30</f>
        <v>15593760</v>
      </c>
      <c r="AK491" s="5">
        <f t="shared" si="109"/>
        <v>32110899.539999999</v>
      </c>
      <c r="AL491" s="146">
        <f t="shared" si="113"/>
        <v>0</v>
      </c>
      <c r="AM491" s="62"/>
      <c r="AN491" s="30"/>
      <c r="AO491" s="30"/>
      <c r="AP491" s="30"/>
      <c r="AQ491" s="30"/>
      <c r="AR491" s="30"/>
      <c r="AS491" s="62"/>
      <c r="AT491" s="30"/>
      <c r="AU491" s="30">
        <v>12147477.6</v>
      </c>
      <c r="AV491" s="30"/>
      <c r="AW491" s="30">
        <v>19963421.940000001</v>
      </c>
      <c r="AX491" s="30"/>
      <c r="AY491" s="153"/>
      <c r="AZ491" s="153"/>
      <c r="BA491" s="148"/>
      <c r="BB491" s="149">
        <f t="shared" si="110"/>
        <v>2</v>
      </c>
    </row>
    <row r="492" spans="1:54" s="142" customFormat="1" ht="15.75" hidden="1">
      <c r="A492" s="10">
        <f t="shared" si="111"/>
        <v>471</v>
      </c>
      <c r="B492" s="12">
        <f t="shared" si="112"/>
        <v>12</v>
      </c>
      <c r="C492" s="101" t="s">
        <v>202</v>
      </c>
      <c r="D492" s="101" t="s">
        <v>206</v>
      </c>
      <c r="E492" s="102" t="s">
        <v>207</v>
      </c>
      <c r="F492" s="102"/>
      <c r="G492" s="102" t="s">
        <v>3</v>
      </c>
      <c r="H492" s="102" t="s">
        <v>169</v>
      </c>
      <c r="I492" s="102" t="s">
        <v>169</v>
      </c>
      <c r="J492" s="62">
        <v>4283</v>
      </c>
      <c r="K492" s="62">
        <v>3860.1</v>
      </c>
      <c r="L492" s="62">
        <v>409</v>
      </c>
      <c r="M492" s="103">
        <v>144</v>
      </c>
      <c r="N492" s="28">
        <f t="shared" si="104"/>
        <v>38180923.559999995</v>
      </c>
      <c r="O492" s="62">
        <v>0</v>
      </c>
      <c r="P492" s="30">
        <f t="shared" si="105"/>
        <v>19208299.59</v>
      </c>
      <c r="Q492" s="152">
        <v>14721855.890000001</v>
      </c>
      <c r="R492" s="145">
        <v>4486443.7</v>
      </c>
      <c r="S492" s="30"/>
      <c r="T492" s="31"/>
      <c r="U492" s="31"/>
      <c r="V492" s="28">
        <f t="shared" si="106"/>
        <v>966766.22</v>
      </c>
      <c r="W492" s="144">
        <v>966766.22</v>
      </c>
      <c r="X492" s="144"/>
      <c r="Y492" s="28">
        <f t="shared" si="107"/>
        <v>16532947.630000001</v>
      </c>
      <c r="Z492" s="145">
        <v>16532947.630000001</v>
      </c>
      <c r="AA492" s="145"/>
      <c r="AB492" s="146">
        <f t="shared" si="114"/>
        <v>1472910.12</v>
      </c>
      <c r="AC492" s="147"/>
      <c r="AD492" s="145">
        <v>1472910.12</v>
      </c>
      <c r="AE492" s="62">
        <v>4453.3869030006299</v>
      </c>
      <c r="AF492" s="62">
        <v>4453.3869030006299</v>
      </c>
      <c r="AG492" s="33">
        <v>2024</v>
      </c>
      <c r="AH492" s="142">
        <v>1338217.3899999999</v>
      </c>
      <c r="AI492" s="5">
        <f t="shared" si="115"/>
        <v>477166.2</v>
      </c>
      <c r="AJ492" s="5">
        <f t="shared" si="116"/>
        <v>16841160</v>
      </c>
      <c r="AK492" s="5">
        <f t="shared" si="109"/>
        <v>38180923.559999995</v>
      </c>
      <c r="AL492" s="146">
        <f t="shared" si="113"/>
        <v>0</v>
      </c>
      <c r="AM492" s="62"/>
      <c r="AN492" s="30"/>
      <c r="AO492" s="30"/>
      <c r="AP492" s="30"/>
      <c r="AQ492" s="30"/>
      <c r="AR492" s="30"/>
      <c r="AS492" s="62"/>
      <c r="AT492" s="30"/>
      <c r="AU492" s="30">
        <v>14729101.199999999</v>
      </c>
      <c r="AV492" s="30"/>
      <c r="AW492" s="30">
        <v>23451822.359999999</v>
      </c>
      <c r="AX492" s="30">
        <v>0</v>
      </c>
      <c r="AY492" s="153"/>
      <c r="AZ492" s="153"/>
      <c r="BA492" s="148"/>
      <c r="BB492" s="149">
        <f t="shared" si="110"/>
        <v>2</v>
      </c>
    </row>
    <row r="493" spans="1:54" s="142" customFormat="1" ht="15.75" hidden="1">
      <c r="A493" s="10">
        <f t="shared" si="111"/>
        <v>472</v>
      </c>
      <c r="B493" s="12">
        <f t="shared" si="112"/>
        <v>13</v>
      </c>
      <c r="C493" s="101" t="s">
        <v>202</v>
      </c>
      <c r="D493" s="101" t="s">
        <v>209</v>
      </c>
      <c r="E493" s="102" t="s">
        <v>210</v>
      </c>
      <c r="F493" s="102"/>
      <c r="G493" s="102" t="s">
        <v>3</v>
      </c>
      <c r="H493" s="102" t="s">
        <v>169</v>
      </c>
      <c r="I493" s="102" t="s">
        <v>175</v>
      </c>
      <c r="J493" s="62">
        <v>3806</v>
      </c>
      <c r="K493" s="62">
        <v>3356.9</v>
      </c>
      <c r="L493" s="62">
        <v>351</v>
      </c>
      <c r="M493" s="103">
        <v>135</v>
      </c>
      <c r="N493" s="28">
        <f t="shared" si="104"/>
        <v>31088512.760000002</v>
      </c>
      <c r="O493" s="62">
        <v>0</v>
      </c>
      <c r="P493" s="30">
        <f t="shared" si="105"/>
        <v>15467415.870000001</v>
      </c>
      <c r="Q493" s="152">
        <v>11718880.07</v>
      </c>
      <c r="R493" s="145">
        <v>3748535.8</v>
      </c>
      <c r="S493" s="30"/>
      <c r="T493" s="31"/>
      <c r="U493" s="31"/>
      <c r="V493" s="28">
        <f t="shared" si="106"/>
        <v>1312528.8500000001</v>
      </c>
      <c r="W493" s="144">
        <v>1312528.8500000001</v>
      </c>
      <c r="X493" s="144"/>
      <c r="Y493" s="28">
        <f t="shared" si="107"/>
        <v>13987916.550000001</v>
      </c>
      <c r="Z493" s="145">
        <v>13987916.550000001</v>
      </c>
      <c r="AA493" s="145"/>
      <c r="AB493" s="146">
        <f t="shared" si="114"/>
        <v>320651.49</v>
      </c>
      <c r="AC493" s="147"/>
      <c r="AD493" s="145">
        <v>320651.49</v>
      </c>
      <c r="AE493" s="62">
        <v>4453.3869030200003</v>
      </c>
      <c r="AF493" s="62">
        <v>4453.3869030200003</v>
      </c>
      <c r="AG493" s="33">
        <v>2024</v>
      </c>
      <c r="AH493" s="142">
        <v>1309419.32</v>
      </c>
      <c r="AI493" s="5">
        <f t="shared" si="115"/>
        <v>414007.8</v>
      </c>
      <c r="AJ493" s="5">
        <f t="shared" si="116"/>
        <v>14612040</v>
      </c>
      <c r="AK493" s="5">
        <f t="shared" si="109"/>
        <v>31088512.760000002</v>
      </c>
      <c r="AL493" s="146">
        <f t="shared" si="113"/>
        <v>0</v>
      </c>
      <c r="AM493" s="62"/>
      <c r="AN493" s="30"/>
      <c r="AO493" s="30"/>
      <c r="AP493" s="30"/>
      <c r="AQ493" s="30"/>
      <c r="AR493" s="30"/>
      <c r="AS493" s="62"/>
      <c r="AT493" s="30"/>
      <c r="AU493" s="30">
        <v>11006754</v>
      </c>
      <c r="AV493" s="30"/>
      <c r="AW493" s="30">
        <v>20081758.760000002</v>
      </c>
      <c r="AX493" s="30">
        <v>0</v>
      </c>
      <c r="AY493" s="153"/>
      <c r="AZ493" s="153"/>
      <c r="BA493" s="148"/>
      <c r="BB493" s="149">
        <f t="shared" si="110"/>
        <v>2</v>
      </c>
    </row>
    <row r="494" spans="1:54" s="142" customFormat="1" ht="15.75" hidden="1">
      <c r="A494" s="10">
        <f t="shared" si="111"/>
        <v>473</v>
      </c>
      <c r="B494" s="12">
        <f t="shared" si="112"/>
        <v>14</v>
      </c>
      <c r="C494" s="101" t="s">
        <v>202</v>
      </c>
      <c r="D494" s="101" t="s">
        <v>213</v>
      </c>
      <c r="E494" s="102" t="s">
        <v>214</v>
      </c>
      <c r="F494" s="102"/>
      <c r="G494" s="102" t="s">
        <v>3</v>
      </c>
      <c r="H494" s="102" t="s">
        <v>169</v>
      </c>
      <c r="I494" s="102" t="s">
        <v>175</v>
      </c>
      <c r="J494" s="62">
        <v>3860</v>
      </c>
      <c r="K494" s="62">
        <v>3379.8</v>
      </c>
      <c r="L494" s="62">
        <v>405</v>
      </c>
      <c r="M494" s="103">
        <v>150</v>
      </c>
      <c r="N494" s="28">
        <f t="shared" si="104"/>
        <v>31630309.32</v>
      </c>
      <c r="O494" s="62">
        <v>0</v>
      </c>
      <c r="P494" s="30">
        <f t="shared" si="105"/>
        <v>16119669.720000001</v>
      </c>
      <c r="Q494" s="152">
        <v>16119669.720000001</v>
      </c>
      <c r="R494" s="145"/>
      <c r="S494" s="30"/>
      <c r="T494" s="31"/>
      <c r="U494" s="31"/>
      <c r="V494" s="28">
        <f t="shared" si="106"/>
        <v>427359.6</v>
      </c>
      <c r="W494" s="144">
        <v>427359.6</v>
      </c>
      <c r="X494" s="144"/>
      <c r="Y494" s="28">
        <f t="shared" si="107"/>
        <v>15083280</v>
      </c>
      <c r="Z494" s="145">
        <v>15083280</v>
      </c>
      <c r="AA494" s="145"/>
      <c r="AB494" s="146">
        <f t="shared" si="114"/>
        <v>0</v>
      </c>
      <c r="AC494" s="147"/>
      <c r="AD494" s="147"/>
      <c r="AE494" s="62">
        <v>9389.2312832000007</v>
      </c>
      <c r="AF494" s="62">
        <v>9389.2312832000007</v>
      </c>
      <c r="AG494" s="33">
        <v>2024</v>
      </c>
      <c r="AH494" s="157">
        <f>1091644.43</f>
        <v>1091644.43</v>
      </c>
      <c r="AI494" s="5">
        <f t="shared" si="115"/>
        <v>427359.6</v>
      </c>
      <c r="AJ494" s="5">
        <f t="shared" si="116"/>
        <v>15083280</v>
      </c>
      <c r="AK494" s="5">
        <f t="shared" si="109"/>
        <v>31630309.32</v>
      </c>
      <c r="AL494" s="146">
        <f t="shared" si="113"/>
        <v>0</v>
      </c>
      <c r="AM494" s="62"/>
      <c r="AN494" s="30"/>
      <c r="AO494" s="30"/>
      <c r="AP494" s="30"/>
      <c r="AQ494" s="30"/>
      <c r="AR494" s="30"/>
      <c r="AS494" s="62"/>
      <c r="AT494" s="30"/>
      <c r="AU494" s="30">
        <v>11152173.6</v>
      </c>
      <c r="AV494" s="30"/>
      <c r="AW494" s="30">
        <v>20478135.719999999</v>
      </c>
      <c r="AX494" s="30">
        <v>0</v>
      </c>
      <c r="AY494" s="153"/>
      <c r="AZ494" s="153"/>
      <c r="BA494" s="148"/>
      <c r="BB494" s="149">
        <f t="shared" si="110"/>
        <v>2</v>
      </c>
    </row>
    <row r="495" spans="1:54" s="142" customFormat="1" ht="15.75" hidden="1">
      <c r="A495" s="10">
        <f t="shared" si="111"/>
        <v>474</v>
      </c>
      <c r="B495" s="12">
        <f t="shared" si="112"/>
        <v>15</v>
      </c>
      <c r="C495" s="101" t="s">
        <v>202</v>
      </c>
      <c r="D495" s="101" t="s">
        <v>217</v>
      </c>
      <c r="E495" s="102" t="s">
        <v>218</v>
      </c>
      <c r="F495" s="102"/>
      <c r="G495" s="102" t="s">
        <v>3</v>
      </c>
      <c r="H495" s="102" t="s">
        <v>169</v>
      </c>
      <c r="I495" s="102" t="s">
        <v>175</v>
      </c>
      <c r="J495" s="62">
        <v>3821</v>
      </c>
      <c r="K495" s="62">
        <v>3372.2</v>
      </c>
      <c r="L495" s="62">
        <v>340</v>
      </c>
      <c r="M495" s="103">
        <v>119</v>
      </c>
      <c r="N495" s="28">
        <f t="shared" si="104"/>
        <v>33314419.460000001</v>
      </c>
      <c r="O495" s="62">
        <v>0</v>
      </c>
      <c r="P495" s="30">
        <f t="shared" si="105"/>
        <v>18943596.93</v>
      </c>
      <c r="Q495" s="152">
        <v>18240973.02</v>
      </c>
      <c r="R495" s="145">
        <v>702623.91</v>
      </c>
      <c r="S495" s="30"/>
      <c r="T495" s="31"/>
      <c r="U495" s="31"/>
      <c r="V495" s="28">
        <f t="shared" si="106"/>
        <v>0</v>
      </c>
      <c r="W495" s="144"/>
      <c r="X495" s="144"/>
      <c r="Y495" s="28">
        <f t="shared" si="107"/>
        <v>14370822.529999999</v>
      </c>
      <c r="Z495" s="145">
        <v>14370822.529999999</v>
      </c>
      <c r="AA495" s="145"/>
      <c r="AB495" s="146">
        <f t="shared" si="114"/>
        <v>0</v>
      </c>
      <c r="AC495" s="147"/>
      <c r="AD495" s="147"/>
      <c r="AE495" s="62">
        <v>9389.2312832000007</v>
      </c>
      <c r="AF495" s="62">
        <v>9389.2312832000007</v>
      </c>
      <c r="AG495" s="33">
        <v>2024</v>
      </c>
      <c r="AH495" s="157">
        <f>1248620.15</f>
        <v>1248620.1499999999</v>
      </c>
      <c r="AI495" s="5">
        <f t="shared" si="115"/>
        <v>413324.39999999997</v>
      </c>
      <c r="AJ495" s="5">
        <f t="shared" si="116"/>
        <v>14587920</v>
      </c>
      <c r="AK495" s="5">
        <f t="shared" si="109"/>
        <v>33314419.460000001</v>
      </c>
      <c r="AL495" s="146">
        <f t="shared" si="113"/>
        <v>0</v>
      </c>
      <c r="AM495" s="62"/>
      <c r="AN495" s="30"/>
      <c r="AO495" s="30"/>
      <c r="AP495" s="30"/>
      <c r="AQ495" s="30"/>
      <c r="AR495" s="30"/>
      <c r="AS495" s="62"/>
      <c r="AT495" s="30"/>
      <c r="AU495" s="30">
        <v>13233639.84</v>
      </c>
      <c r="AV495" s="30"/>
      <c r="AW495" s="30">
        <v>20080779.620000001</v>
      </c>
      <c r="AX495" s="30">
        <v>0</v>
      </c>
      <c r="AY495" s="62"/>
      <c r="AZ495" s="153"/>
      <c r="BA495" s="148"/>
      <c r="BB495" s="149">
        <f t="shared" si="110"/>
        <v>2</v>
      </c>
    </row>
    <row r="496" spans="1:54" s="142" customFormat="1" ht="15.75" hidden="1">
      <c r="A496" s="10">
        <f t="shared" si="111"/>
        <v>475</v>
      </c>
      <c r="B496" s="12">
        <f t="shared" si="112"/>
        <v>16</v>
      </c>
      <c r="C496" s="101" t="s">
        <v>202</v>
      </c>
      <c r="D496" s="101" t="s">
        <v>221</v>
      </c>
      <c r="E496" s="102" t="s">
        <v>222</v>
      </c>
      <c r="F496" s="102"/>
      <c r="G496" s="102" t="s">
        <v>3</v>
      </c>
      <c r="H496" s="102" t="s">
        <v>169</v>
      </c>
      <c r="I496" s="102" t="s">
        <v>27</v>
      </c>
      <c r="J496" s="62">
        <v>2573</v>
      </c>
      <c r="K496" s="62">
        <v>2123.1</v>
      </c>
      <c r="L496" s="62">
        <v>269</v>
      </c>
      <c r="M496" s="103">
        <v>123</v>
      </c>
      <c r="N496" s="28">
        <f t="shared" si="104"/>
        <v>21486062.09</v>
      </c>
      <c r="O496" s="62">
        <v>0</v>
      </c>
      <c r="P496" s="30">
        <f t="shared" si="105"/>
        <v>11634669.890000001</v>
      </c>
      <c r="Q496" s="152">
        <v>11634669.890000001</v>
      </c>
      <c r="R496" s="145"/>
      <c r="S496" s="30"/>
      <c r="T496" s="31"/>
      <c r="U496" s="31"/>
      <c r="V496" s="28">
        <f t="shared" si="106"/>
        <v>271432.2</v>
      </c>
      <c r="W496" s="144">
        <v>271432.2</v>
      </c>
      <c r="X496" s="144"/>
      <c r="Y496" s="28">
        <f t="shared" si="107"/>
        <v>9579960</v>
      </c>
      <c r="Z496" s="145">
        <v>9579960</v>
      </c>
      <c r="AA496" s="145"/>
      <c r="AB496" s="146">
        <f t="shared" si="114"/>
        <v>0</v>
      </c>
      <c r="AC496" s="147"/>
      <c r="AD496" s="147"/>
      <c r="AE496" s="62">
        <v>9414.0825435348797</v>
      </c>
      <c r="AF496" s="62">
        <v>9414.0825435348797</v>
      </c>
      <c r="AG496" s="33">
        <v>2024</v>
      </c>
      <c r="AH496" s="157">
        <f>770087.63</f>
        <v>770087.63</v>
      </c>
      <c r="AI496" s="5">
        <f t="shared" si="115"/>
        <v>271432.2</v>
      </c>
      <c r="AJ496" s="5">
        <f t="shared" si="116"/>
        <v>9579960</v>
      </c>
      <c r="AK496" s="5">
        <f t="shared" si="109"/>
        <v>21486062.09</v>
      </c>
      <c r="AL496" s="146">
        <f t="shared" si="113"/>
        <v>0</v>
      </c>
      <c r="AM496" s="62"/>
      <c r="AN496" s="30"/>
      <c r="AO496" s="30"/>
      <c r="AP496" s="30"/>
      <c r="AQ496" s="30"/>
      <c r="AR496" s="30"/>
      <c r="AS496" s="62"/>
      <c r="AT496" s="30"/>
      <c r="AU496" s="30">
        <v>8537578.6600000001</v>
      </c>
      <c r="AV496" s="30"/>
      <c r="AW496" s="30">
        <v>12948483.43</v>
      </c>
      <c r="AX496" s="30">
        <v>0</v>
      </c>
      <c r="AY496" s="153"/>
      <c r="AZ496" s="153"/>
      <c r="BA496" s="148"/>
      <c r="BB496" s="149">
        <f t="shared" si="110"/>
        <v>2</v>
      </c>
    </row>
    <row r="497" spans="1:54" ht="15.75" hidden="1">
      <c r="A497" s="10">
        <f t="shared" si="111"/>
        <v>476</v>
      </c>
      <c r="B497" s="12">
        <f t="shared" si="112"/>
        <v>17</v>
      </c>
      <c r="C497" s="101" t="s">
        <v>114</v>
      </c>
      <c r="D497" s="101" t="s">
        <v>118</v>
      </c>
      <c r="E497" s="102">
        <v>1996</v>
      </c>
      <c r="F497" s="102">
        <v>1996</v>
      </c>
      <c r="G497" s="102" t="s">
        <v>3</v>
      </c>
      <c r="H497" s="102">
        <v>9</v>
      </c>
      <c r="I497" s="102">
        <v>2</v>
      </c>
      <c r="J497" s="62">
        <v>5868.8</v>
      </c>
      <c r="K497" s="62">
        <v>4891.1000000000004</v>
      </c>
      <c r="L497" s="62">
        <v>103.4</v>
      </c>
      <c r="M497" s="103">
        <v>176</v>
      </c>
      <c r="N497" s="28">
        <f t="shared" si="104"/>
        <v>6214827.9499999993</v>
      </c>
      <c r="O497" s="62"/>
      <c r="P497" s="30">
        <f t="shared" si="105"/>
        <v>0</v>
      </c>
      <c r="Q497" s="143"/>
      <c r="R497" s="31"/>
      <c r="S497" s="30"/>
      <c r="T497" s="31"/>
      <c r="U497" s="31"/>
      <c r="V497" s="28">
        <f t="shared" si="106"/>
        <v>878663.29999999912</v>
      </c>
      <c r="W497" s="144">
        <v>536979.30000000005</v>
      </c>
      <c r="X497" s="144">
        <v>341683.99999999901</v>
      </c>
      <c r="Y497" s="28">
        <f t="shared" si="107"/>
        <v>5295493.2300000004</v>
      </c>
      <c r="Z497" s="145">
        <v>5295493.2300000004</v>
      </c>
      <c r="AA497" s="145"/>
      <c r="AB497" s="62">
        <v>40671.42</v>
      </c>
      <c r="AC497" s="145">
        <v>40671.42</v>
      </c>
      <c r="AD497" s="147"/>
      <c r="AE497" s="30">
        <v>2417.6078704430502</v>
      </c>
      <c r="AF497" s="30">
        <v>2417.6078704430502</v>
      </c>
      <c r="AG497" s="33">
        <v>2024</v>
      </c>
      <c r="AH497" s="18">
        <v>0</v>
      </c>
      <c r="AI497" s="5">
        <f>+(K497*15.35+L497*26.02)*12*0.85</f>
        <v>793242.30059999996</v>
      </c>
      <c r="AJ497" s="5">
        <f>+(K497*15.35+L497*26.02)*12*30-[3]Лист1!$AQ$121</f>
        <v>19414217.780000001</v>
      </c>
      <c r="AK497" s="5">
        <f t="shared" si="109"/>
        <v>6214827.9499999993</v>
      </c>
      <c r="AL497" s="146">
        <f t="shared" si="113"/>
        <v>0</v>
      </c>
      <c r="AM497" s="62"/>
      <c r="AN497" s="30"/>
      <c r="AO497" s="30">
        <v>3003296.09</v>
      </c>
      <c r="AP497" s="30"/>
      <c r="AQ497" s="30">
        <v>0</v>
      </c>
      <c r="AR497" s="30"/>
      <c r="AS497" s="62"/>
      <c r="AT497" s="30">
        <v>2829176.44</v>
      </c>
      <c r="AU497" s="30"/>
      <c r="AV497" s="30">
        <v>0</v>
      </c>
      <c r="AW497" s="30">
        <v>0</v>
      </c>
      <c r="AX497" s="30">
        <v>0</v>
      </c>
      <c r="AY497" s="30">
        <v>256263</v>
      </c>
      <c r="AZ497" s="30">
        <v>85421</v>
      </c>
      <c r="BA497" s="30"/>
      <c r="BB497" s="149">
        <f t="shared" si="110"/>
        <v>2</v>
      </c>
    </row>
    <row r="498" spans="1:54" ht="15.75" hidden="1">
      <c r="A498" s="10">
        <f t="shared" si="111"/>
        <v>477</v>
      </c>
      <c r="B498" s="12">
        <f t="shared" si="112"/>
        <v>18</v>
      </c>
      <c r="C498" s="101" t="s">
        <v>114</v>
      </c>
      <c r="D498" s="101" t="s">
        <v>225</v>
      </c>
      <c r="E498" s="102">
        <v>1983</v>
      </c>
      <c r="F498" s="102">
        <v>2016</v>
      </c>
      <c r="G498" s="102" t="s">
        <v>3</v>
      </c>
      <c r="H498" s="102">
        <v>4</v>
      </c>
      <c r="I498" s="102">
        <v>6</v>
      </c>
      <c r="J498" s="62">
        <v>4031.7</v>
      </c>
      <c r="K498" s="62">
        <v>3532.1</v>
      </c>
      <c r="L498" s="62">
        <v>54.9</v>
      </c>
      <c r="M498" s="103">
        <v>133</v>
      </c>
      <c r="N498" s="28">
        <f t="shared" si="104"/>
        <v>3168590.98</v>
      </c>
      <c r="O498" s="62"/>
      <c r="P498" s="30">
        <f t="shared" si="105"/>
        <v>0</v>
      </c>
      <c r="Q498" s="160">
        <v>0</v>
      </c>
      <c r="R498" s="31"/>
      <c r="S498" s="30"/>
      <c r="T498" s="31"/>
      <c r="U498" s="31"/>
      <c r="V498" s="28">
        <f t="shared" si="106"/>
        <v>1238345.9099999999</v>
      </c>
      <c r="W498" s="144">
        <v>1238345.9099999999</v>
      </c>
      <c r="X498" s="144"/>
      <c r="Y498" s="28">
        <f t="shared" si="107"/>
        <v>1476469.41</v>
      </c>
      <c r="Z498" s="145">
        <v>1476469.41</v>
      </c>
      <c r="AA498" s="145"/>
      <c r="AB498" s="151">
        <f>32651.54+AD498</f>
        <v>453775.66</v>
      </c>
      <c r="AC498" s="145">
        <v>32651.54</v>
      </c>
      <c r="AD498" s="160">
        <v>421124.12</v>
      </c>
      <c r="AE498" s="62">
        <v>773.39917206311304</v>
      </c>
      <c r="AF498" s="62">
        <v>773.39917206311304</v>
      </c>
      <c r="AG498" s="33">
        <v>2024</v>
      </c>
      <c r="AH498" s="1">
        <v>809293.67</v>
      </c>
      <c r="AI498" s="5">
        <f>+(K498*11.55+L498*23.1)*12*0.85</f>
        <v>429052.23900000006</v>
      </c>
      <c r="AJ498" s="5">
        <f>+(K498*11.55+L498*23.1)*12*30</f>
        <v>15143020.200000003</v>
      </c>
      <c r="AK498" s="5">
        <f t="shared" si="109"/>
        <v>3168590.98</v>
      </c>
      <c r="AL498" s="146">
        <f t="shared" si="113"/>
        <v>0</v>
      </c>
      <c r="AM498" s="62">
        <v>0</v>
      </c>
      <c r="AN498" s="30">
        <v>0</v>
      </c>
      <c r="AO498" s="30">
        <v>3135939.44</v>
      </c>
      <c r="AP498" s="30">
        <v>0</v>
      </c>
      <c r="AQ498" s="30">
        <v>0</v>
      </c>
      <c r="AR498" s="30"/>
      <c r="AS498" s="62"/>
      <c r="AT498" s="30">
        <v>0</v>
      </c>
      <c r="AU498" s="30">
        <v>0</v>
      </c>
      <c r="AV498" s="30">
        <v>0</v>
      </c>
      <c r="AW498" s="30">
        <v>0</v>
      </c>
      <c r="AX498" s="30">
        <v>0</v>
      </c>
      <c r="AY498" s="30"/>
      <c r="AZ498" s="30"/>
      <c r="BA498" s="156"/>
      <c r="BB498" s="149">
        <f t="shared" si="110"/>
        <v>1</v>
      </c>
    </row>
    <row r="499" spans="1:54" ht="15.75" hidden="1">
      <c r="A499" s="10">
        <f t="shared" si="111"/>
        <v>478</v>
      </c>
      <c r="B499" s="12">
        <f t="shared" si="112"/>
        <v>19</v>
      </c>
      <c r="C499" s="101" t="s">
        <v>114</v>
      </c>
      <c r="D499" s="101" t="s">
        <v>228</v>
      </c>
      <c r="E499" s="102">
        <v>1986</v>
      </c>
      <c r="F499" s="102">
        <v>2017</v>
      </c>
      <c r="G499" s="102" t="s">
        <v>3</v>
      </c>
      <c r="H499" s="102">
        <v>9</v>
      </c>
      <c r="I499" s="102">
        <v>1</v>
      </c>
      <c r="J499" s="62">
        <v>3148.9</v>
      </c>
      <c r="K499" s="62">
        <v>2686.2</v>
      </c>
      <c r="L499" s="62">
        <v>0</v>
      </c>
      <c r="M499" s="103">
        <v>112</v>
      </c>
      <c r="N499" s="28">
        <f t="shared" si="104"/>
        <v>4428811.1099999994</v>
      </c>
      <c r="O499" s="62"/>
      <c r="P499" s="30">
        <f t="shared" si="105"/>
        <v>0</v>
      </c>
      <c r="Q499" s="160">
        <v>0</v>
      </c>
      <c r="R499" s="145"/>
      <c r="S499" s="30"/>
      <c r="T499" s="31"/>
      <c r="U499" s="31"/>
      <c r="V499" s="28">
        <f t="shared" si="106"/>
        <v>420578.33</v>
      </c>
      <c r="W499" s="144">
        <v>420578.33</v>
      </c>
      <c r="X499" s="144"/>
      <c r="Y499" s="28">
        <f t="shared" si="107"/>
        <v>3749455.51</v>
      </c>
      <c r="Z499" s="145">
        <v>3749455.51</v>
      </c>
      <c r="AA499" s="145"/>
      <c r="AB499" s="151">
        <f>13731.47+AD499</f>
        <v>258777.27</v>
      </c>
      <c r="AC499" s="145">
        <v>13731.47</v>
      </c>
      <c r="AD499" s="160">
        <v>245045.8</v>
      </c>
      <c r="AE499" s="30">
        <v>11225.6769820139</v>
      </c>
      <c r="AF499" s="30">
        <v>1187.2830200640001</v>
      </c>
      <c r="AG499" s="33">
        <v>2024</v>
      </c>
      <c r="AH499" s="18">
        <v>0</v>
      </c>
      <c r="AI499" s="5">
        <f>+(K499*15.35+L499*26.02)*12*0.85</f>
        <v>420578.33399999997</v>
      </c>
      <c r="AJ499" s="5">
        <f>+(K499*15.35+L499*26.02)*12*30-[3]Лист1!$AQ$123</f>
        <v>14552908.189999999</v>
      </c>
      <c r="AK499" s="5">
        <f t="shared" si="109"/>
        <v>4428811.1099999994</v>
      </c>
      <c r="AL499" s="146">
        <f t="shared" si="113"/>
        <v>0</v>
      </c>
      <c r="AM499" s="62">
        <v>2266868.58</v>
      </c>
      <c r="AN499" s="30">
        <v>0</v>
      </c>
      <c r="AO499" s="30">
        <v>2148211.06</v>
      </c>
      <c r="AP499" s="30">
        <v>0</v>
      </c>
      <c r="AQ499" s="30">
        <v>0</v>
      </c>
      <c r="AR499" s="30"/>
      <c r="AS499" s="62"/>
      <c r="AT499" s="30">
        <v>0</v>
      </c>
      <c r="AU499" s="30"/>
      <c r="AV499" s="30">
        <v>0</v>
      </c>
      <c r="AW499" s="30"/>
      <c r="AX499" s="30">
        <v>0</v>
      </c>
      <c r="AY499" s="30"/>
      <c r="AZ499" s="30"/>
      <c r="BA499" s="156"/>
      <c r="BB499" s="149">
        <f t="shared" si="110"/>
        <v>2</v>
      </c>
    </row>
    <row r="500" spans="1:54" ht="15.75" hidden="1">
      <c r="A500" s="10">
        <f t="shared" si="111"/>
        <v>479</v>
      </c>
      <c r="B500" s="12">
        <f t="shared" si="112"/>
        <v>20</v>
      </c>
      <c r="C500" s="101" t="s">
        <v>114</v>
      </c>
      <c r="D500" s="101" t="s">
        <v>230</v>
      </c>
      <c r="E500" s="102">
        <v>1981</v>
      </c>
      <c r="F500" s="102">
        <v>2010</v>
      </c>
      <c r="G500" s="102" t="s">
        <v>3</v>
      </c>
      <c r="H500" s="102">
        <v>4</v>
      </c>
      <c r="I500" s="102">
        <v>6</v>
      </c>
      <c r="J500" s="62">
        <v>4191.3</v>
      </c>
      <c r="K500" s="62">
        <v>2691</v>
      </c>
      <c r="L500" s="62">
        <v>827.4</v>
      </c>
      <c r="M500" s="103">
        <v>128</v>
      </c>
      <c r="N500" s="28">
        <f t="shared" si="104"/>
        <v>3071834.26</v>
      </c>
      <c r="O500" s="62"/>
      <c r="P500" s="30">
        <f t="shared" si="105"/>
        <v>0</v>
      </c>
      <c r="Q500" s="160">
        <v>0</v>
      </c>
      <c r="R500" s="31"/>
      <c r="S500" s="30"/>
      <c r="T500" s="31"/>
      <c r="U500" s="31"/>
      <c r="V500" s="28">
        <f t="shared" si="106"/>
        <v>2871298.48</v>
      </c>
      <c r="W500" s="144">
        <v>2871298.48</v>
      </c>
      <c r="X500" s="144"/>
      <c r="Y500" s="28">
        <f t="shared" si="107"/>
        <v>119979.38</v>
      </c>
      <c r="Z500" s="145">
        <v>119979.38</v>
      </c>
      <c r="AA500" s="145"/>
      <c r="AB500" s="151">
        <f>33737.01+AD500</f>
        <v>80556.399999999994</v>
      </c>
      <c r="AC500" s="145">
        <v>33737.01</v>
      </c>
      <c r="AD500" s="160">
        <v>46819.39</v>
      </c>
      <c r="AE500" s="62">
        <v>833.70779123034094</v>
      </c>
      <c r="AF500" s="62">
        <v>833.70779123034094</v>
      </c>
      <c r="AG500" s="33">
        <v>2024</v>
      </c>
      <c r="AH500" s="1">
        <v>2359319.7799999998</v>
      </c>
      <c r="AI500" s="5">
        <f>+(K500*11.55+L500*23.1)*12*0.85</f>
        <v>511978.69800000009</v>
      </c>
      <c r="AJ500" s="5">
        <f>+(K500*11.55+L500*23.1)*12*30</f>
        <v>18069836.400000002</v>
      </c>
      <c r="AK500" s="5">
        <f t="shared" si="109"/>
        <v>3071834.26</v>
      </c>
      <c r="AL500" s="146">
        <f t="shared" si="113"/>
        <v>0</v>
      </c>
      <c r="AM500" s="62">
        <v>0</v>
      </c>
      <c r="AN500" s="30">
        <v>0</v>
      </c>
      <c r="AO500" s="30">
        <v>3038097.25</v>
      </c>
      <c r="AP500" s="30">
        <v>0</v>
      </c>
      <c r="AQ500" s="30">
        <v>0</v>
      </c>
      <c r="AR500" s="30"/>
      <c r="AS500" s="62"/>
      <c r="AT500" s="30">
        <v>0</v>
      </c>
      <c r="AU500" s="30">
        <v>0</v>
      </c>
      <c r="AV500" s="30">
        <v>0</v>
      </c>
      <c r="AW500" s="30">
        <v>0</v>
      </c>
      <c r="AX500" s="30">
        <v>0</v>
      </c>
      <c r="AY500" s="30"/>
      <c r="AZ500" s="30"/>
      <c r="BA500" s="156"/>
      <c r="BB500" s="149">
        <f t="shared" si="110"/>
        <v>1</v>
      </c>
    </row>
    <row r="501" spans="1:54" ht="15.75" hidden="1">
      <c r="A501" s="10">
        <f t="shared" si="111"/>
        <v>480</v>
      </c>
      <c r="B501" s="12">
        <f t="shared" si="112"/>
        <v>21</v>
      </c>
      <c r="C501" s="101" t="s">
        <v>114</v>
      </c>
      <c r="D501" s="101" t="s">
        <v>232</v>
      </c>
      <c r="E501" s="102">
        <v>1980</v>
      </c>
      <c r="F501" s="102">
        <v>2010</v>
      </c>
      <c r="G501" s="102" t="s">
        <v>3</v>
      </c>
      <c r="H501" s="102">
        <v>5</v>
      </c>
      <c r="I501" s="102">
        <v>3</v>
      </c>
      <c r="J501" s="62">
        <v>5185</v>
      </c>
      <c r="K501" s="62">
        <v>4394.2</v>
      </c>
      <c r="L501" s="62">
        <v>0</v>
      </c>
      <c r="M501" s="103">
        <v>182</v>
      </c>
      <c r="N501" s="28">
        <f t="shared" si="104"/>
        <v>9020661.2400000002</v>
      </c>
      <c r="O501" s="62"/>
      <c r="P501" s="30">
        <f t="shared" si="105"/>
        <v>0</v>
      </c>
      <c r="Q501" s="143"/>
      <c r="R501" s="31"/>
      <c r="S501" s="30"/>
      <c r="T501" s="31"/>
      <c r="U501" s="31"/>
      <c r="V501" s="28">
        <f t="shared" si="106"/>
        <v>1276190.29</v>
      </c>
      <c r="W501" s="144">
        <v>1276190.29</v>
      </c>
      <c r="X501" s="144"/>
      <c r="Y501" s="28">
        <f t="shared" si="107"/>
        <v>7744470.9500000002</v>
      </c>
      <c r="Z501" s="145">
        <v>7744470.9500000002</v>
      </c>
      <c r="AA501" s="145"/>
      <c r="AB501" s="146">
        <f>AC501+AD501</f>
        <v>0</v>
      </c>
      <c r="AC501" s="147">
        <v>0</v>
      </c>
      <c r="AD501" s="147"/>
      <c r="AE501" s="30">
        <v>3596.8268339472602</v>
      </c>
      <c r="AF501" s="30">
        <v>1188.2830200640001</v>
      </c>
      <c r="AG501" s="33">
        <v>2024</v>
      </c>
      <c r="AH501" s="98">
        <v>758509.59</v>
      </c>
      <c r="AI501" s="5">
        <f>+(K501*11.55+L501*23.1)*12*0.85</f>
        <v>517680.70199999999</v>
      </c>
      <c r="AJ501" s="5">
        <f>+(K501*11.55+L501*23.1)*12*30</f>
        <v>18271083.600000001</v>
      </c>
      <c r="AK501" s="5">
        <f t="shared" si="109"/>
        <v>9020661.2400000002</v>
      </c>
      <c r="AL501" s="146">
        <f t="shared" si="113"/>
        <v>0</v>
      </c>
      <c r="AM501" s="62">
        <v>0</v>
      </c>
      <c r="AN501" s="30">
        <v>0</v>
      </c>
      <c r="AO501" s="30">
        <v>0</v>
      </c>
      <c r="AP501" s="30">
        <v>0</v>
      </c>
      <c r="AQ501" s="30">
        <v>0</v>
      </c>
      <c r="AR501" s="30"/>
      <c r="AS501" s="62"/>
      <c r="AT501" s="30">
        <v>0</v>
      </c>
      <c r="AU501" s="30">
        <v>9020661.2400000002</v>
      </c>
      <c r="AV501" s="30">
        <v>0</v>
      </c>
      <c r="AW501" s="30"/>
      <c r="AX501" s="30">
        <v>0</v>
      </c>
      <c r="AY501" s="30"/>
      <c r="AZ501" s="30"/>
      <c r="BA501" s="148"/>
      <c r="BB501" s="149">
        <f t="shared" si="110"/>
        <v>1</v>
      </c>
    </row>
    <row r="502" spans="1:54" ht="15.75" hidden="1">
      <c r="A502" s="10">
        <f t="shared" si="111"/>
        <v>481</v>
      </c>
      <c r="B502" s="12">
        <f t="shared" si="112"/>
        <v>22</v>
      </c>
      <c r="C502" s="101" t="s">
        <v>114</v>
      </c>
      <c r="D502" s="101" t="s">
        <v>234</v>
      </c>
      <c r="E502" s="102">
        <v>1990</v>
      </c>
      <c r="F502" s="102">
        <v>1990</v>
      </c>
      <c r="G502" s="102" t="s">
        <v>3</v>
      </c>
      <c r="H502" s="102">
        <v>5</v>
      </c>
      <c r="I502" s="102">
        <v>6</v>
      </c>
      <c r="J502" s="62">
        <v>5149.8999999999996</v>
      </c>
      <c r="K502" s="62">
        <v>4605.8</v>
      </c>
      <c r="L502" s="62">
        <v>0</v>
      </c>
      <c r="M502" s="103">
        <v>217</v>
      </c>
      <c r="N502" s="28">
        <f t="shared" si="104"/>
        <v>3868134.0800000005</v>
      </c>
      <c r="O502" s="62"/>
      <c r="P502" s="30">
        <f t="shared" si="105"/>
        <v>0</v>
      </c>
      <c r="Q502" s="143"/>
      <c r="R502" s="31"/>
      <c r="S502" s="30"/>
      <c r="T502" s="31"/>
      <c r="U502" s="31"/>
      <c r="V502" s="28">
        <f t="shared" si="106"/>
        <v>542609.30000000005</v>
      </c>
      <c r="W502" s="144">
        <v>542609.30000000005</v>
      </c>
      <c r="X502" s="144"/>
      <c r="Y502" s="28">
        <f t="shared" si="107"/>
        <v>3285923.64</v>
      </c>
      <c r="Z502" s="145">
        <v>3285923.64</v>
      </c>
      <c r="AA502" s="145"/>
      <c r="AB502" s="151">
        <v>39601.14</v>
      </c>
      <c r="AC502" s="145">
        <v>39601.14</v>
      </c>
      <c r="AD502" s="147"/>
      <c r="AE502" s="62">
        <v>856.05201995012101</v>
      </c>
      <c r="AF502" s="62">
        <v>856.05201995012101</v>
      </c>
      <c r="AG502" s="33">
        <v>2024</v>
      </c>
      <c r="AI502" s="5">
        <f>+(K502*11.55+L502*23.1)*12*0.85</f>
        <v>542609.29800000007</v>
      </c>
      <c r="AJ502" s="5">
        <f>+(K502*11.55+L502*23.1)*12*30-[3]Лист1!$AQ$126</f>
        <v>12686946.230000002</v>
      </c>
      <c r="AK502" s="5">
        <f t="shared" si="109"/>
        <v>3868134.0800000005</v>
      </c>
      <c r="AL502" s="146">
        <f t="shared" si="113"/>
        <v>0</v>
      </c>
      <c r="AM502" s="62"/>
      <c r="AN502" s="30"/>
      <c r="AO502" s="30">
        <v>3828532.94</v>
      </c>
      <c r="AP502" s="30"/>
      <c r="AQ502" s="30">
        <v>0</v>
      </c>
      <c r="AR502" s="30"/>
      <c r="AS502" s="62"/>
      <c r="AT502" s="30">
        <v>0</v>
      </c>
      <c r="AU502" s="30">
        <v>0</v>
      </c>
      <c r="AV502" s="30">
        <v>0</v>
      </c>
      <c r="AW502" s="30">
        <v>0</v>
      </c>
      <c r="AX502" s="30">
        <v>0</v>
      </c>
      <c r="AY502" s="30"/>
      <c r="AZ502" s="30"/>
      <c r="BA502" s="156"/>
      <c r="BB502" s="149">
        <f t="shared" si="110"/>
        <v>1</v>
      </c>
    </row>
    <row r="503" spans="1:54" ht="15.75" hidden="1">
      <c r="A503" s="10">
        <f t="shared" si="111"/>
        <v>482</v>
      </c>
      <c r="B503" s="12">
        <f t="shared" si="112"/>
        <v>23</v>
      </c>
      <c r="C503" s="101" t="s">
        <v>114</v>
      </c>
      <c r="D503" s="101" t="s">
        <v>237</v>
      </c>
      <c r="E503" s="102">
        <v>1985</v>
      </c>
      <c r="F503" s="102">
        <v>2017</v>
      </c>
      <c r="G503" s="102" t="s">
        <v>3</v>
      </c>
      <c r="H503" s="102">
        <v>9</v>
      </c>
      <c r="I503" s="102">
        <v>5</v>
      </c>
      <c r="J503" s="62">
        <v>13256</v>
      </c>
      <c r="K503" s="62">
        <v>10326.299999999999</v>
      </c>
      <c r="L503" s="62">
        <v>160.4</v>
      </c>
      <c r="M503" s="103">
        <v>409</v>
      </c>
      <c r="N503" s="28">
        <f t="shared" si="104"/>
        <v>6063069.8700000001</v>
      </c>
      <c r="O503" s="62"/>
      <c r="P503" s="30">
        <f t="shared" si="105"/>
        <v>0</v>
      </c>
      <c r="Q503" s="143"/>
      <c r="R503" s="31"/>
      <c r="S503" s="30"/>
      <c r="T503" s="31"/>
      <c r="U503" s="31"/>
      <c r="V503" s="28">
        <f t="shared" si="106"/>
        <v>6063069.8700000001</v>
      </c>
      <c r="W503" s="145">
        <v>6052553.7199999997</v>
      </c>
      <c r="X503" s="145">
        <v>10516.1500000004</v>
      </c>
      <c r="Y503" s="146">
        <f t="shared" si="107"/>
        <v>0</v>
      </c>
      <c r="Z503" s="145"/>
      <c r="AA503" s="145"/>
      <c r="AB503" s="146">
        <f t="shared" ref="AB503:AB514" si="117">AC503+AD503</f>
        <v>0</v>
      </c>
      <c r="AC503" s="147"/>
      <c r="AD503" s="147"/>
      <c r="AE503" s="62">
        <v>3446.0015989930198</v>
      </c>
      <c r="AF503" s="62">
        <v>3446.0015989930198</v>
      </c>
      <c r="AG503" s="33">
        <v>2024</v>
      </c>
      <c r="AH503" s="1">
        <v>6376950.8499999996</v>
      </c>
      <c r="AI503" s="5">
        <f>+(K503*13.29+L503*22.52)*12*0.85</f>
        <v>1436657.0969999998</v>
      </c>
      <c r="AJ503" s="5">
        <f>+(K503*13.29+L503*22.52)*12*30</f>
        <v>50705544.599999994</v>
      </c>
      <c r="AK503" s="5">
        <f t="shared" si="109"/>
        <v>6063069.8700000001</v>
      </c>
      <c r="AL503" s="146">
        <f t="shared" si="113"/>
        <v>0</v>
      </c>
      <c r="AM503" s="62"/>
      <c r="AN503" s="30">
        <v>0</v>
      </c>
      <c r="AO503" s="30">
        <v>6052553.7199999997</v>
      </c>
      <c r="AP503" s="30">
        <v>0</v>
      </c>
      <c r="AQ503" s="30">
        <v>0</v>
      </c>
      <c r="AR503" s="30"/>
      <c r="AS503" s="62"/>
      <c r="AT503" s="30">
        <v>0</v>
      </c>
      <c r="AU503" s="30">
        <v>0</v>
      </c>
      <c r="AV503" s="30">
        <v>0</v>
      </c>
      <c r="AW503" s="30">
        <v>0</v>
      </c>
      <c r="AX503" s="30">
        <v>0</v>
      </c>
      <c r="AY503" s="30"/>
      <c r="AZ503" s="30"/>
      <c r="BA503" s="156">
        <v>10516.15</v>
      </c>
      <c r="BB503" s="149">
        <f t="shared" si="110"/>
        <v>1</v>
      </c>
    </row>
    <row r="504" spans="1:54" ht="15.75" hidden="1">
      <c r="A504" s="10">
        <f t="shared" si="111"/>
        <v>483</v>
      </c>
      <c r="B504" s="12">
        <f t="shared" si="112"/>
        <v>24</v>
      </c>
      <c r="C504" s="101" t="s">
        <v>114</v>
      </c>
      <c r="D504" s="101" t="s">
        <v>239</v>
      </c>
      <c r="E504" s="102">
        <v>1992</v>
      </c>
      <c r="F504" s="102">
        <v>2012</v>
      </c>
      <c r="G504" s="102" t="s">
        <v>3</v>
      </c>
      <c r="H504" s="102">
        <v>9</v>
      </c>
      <c r="I504" s="102">
        <v>1</v>
      </c>
      <c r="J504" s="62">
        <v>2846</v>
      </c>
      <c r="K504" s="62">
        <v>2452.1999999999998</v>
      </c>
      <c r="L504" s="62">
        <v>0</v>
      </c>
      <c r="M504" s="103">
        <v>98</v>
      </c>
      <c r="N504" s="28">
        <f t="shared" si="104"/>
        <v>3000018.4499999997</v>
      </c>
      <c r="O504" s="62"/>
      <c r="P504" s="30">
        <f t="shared" si="105"/>
        <v>0</v>
      </c>
      <c r="Q504" s="143"/>
      <c r="R504" s="31"/>
      <c r="S504" s="30"/>
      <c r="T504" s="31"/>
      <c r="U504" s="31"/>
      <c r="V504" s="28">
        <f t="shared" si="106"/>
        <v>2247888.0499999998</v>
      </c>
      <c r="W504" s="145">
        <v>2077046.05</v>
      </c>
      <c r="X504" s="145">
        <v>170842</v>
      </c>
      <c r="Y504" s="146">
        <f t="shared" si="107"/>
        <v>752130.4</v>
      </c>
      <c r="Z504" s="145">
        <v>752130.4</v>
      </c>
      <c r="AA504" s="145"/>
      <c r="AB504" s="146">
        <f t="shared" si="117"/>
        <v>0</v>
      </c>
      <c r="AC504" s="147"/>
      <c r="AD504" s="147"/>
      <c r="AE504" s="30">
        <v>1741.72171927249</v>
      </c>
      <c r="AF504" s="30">
        <v>1741.72171927249</v>
      </c>
      <c r="AG504" s="33">
        <v>2024</v>
      </c>
      <c r="AH504" s="1">
        <v>1942836.74</v>
      </c>
      <c r="AI504" s="5">
        <f t="shared" ref="AI504:AI509" si="118">+(K504*13.95+L504*23.65)*12*0.85</f>
        <v>348923.53799999994</v>
      </c>
      <c r="AJ504" s="5">
        <f t="shared" ref="AJ504:AJ509" si="119">+(K504*13.95+L504*23.65)*12*30</f>
        <v>12314948.399999997</v>
      </c>
      <c r="AK504" s="5">
        <f t="shared" si="109"/>
        <v>3000018.4499999997</v>
      </c>
      <c r="AL504" s="146">
        <f t="shared" si="113"/>
        <v>0</v>
      </c>
      <c r="AM504" s="62">
        <v>0</v>
      </c>
      <c r="AN504" s="30">
        <v>0</v>
      </c>
      <c r="AO504" s="30">
        <v>0</v>
      </c>
      <c r="AP504" s="30">
        <v>0</v>
      </c>
      <c r="AQ504" s="30">
        <v>0</v>
      </c>
      <c r="AR504" s="30"/>
      <c r="AS504" s="62">
        <v>0</v>
      </c>
      <c r="AT504" s="30">
        <v>2829176.45</v>
      </c>
      <c r="AU504" s="30"/>
      <c r="AV504" s="30">
        <v>0</v>
      </c>
      <c r="AW504" s="30">
        <v>0</v>
      </c>
      <c r="AX504" s="30">
        <v>0</v>
      </c>
      <c r="AY504" s="30">
        <v>128131.5</v>
      </c>
      <c r="AZ504" s="30">
        <v>42710.5</v>
      </c>
      <c r="BA504" s="148"/>
      <c r="BB504" s="149">
        <f t="shared" si="110"/>
        <v>1</v>
      </c>
    </row>
    <row r="505" spans="1:54" ht="15.75" hidden="1">
      <c r="A505" s="10">
        <f t="shared" si="111"/>
        <v>484</v>
      </c>
      <c r="B505" s="12">
        <f t="shared" si="112"/>
        <v>25</v>
      </c>
      <c r="C505" s="101" t="s">
        <v>114</v>
      </c>
      <c r="D505" s="101" t="s">
        <v>241</v>
      </c>
      <c r="E505" s="102">
        <v>1985</v>
      </c>
      <c r="F505" s="102">
        <v>2009</v>
      </c>
      <c r="G505" s="102" t="s">
        <v>3</v>
      </c>
      <c r="H505" s="102">
        <v>9</v>
      </c>
      <c r="I505" s="102">
        <v>3</v>
      </c>
      <c r="J505" s="62">
        <v>8711.5</v>
      </c>
      <c r="K505" s="62">
        <v>6822.5</v>
      </c>
      <c r="L505" s="62">
        <v>438.1</v>
      </c>
      <c r="M505" s="103">
        <v>267</v>
      </c>
      <c r="N505" s="28">
        <f t="shared" si="104"/>
        <v>9000055.3100000005</v>
      </c>
      <c r="O505" s="62"/>
      <c r="P505" s="30">
        <f t="shared" si="105"/>
        <v>0</v>
      </c>
      <c r="Q505" s="143"/>
      <c r="R505" s="31"/>
      <c r="S505" s="30"/>
      <c r="T505" s="31"/>
      <c r="U505" s="31"/>
      <c r="V505" s="28">
        <f t="shared" si="106"/>
        <v>6408049.3799999999</v>
      </c>
      <c r="W505" s="145">
        <v>5895523.3799999999</v>
      </c>
      <c r="X505" s="145">
        <v>512526</v>
      </c>
      <c r="Y505" s="146">
        <f t="shared" si="107"/>
        <v>2592005.9300000002</v>
      </c>
      <c r="Z505" s="145">
        <v>2592005.9300000002</v>
      </c>
      <c r="AA505" s="145"/>
      <c r="AB505" s="146">
        <f t="shared" si="117"/>
        <v>0</v>
      </c>
      <c r="AC505" s="147"/>
      <c r="AD505" s="147"/>
      <c r="AE505" s="30">
        <v>1878.0725540491001</v>
      </c>
      <c r="AF505" s="30">
        <v>1196.2830200640001</v>
      </c>
      <c r="AG505" s="33">
        <v>2024</v>
      </c>
      <c r="AH505" s="1">
        <v>5465842</v>
      </c>
      <c r="AI505" s="5">
        <f t="shared" si="118"/>
        <v>1076456.388</v>
      </c>
      <c r="AJ505" s="5">
        <f t="shared" si="119"/>
        <v>37992578.399999999</v>
      </c>
      <c r="AK505" s="5">
        <f t="shared" si="109"/>
        <v>9000055.3100000005</v>
      </c>
      <c r="AL505" s="146">
        <f t="shared" si="113"/>
        <v>0</v>
      </c>
      <c r="AM505" s="62"/>
      <c r="AN505" s="30"/>
      <c r="AO505" s="30"/>
      <c r="AP505" s="30"/>
      <c r="AQ505" s="30"/>
      <c r="AR505" s="30"/>
      <c r="AS505" s="62"/>
      <c r="AT505" s="30">
        <v>8487529.3100000005</v>
      </c>
      <c r="AU505" s="30"/>
      <c r="AV505" s="30"/>
      <c r="AW505" s="30"/>
      <c r="AX505" s="30"/>
      <c r="AY505" s="30">
        <v>384394.5</v>
      </c>
      <c r="AZ505" s="30">
        <v>128131.5</v>
      </c>
      <c r="BA505" s="148"/>
      <c r="BB505" s="149">
        <f t="shared" si="110"/>
        <v>1</v>
      </c>
    </row>
    <row r="506" spans="1:54" ht="15.75" hidden="1">
      <c r="A506" s="10">
        <f t="shared" si="111"/>
        <v>485</v>
      </c>
      <c r="B506" s="12">
        <f t="shared" si="112"/>
        <v>26</v>
      </c>
      <c r="C506" s="101" t="s">
        <v>114</v>
      </c>
      <c r="D506" s="101" t="s">
        <v>243</v>
      </c>
      <c r="E506" s="102" t="s">
        <v>222</v>
      </c>
      <c r="F506" s="102"/>
      <c r="G506" s="102" t="s">
        <v>3</v>
      </c>
      <c r="H506" s="102" t="s">
        <v>174</v>
      </c>
      <c r="I506" s="102" t="s">
        <v>244</v>
      </c>
      <c r="J506" s="62">
        <v>2946.9</v>
      </c>
      <c r="K506" s="62">
        <v>2343.5</v>
      </c>
      <c r="L506" s="62">
        <v>393.2</v>
      </c>
      <c r="M506" s="103">
        <v>71</v>
      </c>
      <c r="N506" s="28">
        <f t="shared" si="104"/>
        <v>3000018.45</v>
      </c>
      <c r="O506" s="62"/>
      <c r="P506" s="30">
        <f t="shared" si="105"/>
        <v>0</v>
      </c>
      <c r="Q506" s="143"/>
      <c r="R506" s="31"/>
      <c r="S506" s="30"/>
      <c r="T506" s="31"/>
      <c r="U506" s="31"/>
      <c r="V506" s="28">
        <f t="shared" si="106"/>
        <v>2377696.9500000002</v>
      </c>
      <c r="W506" s="145">
        <v>2206854.9500000002</v>
      </c>
      <c r="X506" s="145">
        <v>170842</v>
      </c>
      <c r="Y506" s="146">
        <f t="shared" si="107"/>
        <v>622321.5</v>
      </c>
      <c r="Z506" s="145">
        <v>622321.5</v>
      </c>
      <c r="AA506" s="145"/>
      <c r="AB506" s="146">
        <f t="shared" si="117"/>
        <v>0</v>
      </c>
      <c r="AC506" s="147"/>
      <c r="AD506" s="147"/>
      <c r="AE506" s="30">
        <v>1560.6569956517001</v>
      </c>
      <c r="AF506" s="30">
        <v>1560.6569956517001</v>
      </c>
      <c r="AG506" s="33">
        <v>2024</v>
      </c>
      <c r="AH506" s="1">
        <v>1979575.57</v>
      </c>
      <c r="AI506" s="5">
        <f t="shared" si="118"/>
        <v>428308.25099999993</v>
      </c>
      <c r="AJ506" s="5">
        <f t="shared" si="119"/>
        <v>15116761.799999999</v>
      </c>
      <c r="AK506" s="5">
        <f t="shared" si="109"/>
        <v>3000018.45</v>
      </c>
      <c r="AL506" s="146">
        <f t="shared" si="113"/>
        <v>0</v>
      </c>
      <c r="AM506" s="62"/>
      <c r="AN506" s="30"/>
      <c r="AO506" s="30"/>
      <c r="AP506" s="30"/>
      <c r="AQ506" s="30"/>
      <c r="AR506" s="30"/>
      <c r="AS506" s="62"/>
      <c r="AT506" s="30">
        <v>2829176.45</v>
      </c>
      <c r="AU506" s="30"/>
      <c r="AV506" s="30"/>
      <c r="AW506" s="30"/>
      <c r="AX506" s="30"/>
      <c r="AY506" s="30">
        <v>128131.5</v>
      </c>
      <c r="AZ506" s="30">
        <v>42710.5</v>
      </c>
      <c r="BA506" s="148"/>
      <c r="BB506" s="149">
        <f t="shared" si="110"/>
        <v>1</v>
      </c>
    </row>
    <row r="507" spans="1:54" ht="15.75" hidden="1">
      <c r="A507" s="10">
        <f t="shared" si="111"/>
        <v>486</v>
      </c>
      <c r="B507" s="12">
        <f t="shared" si="112"/>
        <v>27</v>
      </c>
      <c r="C507" s="101" t="s">
        <v>114</v>
      </c>
      <c r="D507" s="101" t="s">
        <v>246</v>
      </c>
      <c r="E507" s="102" t="s">
        <v>222</v>
      </c>
      <c r="F507" s="102"/>
      <c r="G507" s="102" t="s">
        <v>3</v>
      </c>
      <c r="H507" s="102" t="s">
        <v>174</v>
      </c>
      <c r="I507" s="102" t="s">
        <v>27</v>
      </c>
      <c r="J507" s="62">
        <v>5832.9</v>
      </c>
      <c r="K507" s="62">
        <v>4738.3999999999996</v>
      </c>
      <c r="L507" s="62">
        <v>801.3</v>
      </c>
      <c r="M507" s="103">
        <v>154</v>
      </c>
      <c r="N507" s="28">
        <f t="shared" si="104"/>
        <v>6000036.8799999999</v>
      </c>
      <c r="O507" s="62"/>
      <c r="P507" s="30">
        <f t="shared" si="105"/>
        <v>0</v>
      </c>
      <c r="Q507" s="143"/>
      <c r="R507" s="31"/>
      <c r="S507" s="30"/>
      <c r="T507" s="31"/>
      <c r="U507" s="31"/>
      <c r="V507" s="28">
        <f t="shared" si="106"/>
        <v>4737585.3099999996</v>
      </c>
      <c r="W507" s="145">
        <v>4395901.3099999996</v>
      </c>
      <c r="X507" s="145">
        <v>341684</v>
      </c>
      <c r="Y507" s="146">
        <f t="shared" si="107"/>
        <v>1262451.57</v>
      </c>
      <c r="Z507" s="145">
        <v>1262451.57</v>
      </c>
      <c r="AA507" s="145"/>
      <c r="AB507" s="146">
        <f t="shared" si="117"/>
        <v>0</v>
      </c>
      <c r="AC507" s="147"/>
      <c r="AD507" s="147"/>
      <c r="AE507" s="30">
        <v>1541.97880751665</v>
      </c>
      <c r="AF507" s="30">
        <v>1541.97880751665</v>
      </c>
      <c r="AG507" s="33">
        <v>2024</v>
      </c>
      <c r="AH507" s="1">
        <v>3963069.89</v>
      </c>
      <c r="AI507" s="5">
        <f t="shared" si="118"/>
        <v>867524.53499999992</v>
      </c>
      <c r="AJ507" s="5">
        <f t="shared" si="119"/>
        <v>30618512.999999996</v>
      </c>
      <c r="AK507" s="5">
        <f t="shared" si="109"/>
        <v>6000036.8799999999</v>
      </c>
      <c r="AL507" s="146">
        <f t="shared" si="113"/>
        <v>0</v>
      </c>
      <c r="AM507" s="62"/>
      <c r="AN507" s="30"/>
      <c r="AO507" s="30"/>
      <c r="AP507" s="30"/>
      <c r="AQ507" s="30"/>
      <c r="AR507" s="30"/>
      <c r="AS507" s="62"/>
      <c r="AT507" s="30">
        <v>5658352.8799999999</v>
      </c>
      <c r="AU507" s="30"/>
      <c r="AV507" s="30"/>
      <c r="AW507" s="30"/>
      <c r="AX507" s="30"/>
      <c r="AY507" s="30">
        <v>256263</v>
      </c>
      <c r="AZ507" s="30">
        <v>85421</v>
      </c>
      <c r="BA507" s="148"/>
      <c r="BB507" s="149">
        <f t="shared" si="110"/>
        <v>1</v>
      </c>
    </row>
    <row r="508" spans="1:54" ht="15.75" hidden="1">
      <c r="A508" s="10">
        <f t="shared" si="111"/>
        <v>487</v>
      </c>
      <c r="B508" s="12">
        <f t="shared" si="112"/>
        <v>28</v>
      </c>
      <c r="C508" s="101" t="s">
        <v>114</v>
      </c>
      <c r="D508" s="101" t="s">
        <v>248</v>
      </c>
      <c r="E508" s="102" t="s">
        <v>173</v>
      </c>
      <c r="F508" s="102"/>
      <c r="G508" s="102" t="s">
        <v>3</v>
      </c>
      <c r="H508" s="102" t="s">
        <v>174</v>
      </c>
      <c r="I508" s="102" t="s">
        <v>244</v>
      </c>
      <c r="J508" s="62">
        <v>3327.1</v>
      </c>
      <c r="K508" s="62">
        <v>2700.2</v>
      </c>
      <c r="L508" s="62">
        <v>127.1</v>
      </c>
      <c r="M508" s="103">
        <v>93</v>
      </c>
      <c r="N508" s="28">
        <f t="shared" si="104"/>
        <v>3000018.4299999997</v>
      </c>
      <c r="O508" s="62"/>
      <c r="P508" s="30">
        <f t="shared" si="105"/>
        <v>0</v>
      </c>
      <c r="Q508" s="143"/>
      <c r="R508" s="31"/>
      <c r="S508" s="30"/>
      <c r="T508" s="31"/>
      <c r="U508" s="31"/>
      <c r="V508" s="146">
        <f t="shared" si="106"/>
        <v>2695312.82</v>
      </c>
      <c r="W508" s="145">
        <v>2524470.8199999998</v>
      </c>
      <c r="X508" s="145">
        <v>170842</v>
      </c>
      <c r="Y508" s="146">
        <f t="shared" si="107"/>
        <v>304705.61</v>
      </c>
      <c r="Z508" s="145">
        <v>304705.61</v>
      </c>
      <c r="AA508" s="145"/>
      <c r="AB508" s="146">
        <f t="shared" si="117"/>
        <v>0</v>
      </c>
      <c r="AC508" s="147"/>
      <c r="AD508" s="147"/>
      <c r="AE508" s="30">
        <v>1510.64619955435</v>
      </c>
      <c r="AF508" s="30">
        <v>1510.64619955435</v>
      </c>
      <c r="AG508" s="33">
        <v>2024</v>
      </c>
      <c r="AH508" s="1">
        <v>2333087.7000000002</v>
      </c>
      <c r="AI508" s="5">
        <f t="shared" si="118"/>
        <v>414871.79099999997</v>
      </c>
      <c r="AJ508" s="5">
        <f t="shared" si="119"/>
        <v>14642533.799999999</v>
      </c>
      <c r="AK508" s="5">
        <f t="shared" si="109"/>
        <v>3000018.4299999997</v>
      </c>
      <c r="AL508" s="146">
        <f t="shared" si="113"/>
        <v>0</v>
      </c>
      <c r="AM508" s="62"/>
      <c r="AN508" s="30"/>
      <c r="AO508" s="30"/>
      <c r="AP508" s="30"/>
      <c r="AQ508" s="30"/>
      <c r="AR508" s="30"/>
      <c r="AS508" s="62"/>
      <c r="AT508" s="30">
        <v>2829176.43</v>
      </c>
      <c r="AU508" s="30"/>
      <c r="AV508" s="30"/>
      <c r="AW508" s="30"/>
      <c r="AX508" s="30"/>
      <c r="AY508" s="30">
        <v>128131.5</v>
      </c>
      <c r="AZ508" s="30">
        <v>42710.5</v>
      </c>
      <c r="BA508" s="148"/>
      <c r="BB508" s="149">
        <f t="shared" si="110"/>
        <v>1</v>
      </c>
    </row>
    <row r="509" spans="1:54" ht="15.75" hidden="1">
      <c r="A509" s="10">
        <f t="shared" si="111"/>
        <v>488</v>
      </c>
      <c r="B509" s="12">
        <f t="shared" si="112"/>
        <v>29</v>
      </c>
      <c r="C509" s="101" t="s">
        <v>114</v>
      </c>
      <c r="D509" s="101" t="s">
        <v>250</v>
      </c>
      <c r="E509" s="102">
        <v>1985</v>
      </c>
      <c r="F509" s="102">
        <v>2011</v>
      </c>
      <c r="G509" s="102" t="s">
        <v>3</v>
      </c>
      <c r="H509" s="102">
        <v>9</v>
      </c>
      <c r="I509" s="102">
        <v>3</v>
      </c>
      <c r="J509" s="62">
        <v>8800.5</v>
      </c>
      <c r="K509" s="62">
        <v>6909.1</v>
      </c>
      <c r="L509" s="62">
        <v>362.5</v>
      </c>
      <c r="M509" s="103">
        <v>269</v>
      </c>
      <c r="N509" s="28">
        <f t="shared" si="104"/>
        <v>9000055.3300000001</v>
      </c>
      <c r="O509" s="62"/>
      <c r="P509" s="30">
        <f t="shared" si="105"/>
        <v>0</v>
      </c>
      <c r="Q509" s="143"/>
      <c r="R509" s="31"/>
      <c r="S509" s="30"/>
      <c r="T509" s="31"/>
      <c r="U509" s="31"/>
      <c r="V509" s="146">
        <f t="shared" si="106"/>
        <v>6233864.7400000002</v>
      </c>
      <c r="W509" s="145">
        <v>5721338.7400000002</v>
      </c>
      <c r="X509" s="145">
        <v>512526</v>
      </c>
      <c r="Y509" s="146">
        <f t="shared" si="107"/>
        <v>2766190.59</v>
      </c>
      <c r="Z509" s="145">
        <v>2766190.59</v>
      </c>
      <c r="AA509" s="145"/>
      <c r="AB509" s="146">
        <f t="shared" si="117"/>
        <v>0</v>
      </c>
      <c r="AC509" s="147"/>
      <c r="AD509" s="147"/>
      <c r="AE509" s="30">
        <v>1762.0812475933801</v>
      </c>
      <c r="AF509" s="30">
        <v>1762.0812475933801</v>
      </c>
      <c r="AG509" s="33">
        <v>2024</v>
      </c>
      <c r="AH509" s="98">
        <v>5284410.37</v>
      </c>
      <c r="AI509" s="5">
        <f t="shared" si="118"/>
        <v>1070541.7140000002</v>
      </c>
      <c r="AJ509" s="5">
        <f t="shared" si="119"/>
        <v>37783825.200000003</v>
      </c>
      <c r="AK509" s="5">
        <f t="shared" si="109"/>
        <v>9000055.3300000001</v>
      </c>
      <c r="AL509" s="146">
        <f t="shared" si="113"/>
        <v>0</v>
      </c>
      <c r="AM509" s="62"/>
      <c r="AN509" s="30"/>
      <c r="AO509" s="30"/>
      <c r="AP509" s="30"/>
      <c r="AQ509" s="30"/>
      <c r="AR509" s="30"/>
      <c r="AS509" s="62"/>
      <c r="AT509" s="30">
        <v>8487529.3300000001</v>
      </c>
      <c r="AU509" s="30"/>
      <c r="AV509" s="30"/>
      <c r="AW509" s="30"/>
      <c r="AX509" s="30"/>
      <c r="AY509" s="30">
        <v>384394.5</v>
      </c>
      <c r="AZ509" s="30">
        <v>128131.5</v>
      </c>
      <c r="BA509" s="148"/>
      <c r="BB509" s="149">
        <f t="shared" si="110"/>
        <v>1</v>
      </c>
    </row>
    <row r="510" spans="1:54" ht="15.75" hidden="1">
      <c r="A510" s="10">
        <f t="shared" si="111"/>
        <v>489</v>
      </c>
      <c r="B510" s="12">
        <f t="shared" si="112"/>
        <v>30</v>
      </c>
      <c r="C510" s="101" t="s">
        <v>114</v>
      </c>
      <c r="D510" s="101" t="s">
        <v>126</v>
      </c>
      <c r="E510" s="102">
        <v>1990</v>
      </c>
      <c r="F510" s="102">
        <v>2017</v>
      </c>
      <c r="G510" s="102" t="s">
        <v>3</v>
      </c>
      <c r="H510" s="102">
        <v>9</v>
      </c>
      <c r="I510" s="102">
        <v>1</v>
      </c>
      <c r="J510" s="62">
        <v>4531.3</v>
      </c>
      <c r="K510" s="62">
        <v>3818.4</v>
      </c>
      <c r="L510" s="62">
        <v>61.2</v>
      </c>
      <c r="M510" s="103">
        <v>144</v>
      </c>
      <c r="N510" s="28">
        <f t="shared" si="104"/>
        <v>2343081.2000000002</v>
      </c>
      <c r="O510" s="62"/>
      <c r="P510" s="30">
        <f t="shared" si="105"/>
        <v>0</v>
      </c>
      <c r="Q510" s="143"/>
      <c r="R510" s="31"/>
      <c r="S510" s="30"/>
      <c r="T510" s="31"/>
      <c r="U510" s="31"/>
      <c r="V510" s="146">
        <f t="shared" si="106"/>
        <v>614089.61</v>
      </c>
      <c r="W510" s="145">
        <v>614089.61</v>
      </c>
      <c r="X510" s="145"/>
      <c r="Y510" s="146">
        <f t="shared" si="107"/>
        <v>1728991.59</v>
      </c>
      <c r="Z510" s="145">
        <v>1728991.59</v>
      </c>
      <c r="AA510" s="145"/>
      <c r="AB510" s="146">
        <f t="shared" si="117"/>
        <v>0</v>
      </c>
      <c r="AC510" s="147"/>
      <c r="AD510" s="147"/>
      <c r="AE510" s="30">
        <v>1712.3172055116299</v>
      </c>
      <c r="AF510" s="30">
        <v>1712.3172055116299</v>
      </c>
      <c r="AG510" s="33">
        <v>2024</v>
      </c>
      <c r="AH510" s="18"/>
      <c r="AI510" s="5">
        <f>+(K510*15.35+L510*26.02)*12*0.85</f>
        <v>614089.6128</v>
      </c>
      <c r="AJ510" s="5">
        <f>+(K510*15.35+L510*26.02)*12*30-[3]Лист1!$AQ$135</f>
        <v>14527905.239999998</v>
      </c>
      <c r="AK510" s="5">
        <f t="shared" si="109"/>
        <v>2343081.2000000002</v>
      </c>
      <c r="AL510" s="146">
        <f t="shared" si="113"/>
        <v>0</v>
      </c>
      <c r="AM510" s="62"/>
      <c r="AN510" s="30"/>
      <c r="AO510" s="30">
        <v>2343081.2000000002</v>
      </c>
      <c r="AP510" s="30"/>
      <c r="AQ510" s="30"/>
      <c r="AR510" s="30"/>
      <c r="AS510" s="62"/>
      <c r="AT510" s="30">
        <v>0</v>
      </c>
      <c r="AU510" s="30">
        <v>0</v>
      </c>
      <c r="AV510" s="30"/>
      <c r="AW510" s="30">
        <v>0</v>
      </c>
      <c r="AX510" s="30">
        <v>0</v>
      </c>
      <c r="AY510" s="30"/>
      <c r="AZ510" s="30"/>
      <c r="BA510" s="156"/>
      <c r="BB510" s="149">
        <f t="shared" si="110"/>
        <v>1</v>
      </c>
    </row>
    <row r="511" spans="1:54" ht="15.75" hidden="1">
      <c r="A511" s="10">
        <f t="shared" si="111"/>
        <v>490</v>
      </c>
      <c r="B511" s="12">
        <f t="shared" si="112"/>
        <v>31</v>
      </c>
      <c r="C511" s="101" t="s">
        <v>114</v>
      </c>
      <c r="D511" s="101" t="s">
        <v>254</v>
      </c>
      <c r="E511" s="102" t="s">
        <v>173</v>
      </c>
      <c r="F511" s="102"/>
      <c r="G511" s="102" t="s">
        <v>3</v>
      </c>
      <c r="H511" s="102" t="s">
        <v>174</v>
      </c>
      <c r="I511" s="102" t="s">
        <v>244</v>
      </c>
      <c r="J511" s="62">
        <v>3391</v>
      </c>
      <c r="K511" s="62">
        <v>2799.1</v>
      </c>
      <c r="L511" s="62">
        <v>0</v>
      </c>
      <c r="M511" s="103">
        <v>93</v>
      </c>
      <c r="N511" s="28">
        <f t="shared" si="104"/>
        <v>3000018.45</v>
      </c>
      <c r="O511" s="62"/>
      <c r="P511" s="30">
        <f t="shared" si="105"/>
        <v>0</v>
      </c>
      <c r="Q511" s="143"/>
      <c r="R511" s="31"/>
      <c r="S511" s="30"/>
      <c r="T511" s="31"/>
      <c r="U511" s="31"/>
      <c r="V511" s="146">
        <f t="shared" si="106"/>
        <v>2470636.67</v>
      </c>
      <c r="W511" s="145">
        <v>2299794.67</v>
      </c>
      <c r="X511" s="145">
        <v>170842</v>
      </c>
      <c r="Y511" s="146">
        <f t="shared" si="107"/>
        <v>529381.78</v>
      </c>
      <c r="Z511" s="145">
        <v>529381.78</v>
      </c>
      <c r="AA511" s="145"/>
      <c r="AB511" s="146">
        <f t="shared" si="117"/>
        <v>0</v>
      </c>
      <c r="AC511" s="147"/>
      <c r="AD511" s="147"/>
      <c r="AE511" s="30">
        <v>1525.86545675396</v>
      </c>
      <c r="AF511" s="30">
        <v>1525.86545675396</v>
      </c>
      <c r="AG511" s="33">
        <v>2024</v>
      </c>
      <c r="AH511" s="1">
        <v>2120612.1800000002</v>
      </c>
      <c r="AI511" s="5">
        <f>+(K511*13.95+L511*23.65)*12*0.85</f>
        <v>398283.93899999995</v>
      </c>
      <c r="AJ511" s="5">
        <f>+(K511*13.95+L511*23.65)*12*30</f>
        <v>14057080.199999999</v>
      </c>
      <c r="AK511" s="5">
        <f t="shared" si="109"/>
        <v>3000018.45</v>
      </c>
      <c r="AL511" s="146">
        <f t="shared" si="113"/>
        <v>0</v>
      </c>
      <c r="AM511" s="62"/>
      <c r="AN511" s="30"/>
      <c r="AO511" s="30"/>
      <c r="AP511" s="30"/>
      <c r="AQ511" s="30"/>
      <c r="AR511" s="30"/>
      <c r="AS511" s="62"/>
      <c r="AT511" s="30">
        <v>2829176.45</v>
      </c>
      <c r="AU511" s="30"/>
      <c r="AV511" s="30"/>
      <c r="AW511" s="30"/>
      <c r="AX511" s="30"/>
      <c r="AY511" s="30">
        <v>128131.5</v>
      </c>
      <c r="AZ511" s="30">
        <v>42710.5</v>
      </c>
      <c r="BA511" s="148"/>
      <c r="BB511" s="149">
        <f t="shared" si="110"/>
        <v>1</v>
      </c>
    </row>
    <row r="512" spans="1:54" ht="15.75" hidden="1">
      <c r="A512" s="10">
        <f t="shared" si="111"/>
        <v>491</v>
      </c>
      <c r="B512" s="12">
        <f t="shared" si="112"/>
        <v>32</v>
      </c>
      <c r="C512" s="101" t="s">
        <v>114</v>
      </c>
      <c r="D512" s="101" t="s">
        <v>256</v>
      </c>
      <c r="E512" s="102">
        <v>1984</v>
      </c>
      <c r="F512" s="102">
        <v>2016</v>
      </c>
      <c r="G512" s="102" t="s">
        <v>3</v>
      </c>
      <c r="H512" s="102">
        <v>5</v>
      </c>
      <c r="I512" s="102">
        <v>3</v>
      </c>
      <c r="J512" s="62">
        <v>5122</v>
      </c>
      <c r="K512" s="62">
        <v>4380.8500000000004</v>
      </c>
      <c r="L512" s="62">
        <v>19</v>
      </c>
      <c r="M512" s="103">
        <v>187</v>
      </c>
      <c r="N512" s="28">
        <f t="shared" si="104"/>
        <v>5086142.9499999993</v>
      </c>
      <c r="O512" s="62"/>
      <c r="P512" s="30">
        <f t="shared" si="105"/>
        <v>0</v>
      </c>
      <c r="Q512" s="161">
        <v>0</v>
      </c>
      <c r="R512" s="145"/>
      <c r="S512" s="30"/>
      <c r="T512" s="31"/>
      <c r="U512" s="31"/>
      <c r="V512" s="146">
        <f t="shared" si="106"/>
        <v>520584.72</v>
      </c>
      <c r="W512" s="145">
        <v>520584.72</v>
      </c>
      <c r="X512" s="145"/>
      <c r="Y512" s="146">
        <f t="shared" si="107"/>
        <v>1749109.91</v>
      </c>
      <c r="Z512" s="145">
        <v>1749109.91</v>
      </c>
      <c r="AA512" s="145"/>
      <c r="AB512" s="146">
        <f t="shared" si="117"/>
        <v>2816448.32</v>
      </c>
      <c r="AC512" s="31"/>
      <c r="AD512" s="161">
        <v>2816448.32</v>
      </c>
      <c r="AE512" s="30">
        <v>1155.84982928258</v>
      </c>
      <c r="AF512" s="30">
        <v>1155.84982928258</v>
      </c>
      <c r="AG512" s="33">
        <v>2024</v>
      </c>
      <c r="AH512" s="1">
        <v>0</v>
      </c>
      <c r="AI512" s="5">
        <f>+(K512*11.55+L512*23.1)*12*0.85</f>
        <v>520584.71850000008</v>
      </c>
      <c r="AJ512" s="5">
        <f>+(K512*11.55+L512*23.1)*12*30-[3]Лист1!$AQ$137</f>
        <v>18070466.700000003</v>
      </c>
      <c r="AK512" s="5">
        <f t="shared" si="109"/>
        <v>5086142.9499999993</v>
      </c>
      <c r="AL512" s="146">
        <f t="shared" si="113"/>
        <v>0</v>
      </c>
      <c r="AM512" s="62">
        <v>0</v>
      </c>
      <c r="AN512" s="30">
        <v>0</v>
      </c>
      <c r="AO512" s="30">
        <v>0</v>
      </c>
      <c r="AP512" s="30">
        <v>0</v>
      </c>
      <c r="AQ512" s="30">
        <v>0</v>
      </c>
      <c r="AR512" s="30"/>
      <c r="AS512" s="62"/>
      <c r="AT512" s="30">
        <v>0</v>
      </c>
      <c r="AU512" s="30">
        <v>0</v>
      </c>
      <c r="AV512" s="30">
        <v>0</v>
      </c>
      <c r="AW512" s="30">
        <v>5086142.95</v>
      </c>
      <c r="AX512" s="30">
        <v>0</v>
      </c>
      <c r="AY512" s="30"/>
      <c r="AZ512" s="30"/>
      <c r="BA512" s="156"/>
      <c r="BB512" s="149">
        <f t="shared" si="110"/>
        <v>1</v>
      </c>
    </row>
    <row r="513" spans="1:54" ht="15.75" hidden="1">
      <c r="A513" s="10">
        <f t="shared" si="111"/>
        <v>492</v>
      </c>
      <c r="B513" s="12">
        <f t="shared" si="112"/>
        <v>33</v>
      </c>
      <c r="C513" s="101" t="s">
        <v>114</v>
      </c>
      <c r="D513" s="101" t="s">
        <v>258</v>
      </c>
      <c r="E513" s="102">
        <v>1986</v>
      </c>
      <c r="F513" s="102">
        <v>2017</v>
      </c>
      <c r="G513" s="102" t="s">
        <v>3</v>
      </c>
      <c r="H513" s="102">
        <v>5</v>
      </c>
      <c r="I513" s="102">
        <v>4</v>
      </c>
      <c r="J513" s="62">
        <v>5725</v>
      </c>
      <c r="K513" s="62">
        <v>4812.8</v>
      </c>
      <c r="L513" s="62">
        <v>0</v>
      </c>
      <c r="M513" s="103">
        <v>190</v>
      </c>
      <c r="N513" s="28">
        <f t="shared" si="104"/>
        <v>11042844.710000001</v>
      </c>
      <c r="O513" s="62"/>
      <c r="P513" s="30">
        <f t="shared" si="105"/>
        <v>0</v>
      </c>
      <c r="Q513" s="143"/>
      <c r="R513" s="31"/>
      <c r="S513" s="30"/>
      <c r="T513" s="31"/>
      <c r="U513" s="31"/>
      <c r="V513" s="146">
        <f t="shared" ref="V513:V544" si="120">W513+X513</f>
        <v>3409391.35</v>
      </c>
      <c r="W513" s="145">
        <v>3409391.35</v>
      </c>
      <c r="X513" s="145"/>
      <c r="Y513" s="146">
        <f t="shared" si="107"/>
        <v>7633453.3600000003</v>
      </c>
      <c r="Z513" s="145">
        <v>7633453.3600000003</v>
      </c>
      <c r="AA513" s="145"/>
      <c r="AB513" s="146">
        <f t="shared" si="117"/>
        <v>0</v>
      </c>
      <c r="AC513" s="147"/>
      <c r="AD513" s="147"/>
      <c r="AE513" s="30">
        <v>4497.3522371131503</v>
      </c>
      <c r="AF513" s="30">
        <v>4497.3522371131503</v>
      </c>
      <c r="AG513" s="33">
        <v>2024</v>
      </c>
      <c r="AH513" s="1">
        <v>2983888.22</v>
      </c>
      <c r="AI513" s="5">
        <f>+(K513*10.5+L513*21)*12*0.85</f>
        <v>515450.88</v>
      </c>
      <c r="AJ513" s="5">
        <f>+(K513*10.5+L513*21)*12*30</f>
        <v>18192384</v>
      </c>
      <c r="AK513" s="5">
        <f t="shared" si="109"/>
        <v>11042844.710000001</v>
      </c>
      <c r="AL513" s="146">
        <f t="shared" si="113"/>
        <v>0</v>
      </c>
      <c r="AM513" s="62">
        <v>6697520.7599999998</v>
      </c>
      <c r="AN513" s="30">
        <v>0</v>
      </c>
      <c r="AO513" s="30">
        <v>0</v>
      </c>
      <c r="AP513" s="30">
        <v>4345323.95</v>
      </c>
      <c r="AQ513" s="30">
        <v>0</v>
      </c>
      <c r="AR513" s="30"/>
      <c r="AS513" s="62"/>
      <c r="AT513" s="30">
        <v>0</v>
      </c>
      <c r="AU513" s="30">
        <v>0</v>
      </c>
      <c r="AV513" s="30">
        <v>0</v>
      </c>
      <c r="AW513" s="30">
        <v>0</v>
      </c>
      <c r="AX513" s="30">
        <v>0</v>
      </c>
      <c r="AY513" s="30"/>
      <c r="AZ513" s="30"/>
      <c r="BA513" s="148"/>
      <c r="BB513" s="149">
        <f t="shared" si="110"/>
        <v>2</v>
      </c>
    </row>
    <row r="514" spans="1:54" ht="15.75" hidden="1">
      <c r="A514" s="10">
        <f t="shared" ref="A514:A545" si="121">A513+1</f>
        <v>493</v>
      </c>
      <c r="B514" s="12">
        <f t="shared" ref="B514:B545" si="122">B513+1</f>
        <v>34</v>
      </c>
      <c r="C514" s="101" t="s">
        <v>114</v>
      </c>
      <c r="D514" s="101" t="s">
        <v>261</v>
      </c>
      <c r="E514" s="102">
        <v>1984</v>
      </c>
      <c r="F514" s="102">
        <v>2012</v>
      </c>
      <c r="G514" s="102" t="s">
        <v>3</v>
      </c>
      <c r="H514" s="102">
        <v>5</v>
      </c>
      <c r="I514" s="102">
        <v>2</v>
      </c>
      <c r="J514" s="62">
        <v>4407.8500000000004</v>
      </c>
      <c r="K514" s="62">
        <v>2910.8</v>
      </c>
      <c r="L514" s="62">
        <v>859.6</v>
      </c>
      <c r="M514" s="103">
        <v>176</v>
      </c>
      <c r="N514" s="28">
        <f t="shared" si="104"/>
        <v>5165887.8</v>
      </c>
      <c r="O514" s="62"/>
      <c r="P514" s="30">
        <f t="shared" si="105"/>
        <v>0</v>
      </c>
      <c r="Q514" s="154"/>
      <c r="R514" s="145"/>
      <c r="S514" s="30"/>
      <c r="T514" s="31"/>
      <c r="U514" s="31"/>
      <c r="V514" s="146">
        <f t="shared" si="120"/>
        <v>1917627.07</v>
      </c>
      <c r="W514" s="145">
        <v>1917627.07</v>
      </c>
      <c r="X514" s="145"/>
      <c r="Y514" s="146">
        <f t="shared" si="107"/>
        <v>3248260.73</v>
      </c>
      <c r="Z514" s="145">
        <v>3248260.73</v>
      </c>
      <c r="AA514" s="145"/>
      <c r="AB514" s="146">
        <f t="shared" si="117"/>
        <v>0</v>
      </c>
      <c r="AC514" s="147"/>
      <c r="AD514" s="147"/>
      <c r="AE514" s="30">
        <v>7279.9607317575901</v>
      </c>
      <c r="AF514" s="30">
        <v>1192.2830200640001</v>
      </c>
      <c r="AG514" s="33">
        <v>2024</v>
      </c>
      <c r="AI514" s="5">
        <f>+(K514*11.55+L514*23.1)*12*0.85</f>
        <v>545460.30000000005</v>
      </c>
      <c r="AJ514" s="5">
        <f>+(K514*11.55+L514*23.1)*12*30-[3]Лист1!$AQ$139</f>
        <v>19205153.000000004</v>
      </c>
      <c r="AK514" s="5">
        <f t="shared" si="109"/>
        <v>5165887.8</v>
      </c>
      <c r="AL514" s="146">
        <f t="shared" si="113"/>
        <v>0</v>
      </c>
      <c r="AM514" s="62">
        <v>0</v>
      </c>
      <c r="AN514" s="30">
        <v>0</v>
      </c>
      <c r="AO514" s="30">
        <v>0</v>
      </c>
      <c r="AP514" s="30">
        <v>0</v>
      </c>
      <c r="AQ514" s="30">
        <v>0</v>
      </c>
      <c r="AR514" s="30"/>
      <c r="AS514" s="62"/>
      <c r="AT514" s="30">
        <v>0</v>
      </c>
      <c r="AU514" s="30">
        <v>0</v>
      </c>
      <c r="AV514" s="30">
        <v>0</v>
      </c>
      <c r="AW514" s="30">
        <v>5165887.8</v>
      </c>
      <c r="AX514" s="30">
        <v>0</v>
      </c>
      <c r="AY514" s="30"/>
      <c r="AZ514" s="30"/>
      <c r="BA514" s="148"/>
      <c r="BB514" s="149">
        <f t="shared" si="110"/>
        <v>1</v>
      </c>
    </row>
    <row r="515" spans="1:54" ht="15.75" hidden="1">
      <c r="A515" s="10">
        <f t="shared" si="121"/>
        <v>494</v>
      </c>
      <c r="B515" s="12">
        <f t="shared" si="122"/>
        <v>35</v>
      </c>
      <c r="C515" s="101" t="s">
        <v>114</v>
      </c>
      <c r="D515" s="101" t="s">
        <v>263</v>
      </c>
      <c r="E515" s="102">
        <v>1988</v>
      </c>
      <c r="F515" s="102">
        <v>2016</v>
      </c>
      <c r="G515" s="102" t="s">
        <v>3</v>
      </c>
      <c r="H515" s="102">
        <v>5</v>
      </c>
      <c r="I515" s="102">
        <v>2</v>
      </c>
      <c r="J515" s="62">
        <v>4366.2</v>
      </c>
      <c r="K515" s="62">
        <v>3056.1</v>
      </c>
      <c r="L515" s="62">
        <v>725.4</v>
      </c>
      <c r="M515" s="103">
        <v>194</v>
      </c>
      <c r="N515" s="28">
        <f t="shared" si="104"/>
        <v>5293660.37</v>
      </c>
      <c r="O515" s="62"/>
      <c r="P515" s="30">
        <f t="shared" si="105"/>
        <v>1916900.57</v>
      </c>
      <c r="Q515" s="152">
        <v>1916900.57</v>
      </c>
      <c r="R515" s="145"/>
      <c r="S515" s="30"/>
      <c r="T515" s="31"/>
      <c r="U515" s="31"/>
      <c r="V515" s="146">
        <f t="shared" si="120"/>
        <v>2074624.49</v>
      </c>
      <c r="W515" s="145">
        <v>2074624.49</v>
      </c>
      <c r="X515" s="145"/>
      <c r="Y515" s="146">
        <f t="shared" si="107"/>
        <v>771628.82</v>
      </c>
      <c r="Z515" s="145">
        <v>726403.93</v>
      </c>
      <c r="AA515" s="145">
        <v>45224.889999999898</v>
      </c>
      <c r="AB515" s="146">
        <v>530506.49</v>
      </c>
      <c r="AC515" s="145">
        <f>AB515-AD515</f>
        <v>6292.1599999999744</v>
      </c>
      <c r="AD515" s="145">
        <v>524214.33</v>
      </c>
      <c r="AE515" s="30">
        <v>5190.8994681580698</v>
      </c>
      <c r="AF515" s="30">
        <v>1195.2830200640001</v>
      </c>
      <c r="AG515" s="33">
        <v>2024</v>
      </c>
      <c r="AH515" s="98"/>
      <c r="AI515" s="5">
        <f>+(K515*11.55+L515*23.1)*12*0.85</f>
        <v>530957.88900000008</v>
      </c>
      <c r="AJ515" s="5">
        <f>+(K515*11.55+L515*23.1)*12*30-[3]Лист1!$AQ$140</f>
        <v>16107576.040000003</v>
      </c>
      <c r="AK515" s="5">
        <f t="shared" si="109"/>
        <v>5293660.37</v>
      </c>
      <c r="AL515" s="146">
        <f t="shared" si="113"/>
        <v>0</v>
      </c>
      <c r="AM515" s="62"/>
      <c r="AN515" s="30">
        <v>0</v>
      </c>
      <c r="AO515" s="30">
        <v>0</v>
      </c>
      <c r="AP515" s="30">
        <v>0</v>
      </c>
      <c r="AQ515" s="30">
        <v>0</v>
      </c>
      <c r="AR515" s="30"/>
      <c r="AS515" s="62"/>
      <c r="AT515" s="30"/>
      <c r="AU515" s="30"/>
      <c r="AV515" s="30"/>
      <c r="AW515" s="30">
        <v>5242143.32</v>
      </c>
      <c r="AX515" s="30">
        <v>0</v>
      </c>
      <c r="AY515" s="30"/>
      <c r="AZ515" s="30"/>
      <c r="BA515" s="156">
        <v>45224.89</v>
      </c>
      <c r="BB515" s="149">
        <f t="shared" si="110"/>
        <v>1</v>
      </c>
    </row>
    <row r="516" spans="1:54" ht="15.75" hidden="1">
      <c r="A516" s="10">
        <f t="shared" si="121"/>
        <v>495</v>
      </c>
      <c r="B516" s="12">
        <f t="shared" si="122"/>
        <v>36</v>
      </c>
      <c r="C516" s="101" t="s">
        <v>114</v>
      </c>
      <c r="D516" s="101" t="s">
        <v>265</v>
      </c>
      <c r="E516" s="102">
        <v>1984</v>
      </c>
      <c r="F516" s="102">
        <v>2017</v>
      </c>
      <c r="G516" s="102" t="s">
        <v>3</v>
      </c>
      <c r="H516" s="102">
        <v>5</v>
      </c>
      <c r="I516" s="102">
        <v>5</v>
      </c>
      <c r="J516" s="62">
        <v>5852.2</v>
      </c>
      <c r="K516" s="62">
        <v>4921.1000000000004</v>
      </c>
      <c r="L516" s="62">
        <v>51.7</v>
      </c>
      <c r="M516" s="103">
        <v>171</v>
      </c>
      <c r="N516" s="28">
        <f t="shared" si="104"/>
        <v>5242000.45</v>
      </c>
      <c r="O516" s="62"/>
      <c r="P516" s="30">
        <f t="shared" si="105"/>
        <v>0</v>
      </c>
      <c r="Q516" s="160">
        <v>0</v>
      </c>
      <c r="R516" s="31"/>
      <c r="S516" s="30"/>
      <c r="T516" s="31"/>
      <c r="U516" s="31"/>
      <c r="V516" s="146">
        <f t="shared" si="120"/>
        <v>2292072.1</v>
      </c>
      <c r="W516" s="145">
        <v>2292072.1</v>
      </c>
      <c r="X516" s="145"/>
      <c r="Y516" s="146">
        <f t="shared" si="107"/>
        <v>1549190.56</v>
      </c>
      <c r="Z516" s="145">
        <v>1549190.56</v>
      </c>
      <c r="AA516" s="145"/>
      <c r="AB516" s="151">
        <f>56749.17+AD516</f>
        <v>1400737.79</v>
      </c>
      <c r="AC516" s="145">
        <v>56749.17</v>
      </c>
      <c r="AD516" s="160">
        <v>1343988.62</v>
      </c>
      <c r="AE516" s="62">
        <v>789.34670463196903</v>
      </c>
      <c r="AF516" s="62">
        <v>789.34670463196903</v>
      </c>
      <c r="AG516" s="33">
        <v>2024</v>
      </c>
      <c r="AH516" s="1">
        <v>1700135.75</v>
      </c>
      <c r="AI516" s="5">
        <f>+(K516*11.55+L516*23.1)*12*0.85</f>
        <v>591936.34500000009</v>
      </c>
      <c r="AJ516" s="5">
        <f>+(K516*11.55+L516*23.1)*12*30</f>
        <v>20891871.000000004</v>
      </c>
      <c r="AK516" s="5">
        <f t="shared" si="109"/>
        <v>5242000.45</v>
      </c>
      <c r="AL516" s="146">
        <f t="shared" si="113"/>
        <v>0</v>
      </c>
      <c r="AM516" s="62">
        <v>0</v>
      </c>
      <c r="AN516" s="30">
        <v>0</v>
      </c>
      <c r="AO516" s="30">
        <v>5185251.28</v>
      </c>
      <c r="AP516" s="30">
        <v>0</v>
      </c>
      <c r="AQ516" s="30">
        <v>0</v>
      </c>
      <c r="AR516" s="30"/>
      <c r="AS516" s="62"/>
      <c r="AT516" s="30">
        <v>0</v>
      </c>
      <c r="AU516" s="30">
        <v>0</v>
      </c>
      <c r="AV516" s="30">
        <v>0</v>
      </c>
      <c r="AW516" s="30">
        <v>0</v>
      </c>
      <c r="AX516" s="30">
        <v>0</v>
      </c>
      <c r="AY516" s="30"/>
      <c r="AZ516" s="30"/>
      <c r="BA516" s="156"/>
      <c r="BB516" s="149">
        <f t="shared" si="110"/>
        <v>1</v>
      </c>
    </row>
    <row r="517" spans="1:54" ht="15.75" hidden="1">
      <c r="A517" s="10">
        <f t="shared" si="121"/>
        <v>496</v>
      </c>
      <c r="B517" s="12">
        <f t="shared" si="122"/>
        <v>37</v>
      </c>
      <c r="C517" s="101" t="s">
        <v>114</v>
      </c>
      <c r="D517" s="101" t="s">
        <v>132</v>
      </c>
      <c r="E517" s="102">
        <v>1981</v>
      </c>
      <c r="F517" s="102">
        <v>2016</v>
      </c>
      <c r="G517" s="102" t="s">
        <v>3</v>
      </c>
      <c r="H517" s="102">
        <v>4</v>
      </c>
      <c r="I517" s="102">
        <v>3</v>
      </c>
      <c r="J517" s="62">
        <v>3910.2</v>
      </c>
      <c r="K517" s="62">
        <v>2017.9</v>
      </c>
      <c r="L517" s="62">
        <v>997.9</v>
      </c>
      <c r="M517" s="103">
        <v>113</v>
      </c>
      <c r="N517" s="28">
        <f t="shared" si="104"/>
        <v>2476321.54</v>
      </c>
      <c r="O517" s="62"/>
      <c r="P517" s="30">
        <f t="shared" si="105"/>
        <v>0</v>
      </c>
      <c r="Q517" s="160">
        <v>0</v>
      </c>
      <c r="R517" s="145"/>
      <c r="S517" s="30"/>
      <c r="T517" s="31"/>
      <c r="U517" s="31"/>
      <c r="V517" s="146">
        <f t="shared" si="120"/>
        <v>472853.99699999997</v>
      </c>
      <c r="W517" s="145">
        <v>472853.99699999997</v>
      </c>
      <c r="X517" s="145"/>
      <c r="Y517" s="146">
        <f t="shared" si="107"/>
        <v>1742930.233</v>
      </c>
      <c r="Z517" s="145">
        <v>1742930.233</v>
      </c>
      <c r="AA517" s="145"/>
      <c r="AB517" s="146">
        <f>AD517</f>
        <v>260537.31</v>
      </c>
      <c r="AC517" s="147"/>
      <c r="AD517" s="160">
        <v>260537.31</v>
      </c>
      <c r="AE517" s="30">
        <v>1518.9339410406501</v>
      </c>
      <c r="AF517" s="30">
        <v>1197.2830200640001</v>
      </c>
      <c r="AG517" s="33">
        <v>2024</v>
      </c>
      <c r="AH517" s="18"/>
      <c r="AI517" s="5">
        <f>+(K517*11.55+L517*23.1)*12*0.85</f>
        <v>472853.99700000003</v>
      </c>
      <c r="AJ517" s="5">
        <f>+(K517*11.55+L517*23.1)*12*30-[3]Лист1!$AQ$142</f>
        <v>4010069.6500000022</v>
      </c>
      <c r="AK517" s="5">
        <f t="shared" si="109"/>
        <v>2476321.54</v>
      </c>
      <c r="AL517" s="146">
        <f t="shared" si="113"/>
        <v>0</v>
      </c>
      <c r="AM517" s="62"/>
      <c r="AN517" s="30"/>
      <c r="AO517" s="30">
        <v>2476321.54</v>
      </c>
      <c r="AP517" s="30">
        <v>0</v>
      </c>
      <c r="AQ517" s="30"/>
      <c r="AR517" s="30"/>
      <c r="AS517" s="62"/>
      <c r="AT517" s="30"/>
      <c r="AU517" s="30"/>
      <c r="AV517" s="30">
        <v>0</v>
      </c>
      <c r="AW517" s="30">
        <v>0</v>
      </c>
      <c r="AX517" s="30">
        <v>0</v>
      </c>
      <c r="AY517" s="30"/>
      <c r="AZ517" s="30"/>
      <c r="BA517" s="148"/>
      <c r="BB517" s="149">
        <f t="shared" si="110"/>
        <v>1</v>
      </c>
    </row>
    <row r="518" spans="1:54" ht="15.75" hidden="1">
      <c r="A518" s="10">
        <f t="shared" si="121"/>
        <v>497</v>
      </c>
      <c r="B518" s="12">
        <f t="shared" si="122"/>
        <v>38</v>
      </c>
      <c r="C518" s="101" t="s">
        <v>114</v>
      </c>
      <c r="D518" s="101" t="s">
        <v>269</v>
      </c>
      <c r="E518" s="102">
        <v>1991</v>
      </c>
      <c r="F518" s="102">
        <v>2011</v>
      </c>
      <c r="G518" s="102" t="s">
        <v>3</v>
      </c>
      <c r="H518" s="102">
        <v>9</v>
      </c>
      <c r="I518" s="102">
        <v>1</v>
      </c>
      <c r="J518" s="62">
        <v>2848.2</v>
      </c>
      <c r="K518" s="62">
        <v>2372.6999999999998</v>
      </c>
      <c r="L518" s="62">
        <v>100.6</v>
      </c>
      <c r="M518" s="103">
        <v>61</v>
      </c>
      <c r="N518" s="28">
        <f t="shared" si="104"/>
        <v>1756633.96</v>
      </c>
      <c r="O518" s="62"/>
      <c r="P518" s="30">
        <f t="shared" si="105"/>
        <v>0</v>
      </c>
      <c r="Q518" s="143">
        <v>0</v>
      </c>
      <c r="R518" s="31"/>
      <c r="S518" s="30"/>
      <c r="T518" s="31"/>
      <c r="U518" s="31"/>
      <c r="V518" s="146">
        <f t="shared" si="120"/>
        <v>398193.28</v>
      </c>
      <c r="W518" s="145">
        <v>398193.28</v>
      </c>
      <c r="X518" s="145"/>
      <c r="Y518" s="146">
        <f t="shared" si="107"/>
        <v>1335942.6299999999</v>
      </c>
      <c r="Z518" s="145">
        <v>1335942.6299999999</v>
      </c>
      <c r="AA518" s="145"/>
      <c r="AB518" s="146">
        <v>22498.05</v>
      </c>
      <c r="AC518" s="145">
        <v>22498.05</v>
      </c>
      <c r="AD518" s="147"/>
      <c r="AE518" s="62">
        <v>843.17016166401902</v>
      </c>
      <c r="AF518" s="62">
        <v>843.17016166401902</v>
      </c>
      <c r="AG518" s="33">
        <v>2024</v>
      </c>
      <c r="AI518" s="5">
        <f>+(K518*15.35+L518*26.02)*12*0.85</f>
        <v>398193.28139999998</v>
      </c>
      <c r="AJ518" s="5">
        <f>+(K518*15.35+L518*26.02)*12*30-[3]Лист1!$AQ$144</f>
        <v>12139869.1</v>
      </c>
      <c r="AK518" s="5">
        <f t="shared" si="109"/>
        <v>1756633.96</v>
      </c>
      <c r="AL518" s="146">
        <f t="shared" si="113"/>
        <v>0</v>
      </c>
      <c r="AM518" s="62"/>
      <c r="AN518" s="30">
        <v>0</v>
      </c>
      <c r="AO518" s="30">
        <v>1734135.91</v>
      </c>
      <c r="AP518" s="30">
        <v>0</v>
      </c>
      <c r="AQ518" s="30">
        <v>0</v>
      </c>
      <c r="AR518" s="30"/>
      <c r="AS518" s="62"/>
      <c r="AT518" s="30">
        <v>0</v>
      </c>
      <c r="AU518" s="30">
        <v>0</v>
      </c>
      <c r="AV518" s="30">
        <v>0</v>
      </c>
      <c r="AW518" s="30">
        <v>0</v>
      </c>
      <c r="AX518" s="30">
        <v>0</v>
      </c>
      <c r="AY518" s="30"/>
      <c r="AZ518" s="30"/>
      <c r="BA518" s="156"/>
      <c r="BB518" s="149">
        <f t="shared" si="110"/>
        <v>1</v>
      </c>
    </row>
    <row r="519" spans="1:54" ht="15.75" hidden="1">
      <c r="A519" s="10">
        <f t="shared" si="121"/>
        <v>498</v>
      </c>
      <c r="B519" s="12">
        <f t="shared" si="122"/>
        <v>39</v>
      </c>
      <c r="C519" s="101" t="s">
        <v>114</v>
      </c>
      <c r="D519" s="101" t="s">
        <v>271</v>
      </c>
      <c r="E519" s="102">
        <v>1987</v>
      </c>
      <c r="F519" s="102">
        <v>2016</v>
      </c>
      <c r="G519" s="102" t="s">
        <v>3</v>
      </c>
      <c r="H519" s="102">
        <v>5</v>
      </c>
      <c r="I519" s="102">
        <v>4</v>
      </c>
      <c r="J519" s="62">
        <v>5812.1</v>
      </c>
      <c r="K519" s="62">
        <v>4766.5</v>
      </c>
      <c r="L519" s="62">
        <v>87</v>
      </c>
      <c r="M519" s="103">
        <v>201</v>
      </c>
      <c r="N519" s="28">
        <f t="shared" si="104"/>
        <v>9960662.120000001</v>
      </c>
      <c r="O519" s="62"/>
      <c r="P519" s="30">
        <f t="shared" si="105"/>
        <v>808927.8</v>
      </c>
      <c r="Q519" s="152">
        <v>808927.8</v>
      </c>
      <c r="R519" s="145"/>
      <c r="S519" s="30"/>
      <c r="T519" s="31"/>
      <c r="U519" s="31"/>
      <c r="V519" s="146">
        <f t="shared" si="120"/>
        <v>2395612.0699999998</v>
      </c>
      <c r="W519" s="145">
        <v>2395612.0699999998</v>
      </c>
      <c r="X519" s="145"/>
      <c r="Y519" s="146">
        <f t="shared" si="107"/>
        <v>5760056.04</v>
      </c>
      <c r="Z519" s="145">
        <v>5760056.04</v>
      </c>
      <c r="AA519" s="145"/>
      <c r="AB519" s="146">
        <f>AC519+AD519</f>
        <v>996066.21</v>
      </c>
      <c r="AC519" s="147"/>
      <c r="AD519" s="145">
        <v>996066.21</v>
      </c>
      <c r="AE519" s="30">
        <v>7227.3821701074903</v>
      </c>
      <c r="AF519" s="30">
        <v>1201.2830200640001</v>
      </c>
      <c r="AG519" s="33">
        <v>2024</v>
      </c>
      <c r="AH519" s="98">
        <f>+[3]Лист1!$BC$145</f>
        <v>2820894.2</v>
      </c>
      <c r="AI519" s="5">
        <f>+(K519*11.55+L519*23.1)*12*0.85</f>
        <v>582040.30500000005</v>
      </c>
      <c r="AJ519" s="5">
        <f>+(K519*11.55+L519*23.1)*12*30</f>
        <v>20542599</v>
      </c>
      <c r="AK519" s="5">
        <f t="shared" si="109"/>
        <v>9960662.120000001</v>
      </c>
      <c r="AL519" s="146">
        <f t="shared" si="113"/>
        <v>0</v>
      </c>
      <c r="AM519" s="62">
        <v>0</v>
      </c>
      <c r="AN519" s="30">
        <v>0</v>
      </c>
      <c r="AO519" s="30">
        <v>0</v>
      </c>
      <c r="AP519" s="30">
        <v>0</v>
      </c>
      <c r="AQ519" s="30">
        <v>0</v>
      </c>
      <c r="AR519" s="30"/>
      <c r="AS519" s="62"/>
      <c r="AT519" s="30">
        <v>0</v>
      </c>
      <c r="AU519" s="30">
        <v>0</v>
      </c>
      <c r="AV519" s="30"/>
      <c r="AW519" s="30">
        <v>9960662.1199999992</v>
      </c>
      <c r="AX519" s="30">
        <v>0</v>
      </c>
      <c r="AY519" s="30"/>
      <c r="AZ519" s="30"/>
      <c r="BA519" s="148"/>
      <c r="BB519" s="149">
        <f t="shared" si="110"/>
        <v>1</v>
      </c>
    </row>
    <row r="520" spans="1:54" ht="15.75" hidden="1">
      <c r="A520" s="10">
        <f t="shared" si="121"/>
        <v>499</v>
      </c>
      <c r="B520" s="12">
        <f t="shared" si="122"/>
        <v>40</v>
      </c>
      <c r="C520" s="101" t="s">
        <v>114</v>
      </c>
      <c r="D520" s="101" t="s">
        <v>273</v>
      </c>
      <c r="E520" s="102">
        <v>1989</v>
      </c>
      <c r="F520" s="102">
        <v>2017</v>
      </c>
      <c r="G520" s="102" t="s">
        <v>3</v>
      </c>
      <c r="H520" s="102">
        <v>10</v>
      </c>
      <c r="I520" s="102">
        <v>1</v>
      </c>
      <c r="J520" s="62">
        <v>3562.9</v>
      </c>
      <c r="K520" s="62">
        <v>3068</v>
      </c>
      <c r="L520" s="62">
        <v>0</v>
      </c>
      <c r="M520" s="103">
        <v>120</v>
      </c>
      <c r="N520" s="28">
        <f t="shared" si="104"/>
        <v>3016891.8</v>
      </c>
      <c r="O520" s="62"/>
      <c r="P520" s="30">
        <f t="shared" si="105"/>
        <v>0</v>
      </c>
      <c r="Q520" s="143"/>
      <c r="R520" s="31"/>
      <c r="S520" s="30"/>
      <c r="T520" s="31"/>
      <c r="U520" s="31"/>
      <c r="V520" s="146">
        <f t="shared" si="120"/>
        <v>949019.77</v>
      </c>
      <c r="W520" s="145">
        <v>949019.77</v>
      </c>
      <c r="X520" s="145"/>
      <c r="Y520" s="146">
        <f t="shared" si="107"/>
        <v>2067872.03</v>
      </c>
      <c r="Z520" s="145">
        <v>2067872.03</v>
      </c>
      <c r="AA520" s="145"/>
      <c r="AB520" s="146">
        <f>AC520+AD520</f>
        <v>0</v>
      </c>
      <c r="AC520" s="147"/>
      <c r="AD520" s="147"/>
      <c r="AE520" s="30">
        <v>4712.0233504993703</v>
      </c>
      <c r="AF520" s="30">
        <v>1208.2830200640001</v>
      </c>
      <c r="AG520" s="33">
        <v>2024</v>
      </c>
      <c r="AH520" s="98">
        <f>+[3]Лист1!$BC$149</f>
        <v>468663.01</v>
      </c>
      <c r="AI520" s="5">
        <f>+(K520*15.35+L520*26.02)*12*0.85</f>
        <v>480356.75999999995</v>
      </c>
      <c r="AJ520" s="5">
        <f>+(K520*15.35+L520*26.02)*12*30</f>
        <v>16953768</v>
      </c>
      <c r="AK520" s="5">
        <f t="shared" si="109"/>
        <v>3016891.8</v>
      </c>
      <c r="AL520" s="146">
        <f t="shared" si="113"/>
        <v>0</v>
      </c>
      <c r="AM520" s="62"/>
      <c r="AN520" s="30"/>
      <c r="AO520" s="30">
        <v>0</v>
      </c>
      <c r="AP520" s="30">
        <v>0</v>
      </c>
      <c r="AQ520" s="30">
        <v>0</v>
      </c>
      <c r="AR520" s="30"/>
      <c r="AS520" s="62">
        <v>0</v>
      </c>
      <c r="AT520" s="30"/>
      <c r="AU520" s="30"/>
      <c r="AV520" s="30">
        <v>3016891.8</v>
      </c>
      <c r="AW520" s="30">
        <v>0</v>
      </c>
      <c r="AX520" s="30">
        <v>0</v>
      </c>
      <c r="AY520" s="153"/>
      <c r="AZ520" s="153"/>
      <c r="BA520" s="148"/>
      <c r="BB520" s="149">
        <f t="shared" si="110"/>
        <v>1</v>
      </c>
    </row>
    <row r="521" spans="1:54" ht="15.75" hidden="1">
      <c r="A521" s="10">
        <f t="shared" si="121"/>
        <v>500</v>
      </c>
      <c r="B521" s="12">
        <f t="shared" si="122"/>
        <v>41</v>
      </c>
      <c r="C521" s="101" t="s">
        <v>114</v>
      </c>
      <c r="D521" s="101" t="s">
        <v>134</v>
      </c>
      <c r="E521" s="102">
        <v>1990</v>
      </c>
      <c r="F521" s="102">
        <v>2017</v>
      </c>
      <c r="G521" s="102" t="s">
        <v>3</v>
      </c>
      <c r="H521" s="102">
        <v>10</v>
      </c>
      <c r="I521" s="102">
        <v>3</v>
      </c>
      <c r="J521" s="62">
        <v>9593.2999999999993</v>
      </c>
      <c r="K521" s="62">
        <v>8146.5</v>
      </c>
      <c r="L521" s="62">
        <v>251.7</v>
      </c>
      <c r="M521" s="103">
        <v>290</v>
      </c>
      <c r="N521" s="28">
        <f t="shared" si="104"/>
        <v>4238474.54</v>
      </c>
      <c r="O521" s="62"/>
      <c r="P521" s="30">
        <f t="shared" si="105"/>
        <v>0</v>
      </c>
      <c r="Q521" s="143"/>
      <c r="R521" s="31"/>
      <c r="S521" s="30"/>
      <c r="T521" s="31"/>
      <c r="U521" s="31"/>
      <c r="V521" s="146">
        <f t="shared" si="120"/>
        <v>1342299.69</v>
      </c>
      <c r="W521" s="145">
        <v>1342299.69</v>
      </c>
      <c r="X521" s="145"/>
      <c r="Y521" s="146">
        <f t="shared" si="107"/>
        <v>2844681.79</v>
      </c>
      <c r="Z521" s="145">
        <v>2844681.79</v>
      </c>
      <c r="AA521" s="145"/>
      <c r="AB521" s="151">
        <v>51493.06</v>
      </c>
      <c r="AC521" s="145">
        <v>51493.06</v>
      </c>
      <c r="AD521" s="147"/>
      <c r="AE521" s="62">
        <v>710.26494049995904</v>
      </c>
      <c r="AF521" s="62">
        <v>710.26494049995904</v>
      </c>
      <c r="AG521" s="33">
        <v>2024</v>
      </c>
      <c r="AH521" s="18"/>
      <c r="AI521" s="5">
        <f>+(K521*15.35+L521*26.02)*12*0.85</f>
        <v>1342299.6917999999</v>
      </c>
      <c r="AJ521" s="5">
        <f>+(K521*15.35+L521*26.02)*12*30-[3]Лист1!$AQ$150</f>
        <v>34356059.439999998</v>
      </c>
      <c r="AK521" s="5">
        <f t="shared" si="109"/>
        <v>4238474.54</v>
      </c>
      <c r="AL521" s="146">
        <f t="shared" si="113"/>
        <v>0</v>
      </c>
      <c r="AM521" s="62"/>
      <c r="AN521" s="30"/>
      <c r="AO521" s="30">
        <v>4186981.48</v>
      </c>
      <c r="AP521" s="30"/>
      <c r="AQ521" s="30"/>
      <c r="AR521" s="30"/>
      <c r="AS521" s="62"/>
      <c r="AT521" s="30"/>
      <c r="AU521" s="30"/>
      <c r="AV521" s="30"/>
      <c r="AW521" s="30">
        <v>0</v>
      </c>
      <c r="AX521" s="30">
        <v>0</v>
      </c>
      <c r="AY521" s="30"/>
      <c r="AZ521" s="30"/>
      <c r="BA521" s="156"/>
      <c r="BB521" s="149">
        <f t="shared" si="110"/>
        <v>1</v>
      </c>
    </row>
    <row r="522" spans="1:54" ht="15.75" hidden="1">
      <c r="A522" s="10">
        <f t="shared" si="121"/>
        <v>501</v>
      </c>
      <c r="B522" s="12">
        <f t="shared" si="122"/>
        <v>42</v>
      </c>
      <c r="C522" s="101" t="s">
        <v>114</v>
      </c>
      <c r="D522" s="101" t="s">
        <v>145</v>
      </c>
      <c r="E522" s="102">
        <v>1990</v>
      </c>
      <c r="F522" s="102">
        <v>2017</v>
      </c>
      <c r="G522" s="102" t="s">
        <v>3</v>
      </c>
      <c r="H522" s="102">
        <v>10</v>
      </c>
      <c r="I522" s="102">
        <v>1</v>
      </c>
      <c r="J522" s="62">
        <v>3562.9</v>
      </c>
      <c r="K522" s="62">
        <v>3045.6</v>
      </c>
      <c r="L522" s="62">
        <v>0</v>
      </c>
      <c r="M522" s="103">
        <v>121</v>
      </c>
      <c r="N522" s="28">
        <f t="shared" si="104"/>
        <v>2263835.58</v>
      </c>
      <c r="O522" s="62"/>
      <c r="P522" s="30">
        <f t="shared" si="105"/>
        <v>0</v>
      </c>
      <c r="Q522" s="160">
        <v>0</v>
      </c>
      <c r="R522" s="31"/>
      <c r="S522" s="30"/>
      <c r="T522" s="31"/>
      <c r="U522" s="31"/>
      <c r="V522" s="146">
        <f t="shared" si="120"/>
        <v>476849.59</v>
      </c>
      <c r="W522" s="145">
        <v>476849.59</v>
      </c>
      <c r="X522" s="145"/>
      <c r="Y522" s="146">
        <f t="shared" si="107"/>
        <v>1680449.35</v>
      </c>
      <c r="Z522" s="145">
        <v>1680449.35</v>
      </c>
      <c r="AA522" s="145"/>
      <c r="AB522" s="151">
        <f>30309.91+AD522</f>
        <v>106536.64</v>
      </c>
      <c r="AC522" s="145">
        <v>30309.91</v>
      </c>
      <c r="AD522" s="160">
        <v>76226.73</v>
      </c>
      <c r="AE522" s="62">
        <v>723.82279211574496</v>
      </c>
      <c r="AF522" s="62">
        <v>723.82279211574496</v>
      </c>
      <c r="AG522" s="33">
        <v>2024</v>
      </c>
      <c r="AH522" s="18"/>
      <c r="AI522" s="5">
        <f>+(K522*15.35+L522*26.02)*12*0.85</f>
        <v>476849.592</v>
      </c>
      <c r="AJ522" s="5">
        <f>+(K522*15.35+L522*26.02)*12*30-[3]Лист1!$AQ$152</f>
        <v>10516705.66</v>
      </c>
      <c r="AK522" s="5">
        <f t="shared" si="109"/>
        <v>2263835.58</v>
      </c>
      <c r="AL522" s="146">
        <f t="shared" si="113"/>
        <v>0</v>
      </c>
      <c r="AM522" s="62"/>
      <c r="AN522" s="30"/>
      <c r="AO522" s="30">
        <v>2233525.67</v>
      </c>
      <c r="AP522" s="30"/>
      <c r="AQ522" s="30">
        <v>0</v>
      </c>
      <c r="AR522" s="30"/>
      <c r="AS522" s="62"/>
      <c r="AT522" s="30">
        <v>0</v>
      </c>
      <c r="AU522" s="30">
        <v>0</v>
      </c>
      <c r="AV522" s="30"/>
      <c r="AW522" s="30">
        <v>0</v>
      </c>
      <c r="AX522" s="30">
        <v>0</v>
      </c>
      <c r="AY522" s="30"/>
      <c r="AZ522" s="30"/>
      <c r="BA522" s="156"/>
      <c r="BB522" s="149">
        <f t="shared" si="110"/>
        <v>1</v>
      </c>
    </row>
    <row r="523" spans="1:54" ht="15.75" hidden="1">
      <c r="A523" s="10">
        <f t="shared" si="121"/>
        <v>502</v>
      </c>
      <c r="B523" s="12">
        <f t="shared" si="122"/>
        <v>43</v>
      </c>
      <c r="C523" s="101" t="s">
        <v>114</v>
      </c>
      <c r="D523" s="101" t="s">
        <v>147</v>
      </c>
      <c r="E523" s="102">
        <v>1990</v>
      </c>
      <c r="F523" s="102">
        <v>2017</v>
      </c>
      <c r="G523" s="102" t="s">
        <v>3</v>
      </c>
      <c r="H523" s="102">
        <v>9</v>
      </c>
      <c r="I523" s="102">
        <v>1</v>
      </c>
      <c r="J523" s="62">
        <v>3197.5</v>
      </c>
      <c r="K523" s="62">
        <v>2621.1</v>
      </c>
      <c r="L523" s="62">
        <v>132.4</v>
      </c>
      <c r="M523" s="103">
        <v>94</v>
      </c>
      <c r="N523" s="28">
        <f t="shared" si="104"/>
        <v>921428.35</v>
      </c>
      <c r="O523" s="62"/>
      <c r="P523" s="30">
        <f t="shared" si="105"/>
        <v>0</v>
      </c>
      <c r="Q523" s="154">
        <v>0</v>
      </c>
      <c r="R523" s="31"/>
      <c r="S523" s="30"/>
      <c r="T523" s="31"/>
      <c r="U523" s="31"/>
      <c r="V523" s="146">
        <f t="shared" si="120"/>
        <v>445525.12</v>
      </c>
      <c r="W523" s="145">
        <v>445525.12</v>
      </c>
      <c r="X523" s="145"/>
      <c r="Y523" s="146">
        <f t="shared" si="107"/>
        <v>475903.23</v>
      </c>
      <c r="Z523" s="145">
        <v>475903.23</v>
      </c>
      <c r="AA523" s="145"/>
      <c r="AB523" s="146">
        <f>AC523+AD523</f>
        <v>0</v>
      </c>
      <c r="AC523" s="145">
        <v>0</v>
      </c>
      <c r="AD523" s="147"/>
      <c r="AE523" s="62">
        <v>486.04783651685102</v>
      </c>
      <c r="AF523" s="62">
        <v>486.04783651685102</v>
      </c>
      <c r="AG523" s="33">
        <v>2024</v>
      </c>
      <c r="AI523" s="5">
        <f>+(K523*15.35+L523*26.02)*12*0.85</f>
        <v>445525.11660000001</v>
      </c>
      <c r="AJ523" s="5">
        <f>+(K523*15.35+L523*26.02)*12*30-[3]Лист1!$AQ$153</f>
        <v>11263370.079999998</v>
      </c>
      <c r="AK523" s="5">
        <f t="shared" si="109"/>
        <v>921428.35</v>
      </c>
      <c r="AL523" s="146">
        <f t="shared" si="113"/>
        <v>0</v>
      </c>
      <c r="AM523" s="62"/>
      <c r="AN523" s="30"/>
      <c r="AO523" s="30"/>
      <c r="AP523" s="30"/>
      <c r="AQ523" s="30"/>
      <c r="AR523" s="30"/>
      <c r="AS523" s="62"/>
      <c r="AT523" s="30">
        <v>0</v>
      </c>
      <c r="AU523" s="30">
        <v>0</v>
      </c>
      <c r="AV523" s="30">
        <v>921428.35</v>
      </c>
      <c r="AW523" s="30">
        <v>0</v>
      </c>
      <c r="AX523" s="30">
        <v>0</v>
      </c>
      <c r="AY523" s="30"/>
      <c r="AZ523" s="30"/>
      <c r="BA523" s="156"/>
      <c r="BB523" s="149">
        <f t="shared" si="110"/>
        <v>1</v>
      </c>
    </row>
    <row r="524" spans="1:54" ht="15.75" hidden="1">
      <c r="A524" s="10">
        <f t="shared" si="121"/>
        <v>503</v>
      </c>
      <c r="B524" s="12">
        <f t="shared" si="122"/>
        <v>44</v>
      </c>
      <c r="C524" s="101" t="s">
        <v>114</v>
      </c>
      <c r="D524" s="101" t="s">
        <v>279</v>
      </c>
      <c r="E524" s="102">
        <v>1990</v>
      </c>
      <c r="F524" s="102">
        <v>2017</v>
      </c>
      <c r="G524" s="102" t="s">
        <v>3</v>
      </c>
      <c r="H524" s="102">
        <v>9</v>
      </c>
      <c r="I524" s="102">
        <v>1</v>
      </c>
      <c r="J524" s="62">
        <v>3238.8</v>
      </c>
      <c r="K524" s="62">
        <v>2708.3</v>
      </c>
      <c r="L524" s="62">
        <v>76.599999999999994</v>
      </c>
      <c r="M524" s="103">
        <v>79</v>
      </c>
      <c r="N524" s="28">
        <f t="shared" si="104"/>
        <v>2078380.68</v>
      </c>
      <c r="O524" s="62"/>
      <c r="P524" s="30">
        <f t="shared" si="105"/>
        <v>0</v>
      </c>
      <c r="Q524" s="160"/>
      <c r="R524" s="31"/>
      <c r="S524" s="30"/>
      <c r="T524" s="31"/>
      <c r="U524" s="31"/>
      <c r="V524" s="146">
        <f t="shared" si="120"/>
        <v>444368.48</v>
      </c>
      <c r="W524" s="145">
        <v>444368.48</v>
      </c>
      <c r="X524" s="145"/>
      <c r="Y524" s="146">
        <f t="shared" si="107"/>
        <v>1527124.89</v>
      </c>
      <c r="Z524" s="145">
        <v>1527124.89</v>
      </c>
      <c r="AA524" s="145"/>
      <c r="AB524" s="151">
        <f>27010+AD524</f>
        <v>106887.31</v>
      </c>
      <c r="AC524" s="145">
        <v>27010</v>
      </c>
      <c r="AD524" s="163">
        <v>79877.31</v>
      </c>
      <c r="AE524" s="62">
        <v>845.39563076379795</v>
      </c>
      <c r="AF524" s="62">
        <v>845.39563076379795</v>
      </c>
      <c r="AG524" s="33">
        <v>2024</v>
      </c>
      <c r="AI524" s="5">
        <f>+(K524*15.35+L524*26.02)*12*0.85</f>
        <v>444368.47739999997</v>
      </c>
      <c r="AJ524" s="5">
        <f>+(K524*15.35+L524*26.02)*12*30-[3]Лист1!$AQ$154</f>
        <v>9545709.7799999975</v>
      </c>
      <c r="AK524" s="5">
        <f t="shared" si="109"/>
        <v>2078380.68</v>
      </c>
      <c r="AL524" s="146">
        <f t="shared" si="113"/>
        <v>0</v>
      </c>
      <c r="AM524" s="62"/>
      <c r="AN524" s="30"/>
      <c r="AO524" s="30">
        <v>2051370.68</v>
      </c>
      <c r="AP524" s="30"/>
      <c r="AQ524" s="30">
        <v>0</v>
      </c>
      <c r="AR524" s="30"/>
      <c r="AS524" s="62"/>
      <c r="AT524" s="30">
        <v>0</v>
      </c>
      <c r="AU524" s="30">
        <v>0</v>
      </c>
      <c r="AV524" s="30"/>
      <c r="AW524" s="30">
        <v>0</v>
      </c>
      <c r="AX524" s="30">
        <v>0</v>
      </c>
      <c r="AY524" s="30"/>
      <c r="AZ524" s="30"/>
      <c r="BA524" s="156"/>
      <c r="BB524" s="149">
        <f t="shared" si="110"/>
        <v>1</v>
      </c>
    </row>
    <row r="525" spans="1:54" ht="15.75" hidden="1">
      <c r="A525" s="10">
        <f t="shared" si="121"/>
        <v>504</v>
      </c>
      <c r="B525" s="12">
        <f t="shared" si="122"/>
        <v>45</v>
      </c>
      <c r="C525" s="101" t="s">
        <v>114</v>
      </c>
      <c r="D525" s="101" t="s">
        <v>282</v>
      </c>
      <c r="E525" s="102">
        <v>1988</v>
      </c>
      <c r="F525" s="102">
        <v>2016</v>
      </c>
      <c r="G525" s="102" t="s">
        <v>3</v>
      </c>
      <c r="H525" s="102">
        <v>5</v>
      </c>
      <c r="I525" s="102">
        <v>6</v>
      </c>
      <c r="J525" s="62">
        <v>5149.1000000000004</v>
      </c>
      <c r="K525" s="62">
        <v>4596.3999999999996</v>
      </c>
      <c r="L525" s="62">
        <v>0</v>
      </c>
      <c r="M525" s="103">
        <v>197</v>
      </c>
      <c r="N525" s="28">
        <f t="shared" si="104"/>
        <v>19223883.199999999</v>
      </c>
      <c r="O525" s="62"/>
      <c r="P525" s="30">
        <f t="shared" si="105"/>
        <v>0</v>
      </c>
      <c r="Q525" s="154"/>
      <c r="R525" s="145"/>
      <c r="S525" s="30"/>
      <c r="T525" s="31"/>
      <c r="U525" s="31"/>
      <c r="V525" s="146">
        <f t="shared" si="120"/>
        <v>3039462.3</v>
      </c>
      <c r="W525" s="145">
        <v>3039462.3</v>
      </c>
      <c r="X525" s="145"/>
      <c r="Y525" s="146">
        <f t="shared" si="107"/>
        <v>16184420.9</v>
      </c>
      <c r="Z525" s="145">
        <v>16184420.9</v>
      </c>
      <c r="AA525" s="145"/>
      <c r="AB525" s="146">
        <f>AC525+AD525</f>
        <v>0</v>
      </c>
      <c r="AC525" s="147"/>
      <c r="AD525" s="147"/>
      <c r="AE525" s="30">
        <v>5631.0902419284703</v>
      </c>
      <c r="AF525" s="30">
        <v>1206.2830200640001</v>
      </c>
      <c r="AG525" s="33">
        <v>2024</v>
      </c>
      <c r="AH525" s="98">
        <v>346504.56</v>
      </c>
      <c r="AI525" s="5">
        <f>+(K525*11.55+L525*23.1)*12*0.85</f>
        <v>541501.88399999996</v>
      </c>
      <c r="AJ525" s="5">
        <f>+(K525*11.55+L525*23.1)*12*30</f>
        <v>19111831.200000003</v>
      </c>
      <c r="AK525" s="5">
        <f t="shared" si="109"/>
        <v>19223883.199999999</v>
      </c>
      <c r="AL525" s="146">
        <f t="shared" si="113"/>
        <v>0</v>
      </c>
      <c r="AM525" s="62">
        <v>0</v>
      </c>
      <c r="AN525" s="30">
        <v>0</v>
      </c>
      <c r="AO525" s="30">
        <v>0</v>
      </c>
      <c r="AP525" s="30">
        <v>0</v>
      </c>
      <c r="AQ525" s="30">
        <v>0</v>
      </c>
      <c r="AR525" s="30"/>
      <c r="AS525" s="62"/>
      <c r="AT525" s="30">
        <v>0</v>
      </c>
      <c r="AU525" s="30">
        <v>0</v>
      </c>
      <c r="AV525" s="30">
        <v>0</v>
      </c>
      <c r="AW525" s="30">
        <v>19223883.199999999</v>
      </c>
      <c r="AX525" s="30">
        <v>0</v>
      </c>
      <c r="AY525" s="30"/>
      <c r="AZ525" s="30"/>
      <c r="BA525" s="148"/>
      <c r="BB525" s="149">
        <f t="shared" si="110"/>
        <v>1</v>
      </c>
    </row>
    <row r="526" spans="1:54" ht="15.75" hidden="1">
      <c r="A526" s="10">
        <f t="shared" si="121"/>
        <v>505</v>
      </c>
      <c r="B526" s="12">
        <f t="shared" si="122"/>
        <v>46</v>
      </c>
      <c r="C526" s="101" t="s">
        <v>114</v>
      </c>
      <c r="D526" s="101" t="s">
        <v>284</v>
      </c>
      <c r="E526" s="102">
        <v>1989</v>
      </c>
      <c r="F526" s="102">
        <v>2016</v>
      </c>
      <c r="G526" s="102" t="s">
        <v>3</v>
      </c>
      <c r="H526" s="102">
        <v>5</v>
      </c>
      <c r="I526" s="102">
        <v>4</v>
      </c>
      <c r="J526" s="62">
        <v>5827.1</v>
      </c>
      <c r="K526" s="62">
        <v>4877.5</v>
      </c>
      <c r="L526" s="62">
        <v>0</v>
      </c>
      <c r="M526" s="103">
        <v>218</v>
      </c>
      <c r="N526" s="28">
        <f t="shared" si="104"/>
        <v>4078792.1799999997</v>
      </c>
      <c r="O526" s="62"/>
      <c r="P526" s="30">
        <f t="shared" si="105"/>
        <v>0</v>
      </c>
      <c r="Q526" s="143"/>
      <c r="R526" s="31"/>
      <c r="S526" s="30"/>
      <c r="T526" s="31"/>
      <c r="U526" s="31"/>
      <c r="V526" s="146">
        <f t="shared" si="120"/>
        <v>574618.28</v>
      </c>
      <c r="W526" s="145">
        <v>574618.28</v>
      </c>
      <c r="X526" s="145"/>
      <c r="Y526" s="146">
        <f t="shared" si="107"/>
        <v>3504173.9</v>
      </c>
      <c r="Z526" s="145">
        <v>3504173.9</v>
      </c>
      <c r="AA526" s="145"/>
      <c r="AB526" s="146">
        <f>AC526+AD526</f>
        <v>0</v>
      </c>
      <c r="AC526" s="147"/>
      <c r="AD526" s="147"/>
      <c r="AE526" s="30">
        <v>2662.1721458726902</v>
      </c>
      <c r="AF526" s="30">
        <v>1209.2830200640001</v>
      </c>
      <c r="AG526" s="33">
        <v>2024</v>
      </c>
      <c r="AH526" s="98">
        <v>0</v>
      </c>
      <c r="AI526" s="5">
        <f>+(K526*11.55+L526*23.1)*12*0.85</f>
        <v>574618.27500000002</v>
      </c>
      <c r="AJ526" s="5">
        <f>+(K526*11.55+L526*23.1)*12*30-[3]Лист1!$AQ$156</f>
        <v>17680870.039999999</v>
      </c>
      <c r="AK526" s="5">
        <f t="shared" si="109"/>
        <v>4078792.1799999997</v>
      </c>
      <c r="AL526" s="146">
        <f t="shared" si="113"/>
        <v>0</v>
      </c>
      <c r="AM526" s="62"/>
      <c r="AN526" s="30"/>
      <c r="AO526" s="30">
        <v>0</v>
      </c>
      <c r="AP526" s="30">
        <v>4078792.18</v>
      </c>
      <c r="AQ526" s="30">
        <v>0</v>
      </c>
      <c r="AR526" s="30"/>
      <c r="AS526" s="62"/>
      <c r="AT526" s="30">
        <v>0</v>
      </c>
      <c r="AU526" s="30">
        <v>0</v>
      </c>
      <c r="AV526" s="30">
        <v>0</v>
      </c>
      <c r="AW526" s="30">
        <v>0</v>
      </c>
      <c r="AX526" s="30">
        <v>0</v>
      </c>
      <c r="AY526" s="30"/>
      <c r="AZ526" s="30"/>
      <c r="BA526" s="148"/>
      <c r="BB526" s="149">
        <f t="shared" si="110"/>
        <v>1</v>
      </c>
    </row>
    <row r="527" spans="1:54" ht="15.75" hidden="1">
      <c r="A527" s="10">
        <f t="shared" si="121"/>
        <v>506</v>
      </c>
      <c r="B527" s="12">
        <f t="shared" si="122"/>
        <v>47</v>
      </c>
      <c r="C527" s="101" t="s">
        <v>114</v>
      </c>
      <c r="D527" s="101" t="s">
        <v>286</v>
      </c>
      <c r="E527" s="102">
        <v>1994</v>
      </c>
      <c r="F527" s="102">
        <v>1994</v>
      </c>
      <c r="G527" s="102" t="s">
        <v>3</v>
      </c>
      <c r="H527" s="102">
        <v>10</v>
      </c>
      <c r="I527" s="102">
        <v>1</v>
      </c>
      <c r="J527" s="62">
        <v>3166.2</v>
      </c>
      <c r="K527" s="62">
        <v>2444.1</v>
      </c>
      <c r="L527" s="62">
        <v>336.1</v>
      </c>
      <c r="M527" s="103">
        <v>81</v>
      </c>
      <c r="N527" s="28">
        <f t="shared" si="104"/>
        <v>3221072.6900000004</v>
      </c>
      <c r="O527" s="62"/>
      <c r="P527" s="30">
        <f t="shared" si="105"/>
        <v>0</v>
      </c>
      <c r="Q527" s="143"/>
      <c r="R527" s="31"/>
      <c r="S527" s="30"/>
      <c r="T527" s="31"/>
      <c r="U527" s="31"/>
      <c r="V527" s="146">
        <f t="shared" si="120"/>
        <v>331650.45</v>
      </c>
      <c r="W527" s="145">
        <v>331650.45</v>
      </c>
      <c r="X527" s="145"/>
      <c r="Y527" s="146">
        <f t="shared" si="107"/>
        <v>2889422.24</v>
      </c>
      <c r="Z527" s="145">
        <v>2889422.24</v>
      </c>
      <c r="AA527" s="145"/>
      <c r="AB527" s="146">
        <f>AC527+AD527</f>
        <v>0</v>
      </c>
      <c r="AC527" s="147"/>
      <c r="AD527" s="147"/>
      <c r="AE527" s="30">
        <v>3460.3063121807099</v>
      </c>
      <c r="AF527" s="30">
        <v>1213.2830200640001</v>
      </c>
      <c r="AG527" s="33">
        <v>2024</v>
      </c>
      <c r="AH527" s="1">
        <f>2294994.9-363720.72-1073634.1</f>
        <v>857640.07999999984</v>
      </c>
      <c r="AI527" s="5">
        <f>+(K527*15.35+L527*26.02)*12*0.85</f>
        <v>471875.02140000003</v>
      </c>
      <c r="AJ527" s="5">
        <f>+(K527*15.35+L527*26.02)*12*30</f>
        <v>16654412.520000001</v>
      </c>
      <c r="AK527" s="5">
        <f t="shared" si="109"/>
        <v>3221072.6900000004</v>
      </c>
      <c r="AL527" s="146">
        <f t="shared" si="113"/>
        <v>0</v>
      </c>
      <c r="AM527" s="62">
        <v>3221072.69</v>
      </c>
      <c r="AN527" s="30">
        <v>0</v>
      </c>
      <c r="AO527" s="30">
        <v>0</v>
      </c>
      <c r="AP527" s="30">
        <v>0</v>
      </c>
      <c r="AQ527" s="30">
        <v>0</v>
      </c>
      <c r="AR527" s="30"/>
      <c r="AS527" s="62"/>
      <c r="AT527" s="30">
        <v>0</v>
      </c>
      <c r="AU527" s="30">
        <v>0</v>
      </c>
      <c r="AV527" s="30">
        <v>0</v>
      </c>
      <c r="AW527" s="30">
        <v>0</v>
      </c>
      <c r="AX527" s="30">
        <v>0</v>
      </c>
      <c r="AY527" s="30"/>
      <c r="AZ527" s="30"/>
      <c r="BA527" s="148"/>
      <c r="BB527" s="149">
        <f t="shared" si="110"/>
        <v>1</v>
      </c>
    </row>
    <row r="528" spans="1:54" ht="15.75" hidden="1">
      <c r="A528" s="10">
        <f t="shared" si="121"/>
        <v>507</v>
      </c>
      <c r="B528" s="12">
        <f t="shared" si="122"/>
        <v>48</v>
      </c>
      <c r="C528" s="101" t="s">
        <v>114</v>
      </c>
      <c r="D528" s="101" t="s">
        <v>288</v>
      </c>
      <c r="E528" s="102">
        <v>1995</v>
      </c>
      <c r="F528" s="102">
        <v>2010</v>
      </c>
      <c r="G528" s="102" t="s">
        <v>3</v>
      </c>
      <c r="H528" s="102">
        <v>9</v>
      </c>
      <c r="I528" s="102">
        <v>1</v>
      </c>
      <c r="J528" s="62">
        <v>2996.5</v>
      </c>
      <c r="K528" s="62">
        <v>2550.1</v>
      </c>
      <c r="L528" s="62">
        <v>76.599999999999994</v>
      </c>
      <c r="M528" s="103">
        <v>83</v>
      </c>
      <c r="N528" s="28">
        <f t="shared" si="104"/>
        <v>20792624.550000001</v>
      </c>
      <c r="O528" s="62"/>
      <c r="P528" s="30">
        <f t="shared" si="105"/>
        <v>8144903.8500000006</v>
      </c>
      <c r="Q528" s="160">
        <f>3109443.18-514328.73</f>
        <v>2595114.4500000002</v>
      </c>
      <c r="R528" s="145">
        <v>5549789.4000000004</v>
      </c>
      <c r="S528" s="30"/>
      <c r="T528" s="31"/>
      <c r="U528" s="31"/>
      <c r="V528" s="146">
        <f t="shared" si="120"/>
        <v>1121010.8999999999</v>
      </c>
      <c r="W528" s="145">
        <v>1121010.8999999999</v>
      </c>
      <c r="X528" s="145"/>
      <c r="Y528" s="146">
        <f t="shared" si="107"/>
        <v>10523716.66</v>
      </c>
      <c r="Z528" s="145">
        <v>10523716.66</v>
      </c>
      <c r="AA528" s="145"/>
      <c r="AB528" s="146">
        <f>AC528+AD528</f>
        <v>1002993.14</v>
      </c>
      <c r="AC528" s="145">
        <v>217543.78</v>
      </c>
      <c r="AD528" s="160">
        <f>271120.63+514328.73</f>
        <v>785449.36</v>
      </c>
      <c r="AE528" s="30">
        <v>2660.3964757901199</v>
      </c>
      <c r="AF528" s="30">
        <v>1212.2830200640001</v>
      </c>
      <c r="AG528" s="33">
        <v>2024</v>
      </c>
      <c r="AH528" s="18"/>
      <c r="AI528" s="5">
        <f>+(K528*15.35+L528*26.02)*12*0.85</f>
        <v>419599.10339999996</v>
      </c>
      <c r="AJ528" s="5">
        <f>+(K528*15.35+L528*26.02)*12*30-[3]Лист1!$AQ$160</f>
        <v>10525073.559999999</v>
      </c>
      <c r="AK528" s="5">
        <f t="shared" si="109"/>
        <v>20792624.550000001</v>
      </c>
      <c r="AL528" s="146">
        <f t="shared" si="113"/>
        <v>0</v>
      </c>
      <c r="AM528" s="62">
        <v>3965533.13</v>
      </c>
      <c r="AN528" s="30">
        <v>1547451.81</v>
      </c>
      <c r="AO528" s="30">
        <v>1555631.83</v>
      </c>
      <c r="AP528" s="30">
        <v>1086608.3400000001</v>
      </c>
      <c r="AQ528" s="30">
        <v>0</v>
      </c>
      <c r="AR528" s="30"/>
      <c r="AS528" s="62"/>
      <c r="AT528" s="30">
        <v>0</v>
      </c>
      <c r="AU528" s="30">
        <v>0</v>
      </c>
      <c r="AV528" s="30">
        <v>0</v>
      </c>
      <c r="AW528" s="30">
        <v>12419855.66</v>
      </c>
      <c r="AX528" s="30">
        <v>0</v>
      </c>
      <c r="AY528" s="30"/>
      <c r="AZ528" s="30"/>
      <c r="BA528" s="156"/>
      <c r="BB528" s="149">
        <f t="shared" si="110"/>
        <v>5</v>
      </c>
    </row>
    <row r="529" spans="1:57" ht="15.75" hidden="1">
      <c r="A529" s="10">
        <f t="shared" si="121"/>
        <v>508</v>
      </c>
      <c r="B529" s="12">
        <f t="shared" si="122"/>
        <v>49</v>
      </c>
      <c r="C529" s="101" t="s">
        <v>114</v>
      </c>
      <c r="D529" s="101" t="s">
        <v>291</v>
      </c>
      <c r="E529" s="102">
        <v>1996</v>
      </c>
      <c r="F529" s="102">
        <v>1996</v>
      </c>
      <c r="G529" s="102" t="s">
        <v>3</v>
      </c>
      <c r="H529" s="102">
        <v>3</v>
      </c>
      <c r="I529" s="102">
        <v>3</v>
      </c>
      <c r="J529" s="62">
        <v>2048.3000000000002</v>
      </c>
      <c r="K529" s="62">
        <v>1683.6</v>
      </c>
      <c r="L529" s="62">
        <v>86.8</v>
      </c>
      <c r="M529" s="103">
        <v>51</v>
      </c>
      <c r="N529" s="28">
        <f t="shared" si="104"/>
        <v>5667697.4399999995</v>
      </c>
      <c r="O529" s="62"/>
      <c r="P529" s="30">
        <f t="shared" si="105"/>
        <v>390556.83</v>
      </c>
      <c r="Q529" s="154"/>
      <c r="R529" s="145">
        <v>390556.83</v>
      </c>
      <c r="S529" s="30"/>
      <c r="T529" s="31"/>
      <c r="U529" s="31"/>
      <c r="V529" s="146">
        <f t="shared" si="120"/>
        <v>1214400.67</v>
      </c>
      <c r="W529" s="145">
        <v>1214400.67</v>
      </c>
      <c r="X529" s="145"/>
      <c r="Y529" s="146">
        <f t="shared" si="107"/>
        <v>4062739.94</v>
      </c>
      <c r="Z529" s="145">
        <v>4062739.94</v>
      </c>
      <c r="AA529" s="145"/>
      <c r="AC529" s="147"/>
      <c r="AD529" s="147"/>
      <c r="AE529" s="30">
        <v>7766.9402010906397</v>
      </c>
      <c r="AF529" s="30">
        <v>1219.2830200640001</v>
      </c>
      <c r="AG529" s="33">
        <v>2024</v>
      </c>
      <c r="AH529" s="98">
        <v>1050911.19</v>
      </c>
      <c r="AI529" s="5">
        <f>+(K529*10.5+L529*21)*12*0.85</f>
        <v>198906.11999999997</v>
      </c>
      <c r="AJ529" s="5">
        <f>+(K529*10.5+L529*21)*12*30</f>
        <v>7020215.9999999991</v>
      </c>
      <c r="AK529" s="5">
        <f t="shared" si="109"/>
        <v>5667697.4399999995</v>
      </c>
      <c r="AL529" s="146">
        <f t="shared" si="113"/>
        <v>0</v>
      </c>
      <c r="AM529" s="62">
        <v>3392054.08</v>
      </c>
      <c r="AN529" s="30">
        <v>2275643.36</v>
      </c>
      <c r="AO529" s="30">
        <v>0</v>
      </c>
      <c r="AP529" s="30">
        <v>0</v>
      </c>
      <c r="AQ529" s="30">
        <v>0</v>
      </c>
      <c r="AR529" s="30"/>
      <c r="AS529" s="62"/>
      <c r="AT529" s="30">
        <v>0</v>
      </c>
      <c r="AU529" s="30"/>
      <c r="AV529" s="30"/>
      <c r="AW529" s="30"/>
      <c r="AX529" s="30">
        <v>0</v>
      </c>
      <c r="AY529" s="30"/>
      <c r="AZ529" s="30"/>
      <c r="BA529" s="148"/>
      <c r="BB529" s="149">
        <f t="shared" si="110"/>
        <v>2</v>
      </c>
      <c r="BE529" s="5"/>
    </row>
    <row r="530" spans="1:57" ht="15.75" hidden="1">
      <c r="A530" s="10">
        <f t="shared" si="121"/>
        <v>509</v>
      </c>
      <c r="B530" s="12">
        <f t="shared" si="122"/>
        <v>50</v>
      </c>
      <c r="C530" s="101" t="s">
        <v>114</v>
      </c>
      <c r="D530" s="101" t="s">
        <v>293</v>
      </c>
      <c r="E530" s="102">
        <v>1986</v>
      </c>
      <c r="F530" s="102">
        <v>2016</v>
      </c>
      <c r="G530" s="102" t="s">
        <v>3</v>
      </c>
      <c r="H530" s="102">
        <v>5</v>
      </c>
      <c r="I530" s="102">
        <v>4</v>
      </c>
      <c r="J530" s="62">
        <v>3396.9</v>
      </c>
      <c r="K530" s="62">
        <v>3059.2</v>
      </c>
      <c r="L530" s="62">
        <v>0</v>
      </c>
      <c r="M530" s="103">
        <v>122</v>
      </c>
      <c r="N530" s="28">
        <f t="shared" si="104"/>
        <v>7528402.419999999</v>
      </c>
      <c r="O530" s="62"/>
      <c r="P530" s="30">
        <f t="shared" si="105"/>
        <v>0</v>
      </c>
      <c r="Q530" s="143"/>
      <c r="R530" s="31"/>
      <c r="S530" s="30"/>
      <c r="T530" s="31"/>
      <c r="U530" s="31"/>
      <c r="V530" s="146">
        <f t="shared" si="120"/>
        <v>360404.35</v>
      </c>
      <c r="W530" s="145">
        <v>360404.35</v>
      </c>
      <c r="X530" s="145"/>
      <c r="Y530" s="146">
        <f t="shared" si="107"/>
        <v>7145776.1799999997</v>
      </c>
      <c r="Z530" s="145">
        <v>7145776.1799999997</v>
      </c>
      <c r="AA530" s="145"/>
      <c r="AB530" s="151">
        <v>22221.89</v>
      </c>
      <c r="AC530" s="145">
        <v>22221.89</v>
      </c>
      <c r="AD530" s="147"/>
      <c r="AE530" s="30">
        <v>5861.0564893168903</v>
      </c>
      <c r="AF530" s="30">
        <v>1220.2830200640001</v>
      </c>
      <c r="AG530" s="33">
        <v>2024</v>
      </c>
      <c r="AH530" s="98"/>
      <c r="AI530" s="5">
        <f>+(K530*11.55+L530*23.1)*12*0.85</f>
        <v>360404.35200000001</v>
      </c>
      <c r="AJ530" s="5">
        <f>+(K530*11.55+L530*23.1)*12*30-[3]Лист1!$AQ$162</f>
        <v>12147507.469999999</v>
      </c>
      <c r="AK530" s="5">
        <f t="shared" si="109"/>
        <v>7528402.419999999</v>
      </c>
      <c r="AL530" s="146">
        <f t="shared" si="113"/>
        <v>0</v>
      </c>
      <c r="AM530" s="62">
        <v>4400042.8600000003</v>
      </c>
      <c r="AN530" s="30"/>
      <c r="AO530" s="30">
        <v>3106137.67</v>
      </c>
      <c r="AP530" s="30">
        <v>0</v>
      </c>
      <c r="AQ530" s="30">
        <v>0</v>
      </c>
      <c r="AR530" s="30"/>
      <c r="AS530" s="62"/>
      <c r="AT530" s="30">
        <v>0</v>
      </c>
      <c r="AU530" s="30">
        <v>0</v>
      </c>
      <c r="AV530" s="30">
        <v>0</v>
      </c>
      <c r="AW530" s="30">
        <v>0</v>
      </c>
      <c r="AX530" s="30">
        <v>0</v>
      </c>
      <c r="AY530" s="30"/>
      <c r="AZ530" s="30"/>
      <c r="BA530" s="156"/>
      <c r="BB530" s="149">
        <f t="shared" si="110"/>
        <v>2</v>
      </c>
    </row>
    <row r="531" spans="1:57" ht="15.75" hidden="1">
      <c r="A531" s="10">
        <f t="shared" si="121"/>
        <v>510</v>
      </c>
      <c r="B531" s="12">
        <f t="shared" si="122"/>
        <v>51</v>
      </c>
      <c r="C531" s="101" t="s">
        <v>114</v>
      </c>
      <c r="D531" s="101" t="s">
        <v>295</v>
      </c>
      <c r="E531" s="102">
        <v>1995</v>
      </c>
      <c r="F531" s="102">
        <v>2002</v>
      </c>
      <c r="G531" s="102" t="s">
        <v>3</v>
      </c>
      <c r="H531" s="102">
        <v>10</v>
      </c>
      <c r="I531" s="102">
        <v>1</v>
      </c>
      <c r="J531" s="62">
        <v>3274.9</v>
      </c>
      <c r="K531" s="62">
        <v>3274.9</v>
      </c>
      <c r="L531" s="62">
        <v>0</v>
      </c>
      <c r="M531" s="103">
        <v>107</v>
      </c>
      <c r="N531" s="28">
        <f t="shared" si="104"/>
        <v>1659683.53</v>
      </c>
      <c r="O531" s="62"/>
      <c r="P531" s="30">
        <f t="shared" si="105"/>
        <v>0</v>
      </c>
      <c r="Q531" s="143"/>
      <c r="R531" s="31"/>
      <c r="S531" s="30"/>
      <c r="T531" s="31"/>
      <c r="U531" s="31"/>
      <c r="V531" s="146">
        <f t="shared" si="120"/>
        <v>338326.5</v>
      </c>
      <c r="W531" s="145">
        <v>338326.5</v>
      </c>
      <c r="X531" s="145"/>
      <c r="Y531" s="146">
        <f t="shared" si="107"/>
        <v>1303705.52</v>
      </c>
      <c r="Z531" s="145">
        <v>1303705.52</v>
      </c>
      <c r="AA531" s="145"/>
      <c r="AB531" s="151">
        <v>17651.509999999998</v>
      </c>
      <c r="AC531" s="145">
        <v>17651.509999999998</v>
      </c>
      <c r="AD531" s="147"/>
      <c r="AE531" s="62">
        <v>2458.6706249324002</v>
      </c>
      <c r="AF531" s="62">
        <v>2458.6706249324002</v>
      </c>
      <c r="AG531" s="33">
        <v>2024</v>
      </c>
      <c r="AI531" s="5">
        <f>+(K531*15.35+L531*26.02)*12*0.85</f>
        <v>512751.09300000005</v>
      </c>
      <c r="AJ531" s="5">
        <f>+(K531*15.35+L531*26.02)*12*30-[3]Лист1!$AQ$166</f>
        <v>15804221.660000002</v>
      </c>
      <c r="AK531" s="5">
        <f t="shared" si="109"/>
        <v>1659683.53</v>
      </c>
      <c r="AL531" s="146">
        <f t="shared" si="113"/>
        <v>0</v>
      </c>
      <c r="AM531" s="62"/>
      <c r="AN531" s="30">
        <v>0</v>
      </c>
      <c r="AO531" s="30">
        <v>0</v>
      </c>
      <c r="AP531" s="30">
        <v>1642032.02</v>
      </c>
      <c r="AQ531" s="30">
        <v>0</v>
      </c>
      <c r="AR531" s="30"/>
      <c r="AS531" s="62"/>
      <c r="AT531" s="30">
        <v>0</v>
      </c>
      <c r="AU531" s="30">
        <v>0</v>
      </c>
      <c r="AV531" s="30"/>
      <c r="AW531" s="30">
        <v>0</v>
      </c>
      <c r="AX531" s="30">
        <v>0</v>
      </c>
      <c r="AY531" s="30"/>
      <c r="AZ531" s="30"/>
      <c r="BA531" s="156"/>
      <c r="BB531" s="149">
        <f t="shared" si="110"/>
        <v>1</v>
      </c>
      <c r="BD531" s="164">
        <v>17651.509999999998</v>
      </c>
    </row>
    <row r="532" spans="1:57" ht="15.75" hidden="1">
      <c r="A532" s="10">
        <f t="shared" si="121"/>
        <v>511</v>
      </c>
      <c r="B532" s="12">
        <f t="shared" si="122"/>
        <v>52</v>
      </c>
      <c r="C532" s="101" t="s">
        <v>114</v>
      </c>
      <c r="D532" s="101" t="s">
        <v>170</v>
      </c>
      <c r="E532" s="102">
        <v>1983</v>
      </c>
      <c r="F532" s="102">
        <v>2008</v>
      </c>
      <c r="G532" s="102" t="s">
        <v>3</v>
      </c>
      <c r="H532" s="102">
        <v>5</v>
      </c>
      <c r="I532" s="102">
        <v>3</v>
      </c>
      <c r="J532" s="62">
        <v>5132.1000000000004</v>
      </c>
      <c r="K532" s="62">
        <v>4364.6000000000004</v>
      </c>
      <c r="L532" s="62">
        <v>0</v>
      </c>
      <c r="M532" s="103">
        <v>197</v>
      </c>
      <c r="N532" s="28">
        <f t="shared" si="104"/>
        <v>2727011.51</v>
      </c>
      <c r="O532" s="62"/>
      <c r="P532" s="30">
        <f t="shared" si="105"/>
        <v>0</v>
      </c>
      <c r="Q532" s="160"/>
      <c r="R532" s="145"/>
      <c r="S532" s="30"/>
      <c r="T532" s="31"/>
      <c r="U532" s="31"/>
      <c r="V532" s="146">
        <f t="shared" si="120"/>
        <v>514193.53</v>
      </c>
      <c r="W532" s="145">
        <v>514193.53</v>
      </c>
      <c r="X532" s="145"/>
      <c r="Y532" s="146">
        <f t="shared" si="107"/>
        <v>1741536.1</v>
      </c>
      <c r="Z532" s="145">
        <v>1741536.1</v>
      </c>
      <c r="AA532" s="145"/>
      <c r="AB532" s="151">
        <f>33585.17+AD532</f>
        <v>471281.88</v>
      </c>
      <c r="AC532" s="145">
        <v>33585.17</v>
      </c>
      <c r="AD532" s="160">
        <v>437696.71</v>
      </c>
      <c r="AE532" s="30">
        <v>766.94359684402502</v>
      </c>
      <c r="AF532" s="30">
        <v>1222.2830200640001</v>
      </c>
      <c r="AG532" s="33">
        <v>2024</v>
      </c>
      <c r="AH532" s="18"/>
      <c r="AI532" s="5">
        <f t="shared" ref="AI532:AI540" si="123">+(K532*11.55+L532*23.1)*12*0.85</f>
        <v>514193.52600000001</v>
      </c>
      <c r="AJ532" s="5">
        <f>+(K532*11.55+L532*23.1)*12*30-[3]Лист1!$AQ$167</f>
        <v>8651368.0899999999</v>
      </c>
      <c r="AK532" s="5">
        <f t="shared" si="109"/>
        <v>2727011.51</v>
      </c>
      <c r="AL532" s="146">
        <f t="shared" si="113"/>
        <v>0</v>
      </c>
      <c r="AM532" s="62"/>
      <c r="AN532" s="30"/>
      <c r="AO532" s="30">
        <v>2693426.34</v>
      </c>
      <c r="AP532" s="30"/>
      <c r="AQ532" s="30"/>
      <c r="AR532" s="30"/>
      <c r="AS532" s="62"/>
      <c r="AT532" s="30"/>
      <c r="AU532" s="30"/>
      <c r="AV532" s="30">
        <v>0</v>
      </c>
      <c r="AW532" s="30">
        <v>0</v>
      </c>
      <c r="AX532" s="30">
        <v>0</v>
      </c>
      <c r="AY532" s="30"/>
      <c r="AZ532" s="30"/>
      <c r="BA532" s="156"/>
      <c r="BB532" s="149">
        <f t="shared" si="110"/>
        <v>1</v>
      </c>
    </row>
    <row r="533" spans="1:57" ht="15.75" hidden="1">
      <c r="A533" s="10">
        <f t="shared" si="121"/>
        <v>512</v>
      </c>
      <c r="B533" s="12">
        <f t="shared" si="122"/>
        <v>53</v>
      </c>
      <c r="C533" s="101" t="s">
        <v>114</v>
      </c>
      <c r="D533" s="101" t="s">
        <v>299</v>
      </c>
      <c r="E533" s="102">
        <v>1985</v>
      </c>
      <c r="F533" s="102">
        <v>2008</v>
      </c>
      <c r="G533" s="102" t="s">
        <v>3</v>
      </c>
      <c r="H533" s="102">
        <v>5</v>
      </c>
      <c r="I533" s="102">
        <v>5</v>
      </c>
      <c r="J533" s="62">
        <v>7124.7</v>
      </c>
      <c r="K533" s="62">
        <v>5794.3</v>
      </c>
      <c r="L533" s="62">
        <v>252.5</v>
      </c>
      <c r="M533" s="103">
        <v>248</v>
      </c>
      <c r="N533" s="28">
        <f t="shared" si="104"/>
        <v>3869439.1599999997</v>
      </c>
      <c r="O533" s="62"/>
      <c r="P533" s="30">
        <f t="shared" si="105"/>
        <v>0</v>
      </c>
      <c r="Q533" s="143"/>
      <c r="R533" s="31"/>
      <c r="S533" s="30"/>
      <c r="T533" s="31"/>
      <c r="U533" s="31"/>
      <c r="V533" s="146">
        <f t="shared" si="120"/>
        <v>742120.53</v>
      </c>
      <c r="W533" s="145">
        <v>742120.53</v>
      </c>
      <c r="X533" s="145"/>
      <c r="Y533" s="146">
        <f t="shared" si="107"/>
        <v>3084733.11</v>
      </c>
      <c r="Z533" s="145">
        <v>3084733.11</v>
      </c>
      <c r="AA533" s="145"/>
      <c r="AB533" s="151">
        <v>42585.52</v>
      </c>
      <c r="AC533" s="145">
        <v>42585.52</v>
      </c>
      <c r="AD533" s="147"/>
      <c r="AE533" s="30">
        <v>876.11974484954601</v>
      </c>
      <c r="AF533" s="30">
        <v>1223.2830200640001</v>
      </c>
      <c r="AG533" s="33">
        <v>2024</v>
      </c>
      <c r="AI533" s="5">
        <f t="shared" si="123"/>
        <v>742120.53300000005</v>
      </c>
      <c r="AJ533" s="5">
        <f>+(K533*11.55+L533*23.1)*12*30-[3]Лист1!$AQ$168</f>
        <v>15352418.130000003</v>
      </c>
      <c r="AK533" s="5">
        <f t="shared" si="109"/>
        <v>3869439.1599999997</v>
      </c>
      <c r="AL533" s="146">
        <f t="shared" si="113"/>
        <v>0</v>
      </c>
      <c r="AM533" s="62"/>
      <c r="AN533" s="30"/>
      <c r="AO533" s="30">
        <v>3826853.64</v>
      </c>
      <c r="AP533" s="30"/>
      <c r="AQ533" s="30">
        <v>0</v>
      </c>
      <c r="AR533" s="30"/>
      <c r="AS533" s="62"/>
      <c r="AT533" s="30">
        <v>0</v>
      </c>
      <c r="AU533" s="30">
        <v>0</v>
      </c>
      <c r="AV533" s="30"/>
      <c r="AW533" s="30">
        <v>0</v>
      </c>
      <c r="AX533" s="30">
        <v>0</v>
      </c>
      <c r="AY533" s="30"/>
      <c r="AZ533" s="30"/>
      <c r="BA533" s="156"/>
      <c r="BB533" s="149">
        <f t="shared" si="110"/>
        <v>1</v>
      </c>
    </row>
    <row r="534" spans="1:57" ht="15.75" hidden="1">
      <c r="A534" s="10">
        <f t="shared" si="121"/>
        <v>513</v>
      </c>
      <c r="B534" s="12">
        <f t="shared" si="122"/>
        <v>54</v>
      </c>
      <c r="C534" s="101" t="s">
        <v>114</v>
      </c>
      <c r="D534" s="101" t="s">
        <v>301</v>
      </c>
      <c r="E534" s="102">
        <v>1986</v>
      </c>
      <c r="F534" s="102">
        <v>2016</v>
      </c>
      <c r="G534" s="102" t="s">
        <v>3</v>
      </c>
      <c r="H534" s="102">
        <v>5</v>
      </c>
      <c r="I534" s="102">
        <v>4</v>
      </c>
      <c r="J534" s="62">
        <v>5735.9</v>
      </c>
      <c r="K534" s="62">
        <v>4570.5</v>
      </c>
      <c r="L534" s="62">
        <v>392.5</v>
      </c>
      <c r="M534" s="103">
        <v>186</v>
      </c>
      <c r="N534" s="28">
        <f t="shared" si="104"/>
        <v>3338870.34</v>
      </c>
      <c r="O534" s="62"/>
      <c r="P534" s="30">
        <f t="shared" si="105"/>
        <v>0</v>
      </c>
      <c r="Q534" s="143"/>
      <c r="R534" s="31"/>
      <c r="S534" s="30"/>
      <c r="T534" s="31"/>
      <c r="U534" s="31"/>
      <c r="V534" s="146">
        <f t="shared" si="120"/>
        <v>630931.46</v>
      </c>
      <c r="W534" s="145">
        <v>630931.46</v>
      </c>
      <c r="X534" s="145"/>
      <c r="Y534" s="146">
        <f t="shared" si="107"/>
        <v>2674046.15</v>
      </c>
      <c r="Z534" s="145">
        <v>2674046.15</v>
      </c>
      <c r="AA534" s="145"/>
      <c r="AB534" s="151">
        <v>33892.730000000003</v>
      </c>
      <c r="AC534" s="145">
        <v>33892.730000000003</v>
      </c>
      <c r="AD534" s="147"/>
      <c r="AE534" s="30">
        <v>819.62128971393599</v>
      </c>
      <c r="AF534" s="30">
        <v>1224.2830200640001</v>
      </c>
      <c r="AG534" s="33">
        <v>2024</v>
      </c>
      <c r="AI534" s="5">
        <f t="shared" si="123"/>
        <v>630931.45500000007</v>
      </c>
      <c r="AJ534" s="5">
        <f>+(K534*11.55+L534*23.1)*12*30-[3]Лист1!$AQ$170</f>
        <v>18906732.120000001</v>
      </c>
      <c r="AK534" s="5">
        <f t="shared" si="109"/>
        <v>3338870.34</v>
      </c>
      <c r="AL534" s="146">
        <f t="shared" si="113"/>
        <v>0</v>
      </c>
      <c r="AM534" s="62">
        <v>0</v>
      </c>
      <c r="AN534" s="30">
        <v>0</v>
      </c>
      <c r="AO534" s="30">
        <v>3304977.61</v>
      </c>
      <c r="AP534" s="30">
        <v>0</v>
      </c>
      <c r="AQ534" s="30">
        <v>0</v>
      </c>
      <c r="AR534" s="30"/>
      <c r="AS534" s="62"/>
      <c r="AT534" s="30">
        <v>0</v>
      </c>
      <c r="AU534" s="30">
        <v>0</v>
      </c>
      <c r="AV534" s="30">
        <v>0</v>
      </c>
      <c r="AW534" s="30">
        <v>0</v>
      </c>
      <c r="AX534" s="30">
        <v>0</v>
      </c>
      <c r="AY534" s="30"/>
      <c r="AZ534" s="30"/>
      <c r="BA534" s="156"/>
      <c r="BB534" s="149">
        <f t="shared" si="110"/>
        <v>1</v>
      </c>
    </row>
    <row r="535" spans="1:57" ht="15.75" hidden="1">
      <c r="A535" s="10">
        <f t="shared" si="121"/>
        <v>514</v>
      </c>
      <c r="B535" s="12">
        <f t="shared" si="122"/>
        <v>55</v>
      </c>
      <c r="C535" s="101" t="s">
        <v>114</v>
      </c>
      <c r="D535" s="101" t="s">
        <v>303</v>
      </c>
      <c r="E535" s="102">
        <v>1982</v>
      </c>
      <c r="F535" s="102">
        <v>2008</v>
      </c>
      <c r="G535" s="102" t="s">
        <v>3</v>
      </c>
      <c r="H535" s="102">
        <v>5</v>
      </c>
      <c r="I535" s="102">
        <v>7</v>
      </c>
      <c r="J535" s="62">
        <v>6399.1</v>
      </c>
      <c r="K535" s="62">
        <v>4849.8999999999996</v>
      </c>
      <c r="L535" s="62">
        <v>814.5</v>
      </c>
      <c r="M535" s="103">
        <v>218</v>
      </c>
      <c r="N535" s="28">
        <f t="shared" si="104"/>
        <v>1680888.16</v>
      </c>
      <c r="O535" s="62"/>
      <c r="P535" s="30">
        <f t="shared" si="105"/>
        <v>0</v>
      </c>
      <c r="Q535" s="143"/>
      <c r="R535" s="31"/>
      <c r="S535" s="30"/>
      <c r="T535" s="31"/>
      <c r="U535" s="31"/>
      <c r="V535" s="146">
        <f t="shared" si="120"/>
        <v>763279.21</v>
      </c>
      <c r="W535" s="145">
        <v>763279.21</v>
      </c>
      <c r="X535" s="145"/>
      <c r="Y535" s="146">
        <f t="shared" si="107"/>
        <v>917608.95</v>
      </c>
      <c r="Z535" s="145">
        <v>917608.95</v>
      </c>
      <c r="AA535" s="145"/>
      <c r="AB535" s="146">
        <f>AC535+AD535</f>
        <v>0</v>
      </c>
      <c r="AC535" s="147"/>
      <c r="AD535" s="147"/>
      <c r="AE535" s="62">
        <v>749.58910281903297</v>
      </c>
      <c r="AF535" s="62">
        <v>749.58910281903297</v>
      </c>
      <c r="AG535" s="33">
        <v>2024</v>
      </c>
      <c r="AH535" s="18"/>
      <c r="AI535" s="5">
        <f t="shared" si="123"/>
        <v>763279.20900000003</v>
      </c>
      <c r="AJ535" s="5">
        <f>+(K535*11.55+L535*23.1)*12*30-[3]Лист1!$AQ$171</f>
        <v>25447403.080000002</v>
      </c>
      <c r="AK535" s="5">
        <f t="shared" si="109"/>
        <v>1680888.16</v>
      </c>
      <c r="AL535" s="146">
        <f t="shared" si="113"/>
        <v>0</v>
      </c>
      <c r="AM535" s="62"/>
      <c r="AN535" s="30">
        <v>0</v>
      </c>
      <c r="AO535" s="30">
        <v>1680888.16</v>
      </c>
      <c r="AP535" s="30">
        <v>0</v>
      </c>
      <c r="AQ535" s="30">
        <v>0</v>
      </c>
      <c r="AR535" s="30"/>
      <c r="AS535" s="62"/>
      <c r="AT535" s="30">
        <v>0</v>
      </c>
      <c r="AU535" s="30">
        <v>0</v>
      </c>
      <c r="AV535" s="30">
        <v>0</v>
      </c>
      <c r="AW535" s="30">
        <v>0</v>
      </c>
      <c r="AX535" s="30">
        <v>0</v>
      </c>
      <c r="AY535" s="30"/>
      <c r="AZ535" s="30"/>
      <c r="BA535" s="156"/>
      <c r="BB535" s="149">
        <f t="shared" si="110"/>
        <v>1</v>
      </c>
      <c r="BD535" s="164"/>
    </row>
    <row r="536" spans="1:57" ht="15.75" hidden="1">
      <c r="A536" s="10">
        <f t="shared" si="121"/>
        <v>515</v>
      </c>
      <c r="B536" s="12">
        <f t="shared" si="122"/>
        <v>56</v>
      </c>
      <c r="C536" s="101" t="s">
        <v>114</v>
      </c>
      <c r="D536" s="101" t="s">
        <v>306</v>
      </c>
      <c r="E536" s="102">
        <v>1983</v>
      </c>
      <c r="F536" s="102">
        <v>2015</v>
      </c>
      <c r="G536" s="102" t="s">
        <v>3</v>
      </c>
      <c r="H536" s="102">
        <v>5</v>
      </c>
      <c r="I536" s="102">
        <v>4</v>
      </c>
      <c r="J536" s="62">
        <v>4471.8999999999996</v>
      </c>
      <c r="K536" s="62">
        <v>3791</v>
      </c>
      <c r="L536" s="62">
        <v>256.8</v>
      </c>
      <c r="M536" s="103">
        <v>156</v>
      </c>
      <c r="N536" s="28">
        <f t="shared" si="104"/>
        <v>8874919.9800000004</v>
      </c>
      <c r="O536" s="62"/>
      <c r="P536" s="30">
        <f t="shared" si="105"/>
        <v>0</v>
      </c>
      <c r="Q536" s="143"/>
      <c r="R536" s="31"/>
      <c r="S536" s="30"/>
      <c r="T536" s="31"/>
      <c r="U536" s="31"/>
      <c r="V536" s="146">
        <f t="shared" si="120"/>
        <v>2187403.69</v>
      </c>
      <c r="W536" s="145">
        <v>2187403.69</v>
      </c>
      <c r="X536" s="145"/>
      <c r="Y536" s="146">
        <f t="shared" si="107"/>
        <v>6687516.29</v>
      </c>
      <c r="Z536" s="145">
        <v>6627364.9100000001</v>
      </c>
      <c r="AA536" s="145">
        <v>60151.379999999903</v>
      </c>
      <c r="AB536" s="146">
        <f>AC536+AD536</f>
        <v>0</v>
      </c>
      <c r="AC536" s="147"/>
      <c r="AD536" s="147"/>
      <c r="AE536" s="62">
        <v>3367.4669587092499</v>
      </c>
      <c r="AF536" s="62">
        <v>3367.4669587092499</v>
      </c>
      <c r="AG536" s="33">
        <v>2024</v>
      </c>
      <c r="AI536" s="5">
        <f t="shared" si="123"/>
        <v>507124.92600000004</v>
      </c>
      <c r="AJ536" s="5">
        <f>+(K536*11.55+L536*23.1)*12*30-[3]Лист1!$AQ$173</f>
        <v>14006927.43</v>
      </c>
      <c r="AK536" s="5">
        <f t="shared" si="109"/>
        <v>8874919.9800000004</v>
      </c>
      <c r="AL536" s="146">
        <f t="shared" si="113"/>
        <v>0</v>
      </c>
      <c r="AM536" s="62">
        <v>6279592.8200000003</v>
      </c>
      <c r="AN536" s="30">
        <v>0</v>
      </c>
      <c r="AO536" s="30">
        <v>0</v>
      </c>
      <c r="AP536" s="30">
        <v>2535175.7799999998</v>
      </c>
      <c r="AQ536" s="30">
        <v>0</v>
      </c>
      <c r="AR536" s="30"/>
      <c r="AS536" s="62"/>
      <c r="AT536" s="30">
        <v>0</v>
      </c>
      <c r="AU536" s="30">
        <v>0</v>
      </c>
      <c r="AV536" s="30">
        <v>0</v>
      </c>
      <c r="AW536" s="30">
        <v>0</v>
      </c>
      <c r="AX536" s="30">
        <v>0</v>
      </c>
      <c r="AY536" s="30"/>
      <c r="AZ536" s="30"/>
      <c r="BA536" s="156">
        <v>60151.38</v>
      </c>
      <c r="BB536" s="149">
        <f t="shared" si="110"/>
        <v>2</v>
      </c>
    </row>
    <row r="537" spans="1:57" ht="15.75" hidden="1">
      <c r="A537" s="10">
        <f t="shared" si="121"/>
        <v>516</v>
      </c>
      <c r="B537" s="12">
        <f t="shared" si="122"/>
        <v>57</v>
      </c>
      <c r="C537" s="101" t="s">
        <v>114</v>
      </c>
      <c r="D537" s="101" t="s">
        <v>308</v>
      </c>
      <c r="E537" s="102">
        <v>1983</v>
      </c>
      <c r="F537" s="102">
        <v>2015</v>
      </c>
      <c r="G537" s="102" t="s">
        <v>3</v>
      </c>
      <c r="H537" s="102">
        <v>5</v>
      </c>
      <c r="I537" s="102">
        <v>3</v>
      </c>
      <c r="J537" s="62">
        <v>5101.8</v>
      </c>
      <c r="K537" s="62">
        <v>4226.1000000000004</v>
      </c>
      <c r="L537" s="62">
        <v>155.6</v>
      </c>
      <c r="M537" s="103">
        <v>188</v>
      </c>
      <c r="N537" s="28">
        <f t="shared" si="104"/>
        <v>12140653.289999999</v>
      </c>
      <c r="O537" s="62"/>
      <c r="P537" s="30">
        <f t="shared" si="105"/>
        <v>731797.73</v>
      </c>
      <c r="Q537" s="152">
        <v>731797.73</v>
      </c>
      <c r="R537" s="145"/>
      <c r="S537" s="30"/>
      <c r="T537" s="31"/>
      <c r="U537" s="31"/>
      <c r="V537" s="146">
        <f t="shared" si="120"/>
        <v>3438188.92</v>
      </c>
      <c r="W537" s="145">
        <v>3438188.92</v>
      </c>
      <c r="X537" s="145"/>
      <c r="Y537" s="146">
        <f t="shared" si="107"/>
        <v>7970666.6399999997</v>
      </c>
      <c r="Z537" s="145">
        <v>7893578.0099999998</v>
      </c>
      <c r="AA537" s="145">
        <v>77088.629999999903</v>
      </c>
      <c r="AB537" s="146">
        <f>AC537+AD537</f>
        <v>0</v>
      </c>
      <c r="AC537" s="147"/>
      <c r="AD537" s="147"/>
      <c r="AE537" s="62">
        <v>3308.8855299062302</v>
      </c>
      <c r="AF537" s="62">
        <v>3308.8855299062302</v>
      </c>
      <c r="AG537" s="33">
        <v>2024</v>
      </c>
      <c r="AH537" s="1">
        <v>2003635.99</v>
      </c>
      <c r="AI537" s="5">
        <f t="shared" si="123"/>
        <v>534539.31300000008</v>
      </c>
      <c r="AJ537" s="5">
        <f>+(K537*11.55+L537*23.1)*12*30</f>
        <v>18866093.400000006</v>
      </c>
      <c r="AK537" s="5">
        <f t="shared" si="109"/>
        <v>12140653.289999999</v>
      </c>
      <c r="AL537" s="146">
        <f t="shared" si="113"/>
        <v>0</v>
      </c>
      <c r="AM537" s="62">
        <v>7987299.2999999998</v>
      </c>
      <c r="AN537" s="30">
        <v>0</v>
      </c>
      <c r="AO537" s="30">
        <v>0</v>
      </c>
      <c r="AP537" s="30">
        <v>4076265.36</v>
      </c>
      <c r="AQ537" s="30">
        <v>0</v>
      </c>
      <c r="AR537" s="30"/>
      <c r="AS537" s="62"/>
      <c r="AT537" s="30">
        <v>0</v>
      </c>
      <c r="AU537" s="30">
        <v>0</v>
      </c>
      <c r="AV537" s="30">
        <v>0</v>
      </c>
      <c r="AW537" s="30">
        <v>0</v>
      </c>
      <c r="AX537" s="30">
        <v>0</v>
      </c>
      <c r="AY537" s="30"/>
      <c r="AZ537" s="30"/>
      <c r="BA537" s="156">
        <v>77088.63</v>
      </c>
      <c r="BB537" s="149">
        <f t="shared" si="110"/>
        <v>2</v>
      </c>
    </row>
    <row r="538" spans="1:57" ht="15.75" hidden="1">
      <c r="A538" s="10">
        <f t="shared" si="121"/>
        <v>517</v>
      </c>
      <c r="B538" s="12">
        <f t="shared" si="122"/>
        <v>58</v>
      </c>
      <c r="C538" s="101" t="s">
        <v>114</v>
      </c>
      <c r="D538" s="101" t="s">
        <v>310</v>
      </c>
      <c r="E538" s="102">
        <v>1996</v>
      </c>
      <c r="F538" s="102">
        <v>1996</v>
      </c>
      <c r="G538" s="102" t="s">
        <v>3</v>
      </c>
      <c r="H538" s="102">
        <v>3</v>
      </c>
      <c r="I538" s="102">
        <v>2</v>
      </c>
      <c r="J538" s="62">
        <v>1212.9000000000001</v>
      </c>
      <c r="K538" s="62">
        <v>969.5</v>
      </c>
      <c r="L538" s="62">
        <v>83.1</v>
      </c>
      <c r="M538" s="103">
        <v>29</v>
      </c>
      <c r="N538" s="28">
        <f t="shared" si="104"/>
        <v>4085136.5199999996</v>
      </c>
      <c r="O538" s="62"/>
      <c r="P538" s="30">
        <f t="shared" si="105"/>
        <v>1063992.56</v>
      </c>
      <c r="Q538" s="160">
        <f>1882716.71-818724.15</f>
        <v>1063992.56</v>
      </c>
      <c r="R538" s="145"/>
      <c r="S538" s="30"/>
      <c r="T538" s="31"/>
      <c r="U538" s="31"/>
      <c r="V538" s="146">
        <f t="shared" si="120"/>
        <v>121633.47</v>
      </c>
      <c r="W538" s="145">
        <v>121633.47</v>
      </c>
      <c r="X538" s="145"/>
      <c r="Y538" s="146">
        <f t="shared" si="107"/>
        <v>1672272.69</v>
      </c>
      <c r="Z538" s="145">
        <v>1672272.69</v>
      </c>
      <c r="AA538" s="145"/>
      <c r="AB538" s="146">
        <f>AC538+AD538</f>
        <v>1227237.8</v>
      </c>
      <c r="AC538" s="145"/>
      <c r="AD538" s="160">
        <f>408513.65+818724.15</f>
        <v>1227237.8</v>
      </c>
      <c r="AE538" s="30">
        <v>4522.7846589497103</v>
      </c>
      <c r="AF538" s="30">
        <v>1230.2830200640001</v>
      </c>
      <c r="AG538" s="33">
        <v>2024</v>
      </c>
      <c r="AH538" s="98">
        <v>0</v>
      </c>
      <c r="AI538" s="5">
        <f t="shared" si="123"/>
        <v>133796.81700000001</v>
      </c>
      <c r="AJ538" s="5">
        <f>+(K538*11.55+L538*23.1)*12*30-[3]Лист1!$AQ$175</f>
        <v>3983028.1000000006</v>
      </c>
      <c r="AK538" s="5">
        <f t="shared" si="109"/>
        <v>4085136.5199999996</v>
      </c>
      <c r="AL538" s="146">
        <f t="shared" si="113"/>
        <v>0</v>
      </c>
      <c r="AM538" s="62"/>
      <c r="AN538" s="30"/>
      <c r="AO538" s="30"/>
      <c r="AP538" s="30"/>
      <c r="AQ538" s="30">
        <v>0</v>
      </c>
      <c r="AR538" s="30"/>
      <c r="AS538" s="62"/>
      <c r="AT538" s="30">
        <v>0</v>
      </c>
      <c r="AU538" s="30">
        <v>0</v>
      </c>
      <c r="AV538" s="30">
        <v>4085136.52</v>
      </c>
      <c r="AW538" s="30">
        <v>0</v>
      </c>
      <c r="AX538" s="30">
        <v>0</v>
      </c>
      <c r="AY538" s="30"/>
      <c r="AZ538" s="30"/>
      <c r="BA538" s="148"/>
      <c r="BB538" s="149">
        <f t="shared" si="110"/>
        <v>1</v>
      </c>
    </row>
    <row r="539" spans="1:57" ht="15.75" hidden="1">
      <c r="A539" s="10">
        <f t="shared" si="121"/>
        <v>518</v>
      </c>
      <c r="B539" s="12">
        <f t="shared" si="122"/>
        <v>59</v>
      </c>
      <c r="C539" s="101" t="s">
        <v>114</v>
      </c>
      <c r="D539" s="101" t="s">
        <v>312</v>
      </c>
      <c r="E539" s="102">
        <v>1992</v>
      </c>
      <c r="F539" s="102">
        <v>1992</v>
      </c>
      <c r="G539" s="102" t="s">
        <v>3</v>
      </c>
      <c r="H539" s="102">
        <v>2</v>
      </c>
      <c r="I539" s="102">
        <v>8</v>
      </c>
      <c r="J539" s="62">
        <v>962.7</v>
      </c>
      <c r="K539" s="62">
        <v>961.6</v>
      </c>
      <c r="L539" s="62">
        <v>0</v>
      </c>
      <c r="M539" s="103">
        <v>42</v>
      </c>
      <c r="N539" s="28">
        <f t="shared" si="104"/>
        <v>12521748.26</v>
      </c>
      <c r="O539" s="62"/>
      <c r="P539" s="30">
        <f t="shared" si="105"/>
        <v>295712.38000000082</v>
      </c>
      <c r="Q539" s="160">
        <f>8696215.08-8400502.7</f>
        <v>295712.38000000082</v>
      </c>
      <c r="R539" s="145"/>
      <c r="S539" s="30"/>
      <c r="T539" s="31"/>
      <c r="U539" s="31"/>
      <c r="V539" s="146">
        <f t="shared" si="120"/>
        <v>113473.87</v>
      </c>
      <c r="W539" s="145">
        <v>113473.87</v>
      </c>
      <c r="X539" s="145"/>
      <c r="Y539" s="146">
        <f t="shared" si="107"/>
        <v>2209449.52</v>
      </c>
      <c r="Z539" s="145">
        <v>2209449.52</v>
      </c>
      <c r="AA539" s="145"/>
      <c r="AB539" s="146">
        <f>AC539+AD539</f>
        <v>9903112.4899999984</v>
      </c>
      <c r="AC539" s="145"/>
      <c r="AD539" s="160">
        <f>1502609.79+8400502.7</f>
        <v>9903112.4899999984</v>
      </c>
      <c r="AE539" s="30">
        <v>22867.4703734881</v>
      </c>
      <c r="AF539" s="30">
        <v>1227.2830200640001</v>
      </c>
      <c r="AG539" s="33">
        <v>2024</v>
      </c>
      <c r="AH539" s="98">
        <v>189434.55</v>
      </c>
      <c r="AI539" s="5">
        <f t="shared" si="123"/>
        <v>113286.09600000001</v>
      </c>
      <c r="AJ539" s="5">
        <f>+(K539*11.55+L539*23.1)*12*30</f>
        <v>3998332.8000000003</v>
      </c>
      <c r="AK539" s="5">
        <f t="shared" si="109"/>
        <v>12521748.26</v>
      </c>
      <c r="AL539" s="146">
        <f t="shared" si="113"/>
        <v>0</v>
      </c>
      <c r="AM539" s="62">
        <v>0</v>
      </c>
      <c r="AN539" s="30">
        <v>0</v>
      </c>
      <c r="AO539" s="30">
        <v>0</v>
      </c>
      <c r="AP539" s="30">
        <v>0</v>
      </c>
      <c r="AQ539" s="30">
        <v>0</v>
      </c>
      <c r="AR539" s="30"/>
      <c r="AS539" s="62"/>
      <c r="AT539" s="30">
        <v>0</v>
      </c>
      <c r="AU539" s="30"/>
      <c r="AV539" s="30">
        <v>0</v>
      </c>
      <c r="AW539" s="30">
        <v>12521748.26</v>
      </c>
      <c r="AX539" s="30">
        <v>0</v>
      </c>
      <c r="AY539" s="30"/>
      <c r="AZ539" s="30"/>
      <c r="BA539" s="148"/>
      <c r="BB539" s="149">
        <f t="shared" si="110"/>
        <v>1</v>
      </c>
    </row>
    <row r="540" spans="1:57" ht="15.75" hidden="1">
      <c r="A540" s="10">
        <f t="shared" si="121"/>
        <v>519</v>
      </c>
      <c r="B540" s="12">
        <f t="shared" si="122"/>
        <v>60</v>
      </c>
      <c r="C540" s="101" t="s">
        <v>114</v>
      </c>
      <c r="D540" s="101" t="s">
        <v>318</v>
      </c>
      <c r="E540" s="102">
        <v>1984</v>
      </c>
      <c r="F540" s="102">
        <v>2016</v>
      </c>
      <c r="G540" s="102" t="s">
        <v>3</v>
      </c>
      <c r="H540" s="102">
        <v>5</v>
      </c>
      <c r="I540" s="102">
        <v>4</v>
      </c>
      <c r="J540" s="62">
        <v>5755.6</v>
      </c>
      <c r="K540" s="62">
        <v>4829.1000000000004</v>
      </c>
      <c r="L540" s="62">
        <v>0</v>
      </c>
      <c r="M540" s="103">
        <v>186</v>
      </c>
      <c r="N540" s="28">
        <f t="shared" si="104"/>
        <v>16426976.619999999</v>
      </c>
      <c r="O540" s="62"/>
      <c r="P540" s="30">
        <f t="shared" si="105"/>
        <v>0</v>
      </c>
      <c r="Q540" s="160"/>
      <c r="R540" s="145"/>
      <c r="S540" s="30"/>
      <c r="T540" s="31"/>
      <c r="U540" s="31"/>
      <c r="V540" s="146">
        <f t="shared" si="120"/>
        <v>3282032.89</v>
      </c>
      <c r="W540" s="145">
        <v>3282032.89</v>
      </c>
      <c r="X540" s="145"/>
      <c r="Y540" s="146">
        <f t="shared" si="107"/>
        <v>12527024.289999999</v>
      </c>
      <c r="Z540" s="145">
        <v>12527024.289999999</v>
      </c>
      <c r="AA540" s="145"/>
      <c r="AB540" s="151">
        <f>136458.6+AD540</f>
        <v>617919.44000000006</v>
      </c>
      <c r="AC540" s="145">
        <v>136458.6</v>
      </c>
      <c r="AD540" s="160">
        <v>481460.84</v>
      </c>
      <c r="AE540" s="30">
        <v>9118.6723870044498</v>
      </c>
      <c r="AF540" s="30">
        <v>1228.2830200640001</v>
      </c>
      <c r="AG540" s="33">
        <v>2024</v>
      </c>
      <c r="AH540" s="98">
        <v>2946445.43</v>
      </c>
      <c r="AI540" s="5">
        <f t="shared" si="123"/>
        <v>568916.27100000007</v>
      </c>
      <c r="AJ540" s="5">
        <f>+(K540*11.55+L540*23.1)*12*30</f>
        <v>20079397.800000004</v>
      </c>
      <c r="AK540" s="5">
        <f t="shared" si="109"/>
        <v>16426976.619999999</v>
      </c>
      <c r="AL540" s="146">
        <f t="shared" si="113"/>
        <v>0</v>
      </c>
      <c r="AM540" s="62">
        <v>5042938.91</v>
      </c>
      <c r="AN540" s="30">
        <v>0</v>
      </c>
      <c r="AO540" s="30">
        <v>0</v>
      </c>
      <c r="AP540" s="30">
        <v>3850841.8</v>
      </c>
      <c r="AQ540" s="30">
        <v>0</v>
      </c>
      <c r="AR540" s="30"/>
      <c r="AS540" s="62"/>
      <c r="AT540" s="30"/>
      <c r="AU540" s="30">
        <v>7396737.3099999996</v>
      </c>
      <c r="AV540" s="30">
        <v>0</v>
      </c>
      <c r="AW540" s="30">
        <v>0</v>
      </c>
      <c r="AX540" s="30">
        <v>0</v>
      </c>
      <c r="AY540" s="30"/>
      <c r="AZ540" s="30"/>
      <c r="BA540" s="156"/>
      <c r="BB540" s="149">
        <f t="shared" si="110"/>
        <v>3</v>
      </c>
    </row>
    <row r="541" spans="1:57" ht="15.75" hidden="1">
      <c r="A541" s="10">
        <f t="shared" si="121"/>
        <v>520</v>
      </c>
      <c r="B541" s="12">
        <f t="shared" si="122"/>
        <v>61</v>
      </c>
      <c r="C541" s="101" t="s">
        <v>114</v>
      </c>
      <c r="D541" s="101" t="s">
        <v>178</v>
      </c>
      <c r="E541" s="102">
        <v>1987</v>
      </c>
      <c r="F541" s="102">
        <v>2017</v>
      </c>
      <c r="G541" s="102" t="s">
        <v>3</v>
      </c>
      <c r="H541" s="102">
        <v>9</v>
      </c>
      <c r="I541" s="102">
        <v>1</v>
      </c>
      <c r="J541" s="62">
        <v>2767.8</v>
      </c>
      <c r="K541" s="62">
        <v>2150.8000000000002</v>
      </c>
      <c r="L541" s="62">
        <v>66.8</v>
      </c>
      <c r="M541" s="103">
        <v>94</v>
      </c>
      <c r="N541" s="28">
        <f t="shared" si="104"/>
        <v>12013292</v>
      </c>
      <c r="O541" s="62"/>
      <c r="P541" s="30">
        <f t="shared" si="105"/>
        <v>2088054.04</v>
      </c>
      <c r="Q541" s="152">
        <v>2088054.04</v>
      </c>
      <c r="R541" s="145"/>
      <c r="S541" s="30"/>
      <c r="T541" s="31"/>
      <c r="U541" s="31"/>
      <c r="V541" s="146">
        <f t="shared" si="120"/>
        <v>324503.17</v>
      </c>
      <c r="W541" s="145">
        <v>324503.17</v>
      </c>
      <c r="X541" s="145"/>
      <c r="Y541" s="146">
        <f t="shared" si="107"/>
        <v>8399405.5899999999</v>
      </c>
      <c r="Z541" s="145">
        <v>8399405.5899999999</v>
      </c>
      <c r="AA541" s="145"/>
      <c r="AB541" s="146">
        <f>AC541+AD541</f>
        <v>1201329.2</v>
      </c>
      <c r="AC541" s="147"/>
      <c r="AD541" s="145">
        <v>1201329.2</v>
      </c>
      <c r="AE541" s="30">
        <v>7680.7857833897397</v>
      </c>
      <c r="AF541" s="30">
        <v>1233.2830200640001</v>
      </c>
      <c r="AG541" s="33">
        <v>2024</v>
      </c>
      <c r="AH541" s="18">
        <f>1756247.2-V395</f>
        <v>236255.92556157988</v>
      </c>
      <c r="AI541" s="5">
        <f>+(K541*13.95+L541*23.65)*12*0.85</f>
        <v>322151.49599999998</v>
      </c>
      <c r="AJ541" s="5">
        <f>+(K541*13.95+L541*23.65)*12*30</f>
        <v>11370052.800000001</v>
      </c>
      <c r="AK541" s="5">
        <f t="shared" si="109"/>
        <v>12013292</v>
      </c>
      <c r="AL541" s="146">
        <f t="shared" si="113"/>
        <v>0</v>
      </c>
      <c r="AM541" s="62"/>
      <c r="AN541" s="30"/>
      <c r="AO541" s="30"/>
      <c r="AP541" s="30"/>
      <c r="AQ541" s="30"/>
      <c r="AR541" s="30"/>
      <c r="AS541" s="62"/>
      <c r="AT541" s="30">
        <v>0</v>
      </c>
      <c r="AU541" s="30">
        <v>0</v>
      </c>
      <c r="AV541" s="30">
        <v>0</v>
      </c>
      <c r="AW541" s="30">
        <v>12013292</v>
      </c>
      <c r="AX541" s="30">
        <v>0</v>
      </c>
      <c r="AY541" s="30"/>
      <c r="AZ541" s="30"/>
      <c r="BA541" s="148"/>
      <c r="BB541" s="149">
        <f t="shared" si="110"/>
        <v>1</v>
      </c>
    </row>
    <row r="542" spans="1:57" ht="15.75" hidden="1">
      <c r="A542" s="10">
        <f t="shared" si="121"/>
        <v>521</v>
      </c>
      <c r="B542" s="12">
        <f t="shared" si="122"/>
        <v>62</v>
      </c>
      <c r="C542" s="101" t="s">
        <v>114</v>
      </c>
      <c r="D542" s="101" t="s">
        <v>321</v>
      </c>
      <c r="E542" s="102">
        <v>1987</v>
      </c>
      <c r="F542" s="102">
        <v>2016</v>
      </c>
      <c r="G542" s="102" t="s">
        <v>3</v>
      </c>
      <c r="H542" s="102">
        <v>5</v>
      </c>
      <c r="I542" s="102">
        <v>5</v>
      </c>
      <c r="J542" s="62">
        <v>7155.6</v>
      </c>
      <c r="K542" s="62">
        <v>5789.5</v>
      </c>
      <c r="L542" s="62">
        <v>194.7</v>
      </c>
      <c r="M542" s="103">
        <v>243</v>
      </c>
      <c r="N542" s="28">
        <f t="shared" si="104"/>
        <v>4017783.84</v>
      </c>
      <c r="O542" s="62"/>
      <c r="P542" s="30">
        <f t="shared" si="105"/>
        <v>341465.75</v>
      </c>
      <c r="Q542" s="160"/>
      <c r="R542" s="145">
        <v>341465.75</v>
      </c>
      <c r="S542" s="30"/>
      <c r="T542" s="31"/>
      <c r="U542" s="31"/>
      <c r="V542" s="146">
        <f t="shared" si="120"/>
        <v>227643.83</v>
      </c>
      <c r="W542" s="145">
        <v>227643.83</v>
      </c>
      <c r="X542" s="145"/>
      <c r="Y542" s="146">
        <f t="shared" si="107"/>
        <v>1252041.07</v>
      </c>
      <c r="Z542" s="145">
        <v>1252041.07</v>
      </c>
      <c r="AA542" s="145"/>
      <c r="AB542" s="146">
        <f>AC542+AD542</f>
        <v>2196633.19</v>
      </c>
      <c r="AC542" s="145"/>
      <c r="AD542" s="160">
        <f>401778.38+1794854.81</f>
        <v>2196633.19</v>
      </c>
      <c r="AE542" s="30">
        <v>3248.37212020894</v>
      </c>
      <c r="AF542" s="30">
        <v>1235.2830200640001</v>
      </c>
      <c r="AG542" s="33">
        <v>2024</v>
      </c>
      <c r="AH542" s="98"/>
      <c r="AI542" s="5">
        <f t="shared" ref="AI542:AI547" si="124">+(K542*11.55+L542*23.1)*12*0.85</f>
        <v>727936.20900000015</v>
      </c>
      <c r="AJ542" s="5">
        <f>+(K542*11.55+L542*23.1)*12*30-[3]Лист1!$AQ$182</f>
        <v>19196497.630000003</v>
      </c>
      <c r="AK542" s="5">
        <f t="shared" si="109"/>
        <v>4017783.84</v>
      </c>
      <c r="AL542" s="146">
        <f t="shared" si="113"/>
        <v>0</v>
      </c>
      <c r="AM542" s="62"/>
      <c r="AN542" s="30">
        <v>0</v>
      </c>
      <c r="AO542" s="30">
        <v>0</v>
      </c>
      <c r="AP542" s="30">
        <v>4017783.84</v>
      </c>
      <c r="AQ542" s="30">
        <v>0</v>
      </c>
      <c r="AR542" s="30"/>
      <c r="AS542" s="62"/>
      <c r="AT542" s="30">
        <v>0</v>
      </c>
      <c r="AU542" s="30"/>
      <c r="AV542" s="30"/>
      <c r="AW542" s="30">
        <v>0</v>
      </c>
      <c r="AX542" s="30">
        <v>0</v>
      </c>
      <c r="AY542" s="30"/>
      <c r="AZ542" s="30"/>
      <c r="BA542" s="148"/>
      <c r="BB542" s="149">
        <f t="shared" si="110"/>
        <v>1</v>
      </c>
    </row>
    <row r="543" spans="1:57" ht="15.75" hidden="1">
      <c r="A543" s="10">
        <f t="shared" si="121"/>
        <v>522</v>
      </c>
      <c r="B543" s="12">
        <f t="shared" si="122"/>
        <v>63</v>
      </c>
      <c r="C543" s="101" t="s">
        <v>114</v>
      </c>
      <c r="D543" s="101" t="s">
        <v>323</v>
      </c>
      <c r="E543" s="102">
        <v>1993</v>
      </c>
      <c r="F543" s="102">
        <v>1993</v>
      </c>
      <c r="G543" s="102" t="s">
        <v>3</v>
      </c>
      <c r="H543" s="102">
        <v>5</v>
      </c>
      <c r="I543" s="102">
        <v>3</v>
      </c>
      <c r="J543" s="62">
        <v>2627.7</v>
      </c>
      <c r="K543" s="62">
        <v>2328</v>
      </c>
      <c r="L543" s="62">
        <v>0</v>
      </c>
      <c r="M543" s="103">
        <v>101</v>
      </c>
      <c r="N543" s="28">
        <f t="shared" si="104"/>
        <v>812803.3</v>
      </c>
      <c r="O543" s="62"/>
      <c r="P543" s="30">
        <f t="shared" si="105"/>
        <v>0</v>
      </c>
      <c r="Q543" s="143"/>
      <c r="R543" s="31"/>
      <c r="S543" s="30"/>
      <c r="T543" s="31"/>
      <c r="U543" s="31"/>
      <c r="V543" s="146">
        <f t="shared" si="120"/>
        <v>274261.68</v>
      </c>
      <c r="W543" s="145">
        <v>274261.68</v>
      </c>
      <c r="X543" s="145"/>
      <c r="Y543" s="146">
        <f t="shared" si="107"/>
        <v>538541.62</v>
      </c>
      <c r="Z543" s="145">
        <v>538541.62</v>
      </c>
      <c r="AA543" s="145"/>
      <c r="AB543" s="146">
        <f>AC543+AD543</f>
        <v>0</v>
      </c>
      <c r="AC543" s="147"/>
      <c r="AD543" s="147"/>
      <c r="AE543" s="30">
        <v>2251.35944975759</v>
      </c>
      <c r="AF543" s="30">
        <v>2251.35944975759</v>
      </c>
      <c r="AG543" s="33">
        <v>2024</v>
      </c>
      <c r="AH543" s="98"/>
      <c r="AI543" s="5">
        <f t="shared" si="124"/>
        <v>274261.68000000005</v>
      </c>
      <c r="AJ543" s="5">
        <f>+(K543*11.55+L543*23.1)*12*30-[3]Лист1!$AQ$183</f>
        <v>5580460.660000002</v>
      </c>
      <c r="AK543" s="5">
        <f t="shared" si="109"/>
        <v>812803.3</v>
      </c>
      <c r="AL543" s="146">
        <f t="shared" si="113"/>
        <v>0</v>
      </c>
      <c r="AM543" s="62">
        <v>0</v>
      </c>
      <c r="AN543" s="30">
        <v>0</v>
      </c>
      <c r="AO543" s="30">
        <v>812803.3</v>
      </c>
      <c r="AP543" s="30">
        <v>0</v>
      </c>
      <c r="AQ543" s="30">
        <v>0</v>
      </c>
      <c r="AR543" s="30"/>
      <c r="AS543" s="62"/>
      <c r="AT543" s="30">
        <v>0</v>
      </c>
      <c r="AU543" s="30">
        <v>0</v>
      </c>
      <c r="AV543" s="30"/>
      <c r="AW543" s="30">
        <v>0</v>
      </c>
      <c r="AX543" s="30">
        <v>0</v>
      </c>
      <c r="AY543" s="30"/>
      <c r="AZ543" s="30"/>
      <c r="BA543" s="148"/>
      <c r="BB543" s="149">
        <f t="shared" si="110"/>
        <v>1</v>
      </c>
    </row>
    <row r="544" spans="1:57" ht="15.75" hidden="1">
      <c r="A544" s="10">
        <f t="shared" si="121"/>
        <v>523</v>
      </c>
      <c r="B544" s="12">
        <f t="shared" si="122"/>
        <v>64</v>
      </c>
      <c r="C544" s="167" t="s">
        <v>114</v>
      </c>
      <c r="D544" s="167" t="s">
        <v>326</v>
      </c>
      <c r="E544" s="168">
        <v>1987</v>
      </c>
      <c r="F544" s="168">
        <v>2013</v>
      </c>
      <c r="G544" s="168" t="s">
        <v>3</v>
      </c>
      <c r="H544" s="168">
        <v>5</v>
      </c>
      <c r="I544" s="168">
        <v>6</v>
      </c>
      <c r="J544" s="169">
        <v>5156.5</v>
      </c>
      <c r="K544" s="169">
        <v>4643.1499999999996</v>
      </c>
      <c r="L544" s="169">
        <v>0</v>
      </c>
      <c r="M544" s="170">
        <v>198</v>
      </c>
      <c r="N544" s="28">
        <f t="shared" si="104"/>
        <v>1408758.6199999999</v>
      </c>
      <c r="O544" s="169"/>
      <c r="P544" s="30">
        <f t="shared" si="105"/>
        <v>0</v>
      </c>
      <c r="Q544" s="171"/>
      <c r="R544" s="172"/>
      <c r="S544" s="173"/>
      <c r="T544" s="172"/>
      <c r="U544" s="172"/>
      <c r="V544" s="146">
        <f t="shared" si="120"/>
        <v>547009.5</v>
      </c>
      <c r="W544" s="145">
        <v>547009.5</v>
      </c>
      <c r="X544" s="145"/>
      <c r="Y544" s="146">
        <f t="shared" si="107"/>
        <v>830144.34</v>
      </c>
      <c r="Z544" s="145">
        <v>830144.34</v>
      </c>
      <c r="AA544" s="145"/>
      <c r="AB544" s="151">
        <v>31604.78</v>
      </c>
      <c r="AC544" s="174">
        <v>31604.78</v>
      </c>
      <c r="AD544" s="175"/>
      <c r="AE544" s="169">
        <v>3983.9674421835298</v>
      </c>
      <c r="AF544" s="169">
        <v>3983.9674421835298</v>
      </c>
      <c r="AG544" s="33">
        <v>2024</v>
      </c>
      <c r="AI544" s="5">
        <f t="shared" si="124"/>
        <v>547009.50150000001</v>
      </c>
      <c r="AJ544" s="5">
        <f>+(K544*11.55+L544*23.1)*12*30-[3]Лист1!$AQ$184</f>
        <v>11859255.899999999</v>
      </c>
      <c r="AK544" s="5">
        <f t="shared" si="109"/>
        <v>1408758.6199999999</v>
      </c>
      <c r="AL544" s="146">
        <f t="shared" si="113"/>
        <v>0</v>
      </c>
      <c r="AM544" s="62"/>
      <c r="AN544" s="30">
        <v>0</v>
      </c>
      <c r="AO544" s="30">
        <v>1377153.84</v>
      </c>
      <c r="AP544" s="30"/>
      <c r="AQ544" s="30">
        <v>0</v>
      </c>
      <c r="AR544" s="30"/>
      <c r="AS544" s="62"/>
      <c r="AT544" s="30">
        <v>0</v>
      </c>
      <c r="AU544" s="30">
        <v>0</v>
      </c>
      <c r="AV544" s="30">
        <v>0</v>
      </c>
      <c r="AW544" s="30">
        <v>0</v>
      </c>
      <c r="AX544" s="30">
        <v>0</v>
      </c>
      <c r="AY544" s="30"/>
      <c r="AZ544" s="30"/>
      <c r="BA544" s="156"/>
      <c r="BB544" s="149">
        <f t="shared" si="110"/>
        <v>1</v>
      </c>
    </row>
    <row r="545" spans="1:54" ht="15.75" hidden="1">
      <c r="A545" s="10">
        <f t="shared" si="121"/>
        <v>524</v>
      </c>
      <c r="B545" s="12">
        <f t="shared" si="122"/>
        <v>65</v>
      </c>
      <c r="C545" s="101" t="s">
        <v>114</v>
      </c>
      <c r="D545" s="101" t="s">
        <v>328</v>
      </c>
      <c r="E545" s="102">
        <v>1995</v>
      </c>
      <c r="F545" s="102">
        <v>1995</v>
      </c>
      <c r="G545" s="102" t="s">
        <v>3</v>
      </c>
      <c r="H545" s="102">
        <v>5</v>
      </c>
      <c r="I545" s="102">
        <v>6</v>
      </c>
      <c r="J545" s="62">
        <v>5276.5</v>
      </c>
      <c r="K545" s="62">
        <v>4687.3999999999996</v>
      </c>
      <c r="L545" s="62">
        <v>0</v>
      </c>
      <c r="M545" s="103">
        <v>200</v>
      </c>
      <c r="N545" s="28">
        <f t="shared" ref="N545:N608" si="125">P545+S545+V545+Y545+AB545</f>
        <v>3780647.12</v>
      </c>
      <c r="O545" s="62"/>
      <c r="P545" s="30">
        <f t="shared" ref="P545:P608" si="126">Q545+R545</f>
        <v>0</v>
      </c>
      <c r="Q545" s="143"/>
      <c r="R545" s="31"/>
      <c r="S545" s="30"/>
      <c r="T545" s="31"/>
      <c r="U545" s="31"/>
      <c r="V545" s="146">
        <f t="shared" ref="V545:V576" si="127">W545+X545</f>
        <v>3090072.4</v>
      </c>
      <c r="W545" s="145">
        <v>3090072.4</v>
      </c>
      <c r="X545" s="145"/>
      <c r="Y545" s="146">
        <f t="shared" ref="Y545:Y608" si="128">Z545+AA545</f>
        <v>690574.72</v>
      </c>
      <c r="Z545" s="145">
        <v>690574.72</v>
      </c>
      <c r="AA545" s="145"/>
      <c r="AB545" s="146">
        <f>AC545+AD545</f>
        <v>0</v>
      </c>
      <c r="AC545" s="145">
        <v>0</v>
      </c>
      <c r="AD545" s="147"/>
      <c r="AE545" s="30">
        <v>1004.74319164001</v>
      </c>
      <c r="AF545" s="30">
        <v>1236.2830200640001</v>
      </c>
      <c r="AG545" s="33">
        <v>2024</v>
      </c>
      <c r="AH545" s="98"/>
      <c r="AI545" s="5">
        <f t="shared" si="124"/>
        <v>552222.59400000004</v>
      </c>
      <c r="AJ545" s="5">
        <f>+(K545*11.55+L545*23.1)*12*30-[3]Лист1!$AQ$185</f>
        <v>16228083.109999999</v>
      </c>
      <c r="AK545" s="5">
        <f t="shared" ref="AK545:AK608" si="129">+N545-AL545</f>
        <v>3780647.12</v>
      </c>
      <c r="AL545" s="146">
        <f t="shared" si="113"/>
        <v>0</v>
      </c>
      <c r="AM545" s="62">
        <v>0</v>
      </c>
      <c r="AN545" s="30">
        <v>0</v>
      </c>
      <c r="AO545" s="30">
        <v>3780647.12</v>
      </c>
      <c r="AP545" s="30">
        <v>0</v>
      </c>
      <c r="AQ545" s="30">
        <v>0</v>
      </c>
      <c r="AR545" s="30"/>
      <c r="AS545" s="62"/>
      <c r="AT545" s="30">
        <v>0</v>
      </c>
      <c r="AU545" s="30">
        <v>0</v>
      </c>
      <c r="AV545" s="30">
        <v>0</v>
      </c>
      <c r="AW545" s="30"/>
      <c r="AX545" s="30">
        <v>0</v>
      </c>
      <c r="AY545" s="30"/>
      <c r="AZ545" s="30"/>
      <c r="BA545" s="148"/>
      <c r="BB545" s="149">
        <f t="shared" ref="BB545:BB608" si="130">COUNTIF(AM545:AX545, "&gt;0")</f>
        <v>1</v>
      </c>
    </row>
    <row r="546" spans="1:54" ht="15.75" hidden="1">
      <c r="A546" s="10">
        <f t="shared" ref="A546:A564" si="131">A545+1</f>
        <v>525</v>
      </c>
      <c r="B546" s="12">
        <f t="shared" ref="B546:B564" si="132">B545+1</f>
        <v>66</v>
      </c>
      <c r="C546" s="101" t="s">
        <v>114</v>
      </c>
      <c r="D546" s="101" t="s">
        <v>330</v>
      </c>
      <c r="E546" s="102">
        <v>1987</v>
      </c>
      <c r="F546" s="102">
        <v>2008</v>
      </c>
      <c r="G546" s="102" t="s">
        <v>3</v>
      </c>
      <c r="H546" s="102">
        <v>5</v>
      </c>
      <c r="I546" s="102">
        <v>6</v>
      </c>
      <c r="J546" s="62">
        <v>5142.3999999999996</v>
      </c>
      <c r="K546" s="62">
        <v>4585</v>
      </c>
      <c r="L546" s="62">
        <v>0</v>
      </c>
      <c r="M546" s="103">
        <v>184</v>
      </c>
      <c r="N546" s="28">
        <f t="shared" si="125"/>
        <v>3018847.08</v>
      </c>
      <c r="O546" s="62"/>
      <c r="P546" s="30">
        <f t="shared" si="126"/>
        <v>0</v>
      </c>
      <c r="Q546" s="143"/>
      <c r="R546" s="31"/>
      <c r="S546" s="30"/>
      <c r="T546" s="31"/>
      <c r="U546" s="31"/>
      <c r="V546" s="146">
        <f t="shared" si="127"/>
        <v>540158.85</v>
      </c>
      <c r="W546" s="145">
        <v>540158.85</v>
      </c>
      <c r="X546" s="145"/>
      <c r="Y546" s="146">
        <f t="shared" si="128"/>
        <v>2437850.59</v>
      </c>
      <c r="Z546" s="145">
        <v>2437850.59</v>
      </c>
      <c r="AA546" s="145"/>
      <c r="AB546" s="151">
        <v>40837.64</v>
      </c>
      <c r="AC546" s="145">
        <v>40837.64</v>
      </c>
      <c r="AD546" s="147"/>
      <c r="AE546" s="62">
        <v>842.86455894728499</v>
      </c>
      <c r="AF546" s="62">
        <v>842.86455894728499</v>
      </c>
      <c r="AG546" s="33">
        <v>2024</v>
      </c>
      <c r="AH546" s="18"/>
      <c r="AI546" s="5">
        <f t="shared" si="124"/>
        <v>540158.85</v>
      </c>
      <c r="AJ546" s="5">
        <f>+(K546*11.55+L546*23.1)*12*30-[3]Лист1!$AQ$186</f>
        <v>12135322.039999999</v>
      </c>
      <c r="AK546" s="5">
        <f t="shared" si="129"/>
        <v>3018847.08</v>
      </c>
      <c r="AL546" s="146">
        <f t="shared" ref="AL546:AL609" si="133">SUBTOTAL(9, AM546:BA546)</f>
        <v>0</v>
      </c>
      <c r="AM546" s="62"/>
      <c r="AN546" s="30">
        <v>0</v>
      </c>
      <c r="AO546" s="30">
        <v>2978009.44</v>
      </c>
      <c r="AP546" s="30"/>
      <c r="AQ546" s="30">
        <v>0</v>
      </c>
      <c r="AR546" s="30"/>
      <c r="AS546" s="62"/>
      <c r="AT546" s="30">
        <v>0</v>
      </c>
      <c r="AU546" s="30">
        <v>0</v>
      </c>
      <c r="AV546" s="30">
        <v>0</v>
      </c>
      <c r="AW546" s="30">
        <v>0</v>
      </c>
      <c r="AX546" s="30">
        <v>0</v>
      </c>
      <c r="AY546" s="30"/>
      <c r="AZ546" s="30"/>
      <c r="BA546" s="156"/>
      <c r="BB546" s="149">
        <f t="shared" si="130"/>
        <v>1</v>
      </c>
    </row>
    <row r="547" spans="1:54" ht="15.75" hidden="1">
      <c r="A547" s="10">
        <f t="shared" si="131"/>
        <v>526</v>
      </c>
      <c r="B547" s="12">
        <f t="shared" si="132"/>
        <v>67</v>
      </c>
      <c r="C547" s="101" t="s">
        <v>114</v>
      </c>
      <c r="D547" s="101" t="s">
        <v>332</v>
      </c>
      <c r="E547" s="102">
        <v>1988</v>
      </c>
      <c r="F547" s="102">
        <v>2008</v>
      </c>
      <c r="G547" s="102" t="s">
        <v>3</v>
      </c>
      <c r="H547" s="102">
        <v>5</v>
      </c>
      <c r="I547" s="102">
        <v>6</v>
      </c>
      <c r="J547" s="62">
        <v>5139.5</v>
      </c>
      <c r="K547" s="62">
        <v>4552.6000000000004</v>
      </c>
      <c r="L547" s="62">
        <v>68.400000000000006</v>
      </c>
      <c r="M547" s="103">
        <v>203</v>
      </c>
      <c r="N547" s="28">
        <f t="shared" si="125"/>
        <v>3018847.08</v>
      </c>
      <c r="O547" s="62"/>
      <c r="P547" s="30">
        <f t="shared" si="126"/>
        <v>0</v>
      </c>
      <c r="Q547" s="143"/>
      <c r="R547" s="31"/>
      <c r="S547" s="30"/>
      <c r="T547" s="31"/>
      <c r="U547" s="31"/>
      <c r="V547" s="146">
        <f t="shared" si="127"/>
        <v>552458.21</v>
      </c>
      <c r="W547" s="145">
        <v>552458.21</v>
      </c>
      <c r="X547" s="145"/>
      <c r="Y547" s="146">
        <f t="shared" si="128"/>
        <v>2425551.23</v>
      </c>
      <c r="Z547" s="145">
        <v>2425551.23</v>
      </c>
      <c r="AA547" s="145"/>
      <c r="AB547" s="151">
        <v>40837.64</v>
      </c>
      <c r="AC547" s="145">
        <v>40837.64</v>
      </c>
      <c r="AD547" s="147"/>
      <c r="AE547" s="62">
        <v>837.43381746325701</v>
      </c>
      <c r="AF547" s="62">
        <v>837.43381746325701</v>
      </c>
      <c r="AG547" s="33">
        <v>2024</v>
      </c>
      <c r="AH547" s="18"/>
      <c r="AI547" s="5">
        <f t="shared" si="124"/>
        <v>552458.21400000004</v>
      </c>
      <c r="AJ547" s="5">
        <f>+(K547*11.55+L547*23.1)*12*30-[3]Лист1!$AQ$187</f>
        <v>11961671.350000003</v>
      </c>
      <c r="AK547" s="5">
        <f t="shared" si="129"/>
        <v>3018847.08</v>
      </c>
      <c r="AL547" s="146">
        <f t="shared" si="133"/>
        <v>0</v>
      </c>
      <c r="AM547" s="62"/>
      <c r="AN547" s="30">
        <v>0</v>
      </c>
      <c r="AO547" s="30">
        <v>2978009.44</v>
      </c>
      <c r="AP547" s="30"/>
      <c r="AQ547" s="30">
        <v>0</v>
      </c>
      <c r="AR547" s="30"/>
      <c r="AS547" s="62"/>
      <c r="AT547" s="30">
        <v>0</v>
      </c>
      <c r="AU547" s="30">
        <v>0</v>
      </c>
      <c r="AV547" s="30">
        <v>0</v>
      </c>
      <c r="AW547" s="30">
        <v>0</v>
      </c>
      <c r="AX547" s="30">
        <v>0</v>
      </c>
      <c r="AY547" s="30"/>
      <c r="AZ547" s="30"/>
      <c r="BA547" s="156"/>
      <c r="BB547" s="149">
        <f t="shared" si="130"/>
        <v>1</v>
      </c>
    </row>
    <row r="548" spans="1:54" ht="15.75" hidden="1">
      <c r="A548" s="10">
        <f t="shared" si="131"/>
        <v>527</v>
      </c>
      <c r="B548" s="12">
        <f t="shared" si="132"/>
        <v>68</v>
      </c>
      <c r="C548" s="101" t="s">
        <v>114</v>
      </c>
      <c r="D548" s="101" t="s">
        <v>335</v>
      </c>
      <c r="E548" s="102">
        <v>1989</v>
      </c>
      <c r="F548" s="102">
        <v>2016</v>
      </c>
      <c r="G548" s="102" t="s">
        <v>3</v>
      </c>
      <c r="H548" s="102">
        <v>5</v>
      </c>
      <c r="I548" s="102">
        <v>8</v>
      </c>
      <c r="J548" s="62">
        <v>7135.2</v>
      </c>
      <c r="K548" s="62">
        <v>6073.2</v>
      </c>
      <c r="L548" s="62">
        <v>1062</v>
      </c>
      <c r="M548" s="103">
        <v>253</v>
      </c>
      <c r="N548" s="28">
        <f t="shared" si="125"/>
        <v>13694022.699999999</v>
      </c>
      <c r="O548" s="62"/>
      <c r="P548" s="30">
        <f t="shared" si="126"/>
        <v>0</v>
      </c>
      <c r="Q548" s="143"/>
      <c r="R548" s="31"/>
      <c r="S548" s="30"/>
      <c r="T548" s="31"/>
      <c r="U548" s="31"/>
      <c r="V548" s="146">
        <f t="shared" si="127"/>
        <v>3571203.12</v>
      </c>
      <c r="W548" s="145">
        <v>3571203.12</v>
      </c>
      <c r="X548" s="145"/>
      <c r="Y548" s="146">
        <f t="shared" si="128"/>
        <v>10122819.58</v>
      </c>
      <c r="Z548" s="145">
        <v>10122819.58</v>
      </c>
      <c r="AA548" s="145"/>
      <c r="AB548" s="146">
        <f t="shared" ref="AB548:AB554" si="134">AC548+AD548</f>
        <v>0</v>
      </c>
      <c r="AC548" s="147"/>
      <c r="AD548" s="147"/>
      <c r="AE548" s="30">
        <v>6625.0522432984299</v>
      </c>
      <c r="AF548" s="30">
        <v>1238.2830200640001</v>
      </c>
      <c r="AG548" s="33">
        <v>2024</v>
      </c>
      <c r="AH548" s="98">
        <v>3554317.72</v>
      </c>
      <c r="AI548" s="5">
        <f>+(K548*10.5+L548*21)*12*0.85</f>
        <v>877920.12</v>
      </c>
      <c r="AJ548" s="5">
        <f>+(K548*10.5+L548*21)*12*30</f>
        <v>30985416.000000004</v>
      </c>
      <c r="AK548" s="5">
        <f t="shared" si="129"/>
        <v>13694022.699999999</v>
      </c>
      <c r="AL548" s="146">
        <f t="shared" si="133"/>
        <v>0</v>
      </c>
      <c r="AM548" s="62">
        <v>0</v>
      </c>
      <c r="AN548" s="30">
        <v>0</v>
      </c>
      <c r="AO548" s="30">
        <v>0</v>
      </c>
      <c r="AP548" s="30">
        <v>0</v>
      </c>
      <c r="AQ548" s="30">
        <v>0</v>
      </c>
      <c r="AR548" s="30"/>
      <c r="AS548" s="62"/>
      <c r="AT548" s="30">
        <v>0</v>
      </c>
      <c r="AU548" s="30">
        <v>0</v>
      </c>
      <c r="AV548" s="30">
        <v>0</v>
      </c>
      <c r="AW548" s="30">
        <v>13694022.699999999</v>
      </c>
      <c r="AX548" s="30">
        <v>0</v>
      </c>
      <c r="AY548" s="30"/>
      <c r="AZ548" s="30"/>
      <c r="BA548" s="148"/>
      <c r="BB548" s="149">
        <f t="shared" si="130"/>
        <v>1</v>
      </c>
    </row>
    <row r="549" spans="1:54" ht="15.75" hidden="1">
      <c r="A549" s="10">
        <f t="shared" si="131"/>
        <v>528</v>
      </c>
      <c r="B549" s="12">
        <f t="shared" si="132"/>
        <v>69</v>
      </c>
      <c r="C549" s="101" t="s">
        <v>114</v>
      </c>
      <c r="D549" s="101" t="s">
        <v>337</v>
      </c>
      <c r="E549" s="102">
        <v>1991</v>
      </c>
      <c r="F549" s="102">
        <v>2010</v>
      </c>
      <c r="G549" s="102" t="s">
        <v>3</v>
      </c>
      <c r="H549" s="102">
        <v>5</v>
      </c>
      <c r="I549" s="102">
        <v>5</v>
      </c>
      <c r="J549" s="62">
        <v>4721.8999999999996</v>
      </c>
      <c r="K549" s="62">
        <v>4156.5</v>
      </c>
      <c r="L549" s="62">
        <v>0</v>
      </c>
      <c r="M549" s="103">
        <v>161</v>
      </c>
      <c r="N549" s="28">
        <f t="shared" si="125"/>
        <v>10601532.810000001</v>
      </c>
      <c r="O549" s="62"/>
      <c r="P549" s="30">
        <f t="shared" si="126"/>
        <v>586390.28</v>
      </c>
      <c r="Q549" s="143"/>
      <c r="R549" s="31">
        <v>586390.28</v>
      </c>
      <c r="S549" s="30"/>
      <c r="T549" s="31"/>
      <c r="U549" s="31"/>
      <c r="V549" s="146">
        <f t="shared" si="127"/>
        <v>2859037.48</v>
      </c>
      <c r="W549" s="145">
        <v>2859037.48</v>
      </c>
      <c r="X549" s="145"/>
      <c r="Y549" s="146">
        <f t="shared" si="128"/>
        <v>6720421.4100000001</v>
      </c>
      <c r="Z549" s="145">
        <v>6720421.4100000001</v>
      </c>
      <c r="AA549" s="145"/>
      <c r="AB549" s="146">
        <f t="shared" si="134"/>
        <v>435683.64</v>
      </c>
      <c r="AC549" s="147"/>
      <c r="AD549" s="176">
        <v>435683.64</v>
      </c>
      <c r="AE549" s="30">
        <v>5502.0954287531604</v>
      </c>
      <c r="AF549" s="30">
        <v>1240.2830200640001</v>
      </c>
      <c r="AG549" s="33">
        <v>2024</v>
      </c>
      <c r="AH549" s="98">
        <v>2521072.84</v>
      </c>
      <c r="AI549" s="5">
        <f>+(K549*11.55+L549*23.1)*12*0.85</f>
        <v>489677.26500000001</v>
      </c>
      <c r="AJ549" s="5">
        <f>+(K549*11.55+L549*23.1)*12*30</f>
        <v>17282727</v>
      </c>
      <c r="AK549" s="5">
        <f t="shared" si="129"/>
        <v>10601532.810000001</v>
      </c>
      <c r="AL549" s="146">
        <f t="shared" si="133"/>
        <v>0</v>
      </c>
      <c r="AM549" s="62">
        <v>2477729.12</v>
      </c>
      <c r="AN549" s="30">
        <v>0</v>
      </c>
      <c r="AO549" s="30">
        <v>3810136.93</v>
      </c>
      <c r="AP549" s="30">
        <v>4313666.76</v>
      </c>
      <c r="AQ549" s="30">
        <v>0</v>
      </c>
      <c r="AR549" s="30"/>
      <c r="AS549" s="62"/>
      <c r="AT549" s="30">
        <v>0</v>
      </c>
      <c r="AU549" s="30">
        <v>0</v>
      </c>
      <c r="AV549" s="30">
        <v>0</v>
      </c>
      <c r="AW549" s="30">
        <v>0</v>
      </c>
      <c r="AX549" s="30">
        <v>0</v>
      </c>
      <c r="AY549" s="30"/>
      <c r="AZ549" s="30"/>
      <c r="BA549" s="148"/>
      <c r="BB549" s="149">
        <f t="shared" si="130"/>
        <v>3</v>
      </c>
    </row>
    <row r="550" spans="1:54" ht="15.75" hidden="1">
      <c r="A550" s="10">
        <f t="shared" si="131"/>
        <v>529</v>
      </c>
      <c r="B550" s="12">
        <f t="shared" si="132"/>
        <v>70</v>
      </c>
      <c r="C550" s="101" t="s">
        <v>114</v>
      </c>
      <c r="D550" s="101" t="s">
        <v>339</v>
      </c>
      <c r="E550" s="102" t="s">
        <v>168</v>
      </c>
      <c r="F550" s="102"/>
      <c r="G550" s="102" t="s">
        <v>3</v>
      </c>
      <c r="H550" s="102" t="s">
        <v>169</v>
      </c>
      <c r="I550" s="102" t="s">
        <v>183</v>
      </c>
      <c r="J550" s="62">
        <v>6626.4</v>
      </c>
      <c r="K550" s="62">
        <v>4862.3999999999996</v>
      </c>
      <c r="L550" s="62">
        <v>725.8</v>
      </c>
      <c r="M550" s="103">
        <v>218</v>
      </c>
      <c r="N550" s="28">
        <f t="shared" si="125"/>
        <v>10645100.220000001</v>
      </c>
      <c r="O550" s="62"/>
      <c r="P550" s="30">
        <f t="shared" si="126"/>
        <v>0</v>
      </c>
      <c r="Q550" s="143"/>
      <c r="R550" s="31"/>
      <c r="S550" s="30"/>
      <c r="T550" s="31"/>
      <c r="U550" s="31"/>
      <c r="V550" s="146">
        <f t="shared" si="127"/>
        <v>3567807.31</v>
      </c>
      <c r="W550" s="145">
        <v>3567807.31</v>
      </c>
      <c r="X550" s="145"/>
      <c r="Y550" s="146">
        <f t="shared" si="128"/>
        <v>7077292.9100000001</v>
      </c>
      <c r="Z550" s="145">
        <v>7077292.9100000001</v>
      </c>
      <c r="AA550" s="145"/>
      <c r="AB550" s="146">
        <f t="shared" si="134"/>
        <v>0</v>
      </c>
      <c r="AC550" s="147"/>
      <c r="AD550" s="147"/>
      <c r="AE550" s="30">
        <v>2652.4179196641899</v>
      </c>
      <c r="AF550" s="30">
        <v>1243.2830200640001</v>
      </c>
      <c r="AG550" s="33">
        <v>2024</v>
      </c>
      <c r="AH550" s="1">
        <v>3111517.42</v>
      </c>
      <c r="AI550" s="5">
        <f>+(K550*11.55+L550*23.1)*12*0.85</f>
        <v>743852.33999999985</v>
      </c>
      <c r="AJ550" s="5">
        <f>+(K550*11.55+L550*23.1)*12*30</f>
        <v>26253611.999999996</v>
      </c>
      <c r="AK550" s="5">
        <f t="shared" si="129"/>
        <v>10645100.220000001</v>
      </c>
      <c r="AL550" s="146">
        <f t="shared" si="133"/>
        <v>0</v>
      </c>
      <c r="AM550" s="62"/>
      <c r="AN550" s="30"/>
      <c r="AO550" s="30"/>
      <c r="AP550" s="30"/>
      <c r="AQ550" s="30"/>
      <c r="AR550" s="30"/>
      <c r="AS550" s="62"/>
      <c r="AT550" s="30"/>
      <c r="AU550" s="30"/>
      <c r="AV550" s="30">
        <v>10645100.220000001</v>
      </c>
      <c r="AW550" s="30"/>
      <c r="AX550" s="30"/>
      <c r="AY550" s="153"/>
      <c r="AZ550" s="153"/>
      <c r="BA550" s="148"/>
      <c r="BB550" s="149">
        <f t="shared" si="130"/>
        <v>1</v>
      </c>
    </row>
    <row r="551" spans="1:54" ht="15.75" hidden="1">
      <c r="A551" s="10">
        <f t="shared" si="131"/>
        <v>530</v>
      </c>
      <c r="B551" s="12">
        <f t="shared" si="132"/>
        <v>71</v>
      </c>
      <c r="C551" s="101" t="s">
        <v>114</v>
      </c>
      <c r="D551" s="101" t="s">
        <v>340</v>
      </c>
      <c r="E551" s="102" t="s">
        <v>168</v>
      </c>
      <c r="F551" s="102"/>
      <c r="G551" s="102" t="s">
        <v>3</v>
      </c>
      <c r="H551" s="102" t="s">
        <v>169</v>
      </c>
      <c r="I551" s="102" t="s">
        <v>183</v>
      </c>
      <c r="J551" s="62">
        <v>6832.2</v>
      </c>
      <c r="K551" s="62">
        <v>5772.1</v>
      </c>
      <c r="L551" s="62">
        <v>17</v>
      </c>
      <c r="M551" s="103">
        <v>245</v>
      </c>
      <c r="N551" s="28">
        <f t="shared" si="125"/>
        <v>11056543.119999999</v>
      </c>
      <c r="O551" s="62"/>
      <c r="P551" s="30">
        <f t="shared" si="126"/>
        <v>0</v>
      </c>
      <c r="Q551" s="143"/>
      <c r="R551" s="31"/>
      <c r="S551" s="30"/>
      <c r="T551" s="31"/>
      <c r="U551" s="31"/>
      <c r="V551" s="146">
        <f t="shared" si="127"/>
        <v>3316701.11</v>
      </c>
      <c r="W551" s="145">
        <v>3316701.11</v>
      </c>
      <c r="X551" s="145"/>
      <c r="Y551" s="146">
        <f t="shared" si="128"/>
        <v>7739842.0099999998</v>
      </c>
      <c r="Z551" s="145">
        <v>7739842.0099999998</v>
      </c>
      <c r="AA551" s="145"/>
      <c r="AB551" s="146">
        <f t="shared" si="134"/>
        <v>0</v>
      </c>
      <c r="AC551" s="147"/>
      <c r="AD551" s="147"/>
      <c r="AE551" s="30">
        <v>2314.71699402387</v>
      </c>
      <c r="AF551" s="30">
        <v>1244.2830200640001</v>
      </c>
      <c r="AG551" s="33">
        <v>2024</v>
      </c>
      <c r="AH551" s="1">
        <v>3601132.66</v>
      </c>
      <c r="AI551" s="5">
        <f>+(K551*11.55+L551*23.1)*12*0.85</f>
        <v>684016.64099999995</v>
      </c>
      <c r="AJ551" s="5">
        <f>+(K551*11.55+L551*23.1)*12*30</f>
        <v>24141763.799999997</v>
      </c>
      <c r="AK551" s="5">
        <f t="shared" si="129"/>
        <v>11056543.119999999</v>
      </c>
      <c r="AL551" s="146">
        <f t="shared" si="133"/>
        <v>0</v>
      </c>
      <c r="AM551" s="62"/>
      <c r="AN551" s="30"/>
      <c r="AO551" s="30"/>
      <c r="AP551" s="30"/>
      <c r="AQ551" s="30"/>
      <c r="AR551" s="30"/>
      <c r="AS551" s="62"/>
      <c r="AT551" s="30"/>
      <c r="AU551" s="30"/>
      <c r="AV551" s="30">
        <v>11056543.119999999</v>
      </c>
      <c r="AW551" s="30"/>
      <c r="AX551" s="30"/>
      <c r="AY551" s="153"/>
      <c r="AZ551" s="153"/>
      <c r="BA551" s="148"/>
      <c r="BB551" s="149">
        <f t="shared" si="130"/>
        <v>1</v>
      </c>
    </row>
    <row r="552" spans="1:54" ht="15.75" hidden="1">
      <c r="A552" s="10">
        <f t="shared" si="131"/>
        <v>531</v>
      </c>
      <c r="B552" s="12">
        <f t="shared" si="132"/>
        <v>72</v>
      </c>
      <c r="C552" s="101" t="s">
        <v>114</v>
      </c>
      <c r="D552" s="101" t="s">
        <v>342</v>
      </c>
      <c r="E552" s="102">
        <v>1991</v>
      </c>
      <c r="F552" s="102">
        <v>2009</v>
      </c>
      <c r="G552" s="102" t="s">
        <v>3</v>
      </c>
      <c r="H552" s="102">
        <v>5</v>
      </c>
      <c r="I552" s="102">
        <v>2</v>
      </c>
      <c r="J552" s="62">
        <v>3315.2</v>
      </c>
      <c r="K552" s="62">
        <v>2614.6999999999998</v>
      </c>
      <c r="L552" s="62">
        <v>667.8</v>
      </c>
      <c r="M552" s="103">
        <v>88</v>
      </c>
      <c r="N552" s="28">
        <f t="shared" si="125"/>
        <v>927231.1100000001</v>
      </c>
      <c r="O552" s="62"/>
      <c r="P552" s="30">
        <f t="shared" si="126"/>
        <v>0</v>
      </c>
      <c r="Q552" s="143"/>
      <c r="R552" s="31"/>
      <c r="S552" s="30"/>
      <c r="T552" s="31"/>
      <c r="U552" s="31"/>
      <c r="V552" s="146">
        <f t="shared" si="127"/>
        <v>465384.84</v>
      </c>
      <c r="W552" s="145">
        <v>465384.84</v>
      </c>
      <c r="X552" s="145"/>
      <c r="Y552" s="146">
        <f t="shared" si="128"/>
        <v>461846.27</v>
      </c>
      <c r="Z552" s="145">
        <v>461846.27</v>
      </c>
      <c r="AA552" s="145"/>
      <c r="AB552" s="146">
        <f t="shared" si="134"/>
        <v>0</v>
      </c>
      <c r="AC552" s="147"/>
      <c r="AD552" s="147"/>
      <c r="AE552" s="30">
        <v>1032.78654360319</v>
      </c>
      <c r="AF552" s="30">
        <v>1032.78654360319</v>
      </c>
      <c r="AG552" s="33">
        <v>2024</v>
      </c>
      <c r="AI552" s="5">
        <f>+(K552*11.55+L552*23.1)*12*0.85</f>
        <v>465384.84299999994</v>
      </c>
      <c r="AJ552" s="5">
        <f>+(K552*11.55+L552*23.1)*12*30-[3]Лист1!$AQ$194</f>
        <v>11710495.309999999</v>
      </c>
      <c r="AK552" s="5">
        <f t="shared" si="129"/>
        <v>927231.1100000001</v>
      </c>
      <c r="AL552" s="146">
        <f t="shared" si="133"/>
        <v>0</v>
      </c>
      <c r="AM552" s="62">
        <v>0</v>
      </c>
      <c r="AN552" s="30">
        <v>0</v>
      </c>
      <c r="AO552" s="30">
        <v>927231.11</v>
      </c>
      <c r="AP552" s="30"/>
      <c r="AQ552" s="30">
        <v>0</v>
      </c>
      <c r="AR552" s="30"/>
      <c r="AS552" s="62"/>
      <c r="AT552" s="30">
        <v>0</v>
      </c>
      <c r="AU552" s="30">
        <v>0</v>
      </c>
      <c r="AV552" s="30">
        <v>0</v>
      </c>
      <c r="AW552" s="30">
        <v>0</v>
      </c>
      <c r="AX552" s="30">
        <v>0</v>
      </c>
      <c r="AY552" s="153"/>
      <c r="AZ552" s="153"/>
      <c r="BA552" s="148"/>
      <c r="BB552" s="149">
        <f t="shared" si="130"/>
        <v>1</v>
      </c>
    </row>
    <row r="553" spans="1:54" ht="15.75" hidden="1">
      <c r="A553" s="10">
        <f t="shared" si="131"/>
        <v>532</v>
      </c>
      <c r="B553" s="12">
        <f t="shared" si="132"/>
        <v>73</v>
      </c>
      <c r="C553" s="101" t="s">
        <v>114</v>
      </c>
      <c r="D553" s="101" t="s">
        <v>344</v>
      </c>
      <c r="E553" s="102">
        <v>1989</v>
      </c>
      <c r="F553" s="102">
        <v>2009</v>
      </c>
      <c r="G553" s="102" t="s">
        <v>3</v>
      </c>
      <c r="H553" s="102">
        <v>9</v>
      </c>
      <c r="I553" s="102">
        <v>1</v>
      </c>
      <c r="J553" s="62">
        <v>3239.5</v>
      </c>
      <c r="K553" s="62">
        <v>2720.9</v>
      </c>
      <c r="L553" s="62">
        <v>63.8</v>
      </c>
      <c r="M553" s="103">
        <v>112</v>
      </c>
      <c r="N553" s="28">
        <f t="shared" si="125"/>
        <v>4439012.21</v>
      </c>
      <c r="O553" s="62"/>
      <c r="P553" s="30">
        <f t="shared" si="126"/>
        <v>0</v>
      </c>
      <c r="Q553" s="143"/>
      <c r="R553" s="31"/>
      <c r="S553" s="30"/>
      <c r="T553" s="31"/>
      <c r="U553" s="31"/>
      <c r="V553" s="146">
        <f t="shared" si="127"/>
        <v>1648052.97</v>
      </c>
      <c r="W553" s="145">
        <v>1648052.97</v>
      </c>
      <c r="X553" s="145"/>
      <c r="Y553" s="146">
        <f t="shared" si="128"/>
        <v>2790959.24</v>
      </c>
      <c r="Z553" s="145">
        <v>2790959.24</v>
      </c>
      <c r="AA553" s="145"/>
      <c r="AB553" s="146">
        <f t="shared" si="134"/>
        <v>0</v>
      </c>
      <c r="AC553" s="147"/>
      <c r="AD553" s="147"/>
      <c r="AE553" s="30">
        <v>4666.6216355266897</v>
      </c>
      <c r="AF553" s="30">
        <v>1246.2830200640001</v>
      </c>
      <c r="AG553" s="33">
        <v>2024</v>
      </c>
      <c r="AH553" s="98">
        <f>+[3]Лист1!$BC$196</f>
        <v>2073222.36</v>
      </c>
      <c r="AI553" s="5">
        <f>+(K553*15.35+L553*26.02)*12*0.85</f>
        <v>442944.0882</v>
      </c>
      <c r="AJ553" s="5">
        <f>+(K553*15.35+L553*26.02)*12*30</f>
        <v>15633320.760000002</v>
      </c>
      <c r="AK553" s="5">
        <f t="shared" si="129"/>
        <v>4439012.21</v>
      </c>
      <c r="AL553" s="146">
        <f t="shared" si="133"/>
        <v>0</v>
      </c>
      <c r="AM553" s="62">
        <v>2982960.1</v>
      </c>
      <c r="AN553" s="30">
        <v>0</v>
      </c>
      <c r="AO553" s="30">
        <v>1456052.11</v>
      </c>
      <c r="AP553" s="30"/>
      <c r="AQ553" s="30">
        <v>0</v>
      </c>
      <c r="AR553" s="30"/>
      <c r="AS553" s="62"/>
      <c r="AT553" s="30">
        <v>0</v>
      </c>
      <c r="AU553" s="30">
        <v>0</v>
      </c>
      <c r="AV553" s="30">
        <v>0</v>
      </c>
      <c r="AW553" s="30">
        <v>0</v>
      </c>
      <c r="AX553" s="30">
        <v>0</v>
      </c>
      <c r="AY553" s="153"/>
      <c r="AZ553" s="153"/>
      <c r="BA553" s="148"/>
      <c r="BB553" s="149">
        <f t="shared" si="130"/>
        <v>2</v>
      </c>
    </row>
    <row r="554" spans="1:54" s="142" customFormat="1" ht="15.75" hidden="1">
      <c r="A554" s="10">
        <f t="shared" si="131"/>
        <v>533</v>
      </c>
      <c r="B554" s="12">
        <f t="shared" si="132"/>
        <v>74</v>
      </c>
      <c r="C554" s="101" t="s">
        <v>114</v>
      </c>
      <c r="D554" s="101" t="s">
        <v>345</v>
      </c>
      <c r="E554" s="102" t="s">
        <v>214</v>
      </c>
      <c r="F554" s="102"/>
      <c r="G554" s="102" t="s">
        <v>3</v>
      </c>
      <c r="H554" s="102" t="s">
        <v>174</v>
      </c>
      <c r="I554" s="102" t="s">
        <v>244</v>
      </c>
      <c r="J554" s="62">
        <v>3182.4</v>
      </c>
      <c r="K554" s="62">
        <v>2718.2</v>
      </c>
      <c r="L554" s="62">
        <v>0</v>
      </c>
      <c r="M554" s="103">
        <v>99</v>
      </c>
      <c r="N554" s="28">
        <f t="shared" si="125"/>
        <v>3887973.93</v>
      </c>
      <c r="O554" s="62">
        <v>0</v>
      </c>
      <c r="P554" s="30">
        <f t="shared" si="126"/>
        <v>0</v>
      </c>
      <c r="Q554" s="143"/>
      <c r="R554" s="31"/>
      <c r="S554" s="30"/>
      <c r="T554" s="31"/>
      <c r="U554" s="31"/>
      <c r="V554" s="146">
        <f t="shared" si="127"/>
        <v>1480216.73</v>
      </c>
      <c r="W554" s="145">
        <v>1480216.73</v>
      </c>
      <c r="X554" s="145"/>
      <c r="Y554" s="146">
        <f t="shared" si="128"/>
        <v>2407757.2000000002</v>
      </c>
      <c r="Z554" s="145">
        <v>2407757.2000000002</v>
      </c>
      <c r="AA554" s="145"/>
      <c r="AB554" s="146">
        <f t="shared" si="134"/>
        <v>0</v>
      </c>
      <c r="AC554" s="147"/>
      <c r="AD554" s="147"/>
      <c r="AE554" s="62">
        <v>4870.98769327849</v>
      </c>
      <c r="AF554" s="62">
        <v>4870.98769327849</v>
      </c>
      <c r="AG554" s="33">
        <v>2024</v>
      </c>
      <c r="AI554" s="5">
        <f>+(K554*15.35+L554*26.02)*12*0.85</f>
        <v>425588.57399999996</v>
      </c>
      <c r="AJ554" s="5">
        <f>+(K554*15.35+L554*26.02)*12*30-[3]Лист1!$AQ$197</f>
        <v>13315455.51</v>
      </c>
      <c r="AK554" s="5">
        <f t="shared" si="129"/>
        <v>3887973.93</v>
      </c>
      <c r="AL554" s="146">
        <f t="shared" si="133"/>
        <v>0</v>
      </c>
      <c r="AM554" s="62">
        <v>3887973.93</v>
      </c>
      <c r="AN554" s="30">
        <v>0</v>
      </c>
      <c r="AO554" s="30"/>
      <c r="AP554" s="30"/>
      <c r="AQ554" s="30"/>
      <c r="AR554" s="30"/>
      <c r="AS554" s="62"/>
      <c r="AT554" s="30"/>
      <c r="AU554" s="30"/>
      <c r="AV554" s="30"/>
      <c r="AW554" s="30"/>
      <c r="AX554" s="30"/>
      <c r="AY554" s="153"/>
      <c r="AZ554" s="153"/>
      <c r="BA554" s="148"/>
      <c r="BB554" s="149">
        <f t="shared" si="130"/>
        <v>1</v>
      </c>
    </row>
    <row r="555" spans="1:54" ht="15.75" hidden="1">
      <c r="A555" s="10">
        <f t="shared" si="131"/>
        <v>534</v>
      </c>
      <c r="B555" s="12">
        <f t="shared" si="132"/>
        <v>75</v>
      </c>
      <c r="C555" s="101" t="s">
        <v>98</v>
      </c>
      <c r="D555" s="101" t="s">
        <v>346</v>
      </c>
      <c r="E555" s="102">
        <v>1997</v>
      </c>
      <c r="F555" s="102">
        <v>2013</v>
      </c>
      <c r="G555" s="102" t="s">
        <v>3</v>
      </c>
      <c r="H555" s="102">
        <v>3</v>
      </c>
      <c r="I555" s="102">
        <v>2</v>
      </c>
      <c r="J555" s="62">
        <v>1304.7</v>
      </c>
      <c r="K555" s="62">
        <v>938.6</v>
      </c>
      <c r="L555" s="62">
        <v>0</v>
      </c>
      <c r="M555" s="103">
        <v>33</v>
      </c>
      <c r="N555" s="28">
        <f t="shared" si="125"/>
        <v>8889619.0999999996</v>
      </c>
      <c r="O555" s="62"/>
      <c r="P555" s="30">
        <f t="shared" si="126"/>
        <v>6181715.3300000001</v>
      </c>
      <c r="Q555" s="152">
        <v>6181715.3300000001</v>
      </c>
      <c r="R555" s="145"/>
      <c r="S555" s="30"/>
      <c r="T555" s="31"/>
      <c r="U555" s="31"/>
      <c r="V555" s="146">
        <f t="shared" si="127"/>
        <v>110576.47</v>
      </c>
      <c r="W555" s="145">
        <v>110576.47</v>
      </c>
      <c r="X555" s="145"/>
      <c r="Y555" s="146">
        <f t="shared" si="128"/>
        <v>2488553.9700000002</v>
      </c>
      <c r="Z555" s="145">
        <v>2488553.9700000002</v>
      </c>
      <c r="AA555" s="145"/>
      <c r="AB555" s="146">
        <v>108773.33</v>
      </c>
      <c r="AC555" s="145">
        <v>108773.33</v>
      </c>
      <c r="AD555" s="147"/>
      <c r="AE555" s="62">
        <v>10103.903388770501</v>
      </c>
      <c r="AF555" s="62">
        <v>10103.903388770501</v>
      </c>
      <c r="AG555" s="33">
        <v>2024</v>
      </c>
      <c r="AI555" s="5">
        <f>+(K555*11.55+L555*23.1)*12*0.85</f>
        <v>110576.46600000001</v>
      </c>
      <c r="AJ555" s="5">
        <f>+(K555*11.55+L555*23.1)*12*30-[3]Лист1!$AQ$210</f>
        <v>2488553.9700000007</v>
      </c>
      <c r="AK555" s="5">
        <f t="shared" si="129"/>
        <v>8889619.0999999996</v>
      </c>
      <c r="AL555" s="146">
        <f t="shared" si="133"/>
        <v>0</v>
      </c>
      <c r="AM555" s="62">
        <v>0</v>
      </c>
      <c r="AN555" s="30">
        <v>0</v>
      </c>
      <c r="AO555" s="30">
        <v>0</v>
      </c>
      <c r="AP555" s="30">
        <v>0</v>
      </c>
      <c r="AQ555" s="30">
        <v>0</v>
      </c>
      <c r="AR555" s="30"/>
      <c r="AS555" s="62"/>
      <c r="AT555" s="30">
        <v>0</v>
      </c>
      <c r="AU555" s="30">
        <v>0</v>
      </c>
      <c r="AV555" s="30">
        <v>0</v>
      </c>
      <c r="AW555" s="30">
        <v>8780845.7699999996</v>
      </c>
      <c r="AX555" s="30">
        <v>0</v>
      </c>
      <c r="AY555" s="30"/>
      <c r="AZ555" s="30"/>
      <c r="BA555" s="156"/>
      <c r="BB555" s="149">
        <f t="shared" si="130"/>
        <v>1</v>
      </c>
    </row>
    <row r="556" spans="1:54" ht="15.75" hidden="1">
      <c r="A556" s="10">
        <f t="shared" si="131"/>
        <v>535</v>
      </c>
      <c r="B556" s="12">
        <f t="shared" si="132"/>
        <v>76</v>
      </c>
      <c r="C556" s="101" t="s">
        <v>98</v>
      </c>
      <c r="D556" s="101" t="s">
        <v>99</v>
      </c>
      <c r="E556" s="102">
        <v>1995</v>
      </c>
      <c r="F556" s="102">
        <v>2013</v>
      </c>
      <c r="G556" s="102" t="s">
        <v>3</v>
      </c>
      <c r="H556" s="102">
        <v>3</v>
      </c>
      <c r="I556" s="102">
        <v>4</v>
      </c>
      <c r="J556" s="62">
        <v>2740.5</v>
      </c>
      <c r="K556" s="62">
        <v>1849.2</v>
      </c>
      <c r="L556" s="62">
        <v>0</v>
      </c>
      <c r="M556" s="103">
        <v>67</v>
      </c>
      <c r="N556" s="28">
        <f t="shared" si="125"/>
        <v>13910436.030000001</v>
      </c>
      <c r="O556" s="62"/>
      <c r="P556" s="30">
        <f t="shared" si="126"/>
        <v>3994811.5900000008</v>
      </c>
      <c r="Q556" s="160">
        <f>11609003.98-7614192.39</f>
        <v>3994811.5900000008</v>
      </c>
      <c r="R556" s="145"/>
      <c r="S556" s="30"/>
      <c r="T556" s="31"/>
      <c r="U556" s="31"/>
      <c r="V556" s="146">
        <f t="shared" si="127"/>
        <v>217854.25</v>
      </c>
      <c r="W556" s="145">
        <v>217854.25</v>
      </c>
      <c r="X556" s="145"/>
      <c r="Y556" s="146">
        <f t="shared" si="128"/>
        <v>1912728.81</v>
      </c>
      <c r="Z556" s="145">
        <v>1912728.81</v>
      </c>
      <c r="AA556" s="145"/>
      <c r="AB556" s="146">
        <f>170848.99+AD556</f>
        <v>7785041.3799999999</v>
      </c>
      <c r="AC556" s="145">
        <v>170848.99</v>
      </c>
      <c r="AD556" s="160">
        <v>7614192.3899999997</v>
      </c>
      <c r="AE556" s="62">
        <v>10063.0684504651</v>
      </c>
      <c r="AF556" s="62">
        <v>10063.0684504651</v>
      </c>
      <c r="AG556" s="33">
        <v>2024</v>
      </c>
      <c r="AI556" s="5">
        <f>+(K556*11.55+L556*23.1)*12*0.85</f>
        <v>217854.25200000001</v>
      </c>
      <c r="AJ556" s="5">
        <f>+(K556*11.55+L556*23.1)*12*30-[3]Лист1!$AQ$211</f>
        <v>-741494.06999999937</v>
      </c>
      <c r="AK556" s="5">
        <f t="shared" si="129"/>
        <v>13910436.030000001</v>
      </c>
      <c r="AL556" s="146">
        <f t="shared" si="133"/>
        <v>0</v>
      </c>
      <c r="AM556" s="62">
        <v>0</v>
      </c>
      <c r="AN556" s="30">
        <v>0</v>
      </c>
      <c r="AO556" s="30">
        <v>0</v>
      </c>
      <c r="AP556" s="30">
        <v>0</v>
      </c>
      <c r="AQ556" s="30">
        <v>0</v>
      </c>
      <c r="AR556" s="30"/>
      <c r="AS556" s="62"/>
      <c r="AT556" s="30">
        <v>0</v>
      </c>
      <c r="AU556" s="30">
        <v>0</v>
      </c>
      <c r="AV556" s="30">
        <v>0</v>
      </c>
      <c r="AW556" s="30">
        <v>13739587.039999999</v>
      </c>
      <c r="AX556" s="30">
        <v>0</v>
      </c>
      <c r="AY556" s="30"/>
      <c r="AZ556" s="30"/>
      <c r="BA556" s="156"/>
      <c r="BB556" s="149">
        <f t="shared" si="130"/>
        <v>1</v>
      </c>
    </row>
    <row r="557" spans="1:54" s="142" customFormat="1" ht="15.75" hidden="1">
      <c r="A557" s="10">
        <f t="shared" si="131"/>
        <v>536</v>
      </c>
      <c r="B557" s="12">
        <f t="shared" si="132"/>
        <v>77</v>
      </c>
      <c r="C557" s="101" t="s">
        <v>313</v>
      </c>
      <c r="D557" s="101" t="s">
        <v>347</v>
      </c>
      <c r="E557" s="102" t="s">
        <v>348</v>
      </c>
      <c r="F557" s="102"/>
      <c r="G557" s="102" t="s">
        <v>3</v>
      </c>
      <c r="H557" s="102" t="s">
        <v>174</v>
      </c>
      <c r="I557" s="102" t="s">
        <v>349</v>
      </c>
      <c r="J557" s="62">
        <v>20643.599999999999</v>
      </c>
      <c r="K557" s="62">
        <v>17405.5</v>
      </c>
      <c r="L557" s="62">
        <v>146.19999999999999</v>
      </c>
      <c r="M557" s="103">
        <v>675</v>
      </c>
      <c r="N557" s="28">
        <f t="shared" si="125"/>
        <v>21000128.949999999</v>
      </c>
      <c r="O557" s="62">
        <v>0</v>
      </c>
      <c r="P557" s="30">
        <f t="shared" si="126"/>
        <v>0</v>
      </c>
      <c r="Q557" s="143"/>
      <c r="R557" s="31"/>
      <c r="S557" s="30"/>
      <c r="T557" s="31"/>
      <c r="U557" s="31"/>
      <c r="V557" s="146">
        <f t="shared" si="127"/>
        <v>15584462.310000001</v>
      </c>
      <c r="W557" s="145">
        <v>14388568.310000001</v>
      </c>
      <c r="X557" s="145">
        <v>1195894</v>
      </c>
      <c r="Y557" s="146">
        <f t="shared" si="128"/>
        <v>5415666.6399999997</v>
      </c>
      <c r="Z557" s="145">
        <v>5415666.6399999997</v>
      </c>
      <c r="AA557" s="145"/>
      <c r="AB557" s="146">
        <f t="shared" ref="AB557:AB588" si="135">AC557+AD557</f>
        <v>0</v>
      </c>
      <c r="AC557" s="147"/>
      <c r="AD557" s="147"/>
      <c r="AE557" s="30">
        <v>1717.6955560024101</v>
      </c>
      <c r="AF557" s="30">
        <v>1256.2830200640001</v>
      </c>
      <c r="AG557" s="33">
        <v>2024</v>
      </c>
      <c r="AH557" s="142">
        <v>13373529.359999999</v>
      </c>
      <c r="AI557" s="5">
        <f>+(K557*13.95+L557*23.65)*12*0.85</f>
        <v>2511896.4209999996</v>
      </c>
      <c r="AJ557" s="5">
        <f>+(K557*13.95+L557*23.65)*12*30</f>
        <v>88655167.799999997</v>
      </c>
      <c r="AK557" s="5">
        <f t="shared" si="129"/>
        <v>21000128.949999999</v>
      </c>
      <c r="AL557" s="146">
        <f t="shared" si="133"/>
        <v>0</v>
      </c>
      <c r="AM557" s="62"/>
      <c r="AN557" s="30"/>
      <c r="AO557" s="30"/>
      <c r="AP557" s="30"/>
      <c r="AQ557" s="30"/>
      <c r="AR557" s="30"/>
      <c r="AS557" s="62"/>
      <c r="AT557" s="30">
        <v>19804234.949999999</v>
      </c>
      <c r="AU557" s="30"/>
      <c r="AV557" s="30"/>
      <c r="AW557" s="30"/>
      <c r="AX557" s="30"/>
      <c r="AY557" s="30">
        <v>896920.5</v>
      </c>
      <c r="AZ557" s="30">
        <v>298973.5</v>
      </c>
      <c r="BA557" s="148"/>
      <c r="BB557" s="149">
        <f t="shared" si="130"/>
        <v>1</v>
      </c>
    </row>
    <row r="558" spans="1:54" ht="15.75" hidden="1">
      <c r="A558" s="10">
        <f t="shared" si="131"/>
        <v>537</v>
      </c>
      <c r="B558" s="12">
        <f t="shared" si="132"/>
        <v>78</v>
      </c>
      <c r="C558" s="12" t="s">
        <v>185</v>
      </c>
      <c r="D558" s="12" t="s">
        <v>211</v>
      </c>
      <c r="E558" s="120">
        <v>1963</v>
      </c>
      <c r="F558" s="120">
        <v>2013</v>
      </c>
      <c r="G558" s="120" t="s">
        <v>3</v>
      </c>
      <c r="H558" s="120">
        <v>4</v>
      </c>
      <c r="I558" s="120">
        <v>4</v>
      </c>
      <c r="J558" s="30">
        <v>5268.75</v>
      </c>
      <c r="K558" s="30">
        <v>3170.15</v>
      </c>
      <c r="L558" s="30">
        <v>2098.6</v>
      </c>
      <c r="M558" s="121">
        <v>97</v>
      </c>
      <c r="N558" s="28">
        <f t="shared" si="125"/>
        <v>2013425.71</v>
      </c>
      <c r="O558" s="30"/>
      <c r="P558" s="30">
        <f t="shared" si="126"/>
        <v>0</v>
      </c>
      <c r="Q558" s="143"/>
      <c r="R558" s="31"/>
      <c r="S558" s="30"/>
      <c r="T558" s="31"/>
      <c r="U558" s="31"/>
      <c r="V558" s="146">
        <f t="shared" si="127"/>
        <v>0</v>
      </c>
      <c r="W558" s="31"/>
      <c r="X558" s="31"/>
      <c r="Y558" s="146">
        <f t="shared" si="128"/>
        <v>2013425.71</v>
      </c>
      <c r="Z558" s="145">
        <v>2013425.71</v>
      </c>
      <c r="AA558" s="145"/>
      <c r="AB558" s="146">
        <f t="shared" si="135"/>
        <v>0</v>
      </c>
      <c r="AC558" s="147"/>
      <c r="AD558" s="147"/>
      <c r="AE558" s="30">
        <v>1029.16693988251</v>
      </c>
      <c r="AF558" s="30">
        <v>1029.16693988251</v>
      </c>
      <c r="AG558" s="33">
        <v>2024</v>
      </c>
      <c r="AH558" s="18"/>
      <c r="AI558" s="5">
        <f>+(K558*11.55+L558*23.1)*12*0.85</f>
        <v>867947.50350000011</v>
      </c>
      <c r="AJ558" s="5">
        <f>+(K558*11.55+L558*23.1)*12*30-[3]Лист1!$AQ$260</f>
        <v>18273444.560000002</v>
      </c>
      <c r="AK558" s="5">
        <f t="shared" si="129"/>
        <v>2013425.71</v>
      </c>
      <c r="AL558" s="146">
        <f t="shared" si="133"/>
        <v>0</v>
      </c>
      <c r="AM558" s="30"/>
      <c r="AN558" s="30">
        <v>2013425.71</v>
      </c>
      <c r="AO558" s="30"/>
      <c r="AP558" s="30"/>
      <c r="AQ558" s="30"/>
      <c r="AR558" s="30"/>
      <c r="AS558" s="30"/>
      <c r="AT558" s="30">
        <v>0</v>
      </c>
      <c r="AU558" s="30"/>
      <c r="AV558" s="30"/>
      <c r="AW558" s="30"/>
      <c r="AX558" s="30"/>
      <c r="AY558" s="30"/>
      <c r="AZ558" s="30"/>
      <c r="BA558" s="156"/>
      <c r="BB558" s="149">
        <f t="shared" si="130"/>
        <v>1</v>
      </c>
    </row>
    <row r="559" spans="1:54" ht="15.75" hidden="1">
      <c r="A559" s="10">
        <f t="shared" si="131"/>
        <v>538</v>
      </c>
      <c r="B559" s="12">
        <f t="shared" si="132"/>
        <v>79</v>
      </c>
      <c r="C559" s="101" t="s">
        <v>185</v>
      </c>
      <c r="D559" s="101" t="s">
        <v>353</v>
      </c>
      <c r="E559" s="102">
        <v>1964</v>
      </c>
      <c r="F559" s="102">
        <v>2013</v>
      </c>
      <c r="G559" s="102" t="s">
        <v>3</v>
      </c>
      <c r="H559" s="102">
        <v>5</v>
      </c>
      <c r="I559" s="102">
        <v>7</v>
      </c>
      <c r="J559" s="62">
        <v>6384.4</v>
      </c>
      <c r="K559" s="62">
        <v>5253.8</v>
      </c>
      <c r="L559" s="62">
        <v>1130.5999999999999</v>
      </c>
      <c r="M559" s="103">
        <v>210</v>
      </c>
      <c r="N559" s="28">
        <f t="shared" si="125"/>
        <v>3508450.1100000003</v>
      </c>
      <c r="O559" s="62"/>
      <c r="P559" s="30">
        <f t="shared" si="126"/>
        <v>0</v>
      </c>
      <c r="Q559" s="143"/>
      <c r="R559" s="31"/>
      <c r="S559" s="30"/>
      <c r="T559" s="31"/>
      <c r="U559" s="31"/>
      <c r="V559" s="146">
        <f t="shared" si="127"/>
        <v>917348.76</v>
      </c>
      <c r="W559" s="145">
        <v>917348.76</v>
      </c>
      <c r="X559" s="145"/>
      <c r="Y559" s="146">
        <f t="shared" si="128"/>
        <v>2591101.35</v>
      </c>
      <c r="Z559" s="145">
        <v>2564033.25</v>
      </c>
      <c r="AA559" s="145">
        <v>27068.1000000001</v>
      </c>
      <c r="AB559" s="146">
        <f t="shared" si="135"/>
        <v>0</v>
      </c>
      <c r="AC559" s="147"/>
      <c r="AD559" s="147"/>
      <c r="AE559" s="30">
        <v>4853.3184093698701</v>
      </c>
      <c r="AF559" s="30">
        <v>1258.2830200640001</v>
      </c>
      <c r="AG559" s="33">
        <v>2024</v>
      </c>
      <c r="AH559" s="98">
        <v>4163182.7</v>
      </c>
      <c r="AI559" s="5">
        <f>+(K559*10.5+L559*21)*12*0.85</f>
        <v>804856.5</v>
      </c>
      <c r="AJ559" s="5">
        <f>+(K559*11.55+L559*23.1)*12*30</f>
        <v>31247370</v>
      </c>
      <c r="AK559" s="5">
        <f t="shared" si="129"/>
        <v>3508450.1100000003</v>
      </c>
      <c r="AL559" s="146">
        <f t="shared" si="133"/>
        <v>0</v>
      </c>
      <c r="AM559" s="62"/>
      <c r="AN559" s="30">
        <v>2056177.15</v>
      </c>
      <c r="AO559" s="30"/>
      <c r="AP559" s="30">
        <v>1425204.86</v>
      </c>
      <c r="AQ559" s="30"/>
      <c r="AR559" s="30"/>
      <c r="AS559" s="62"/>
      <c r="AT559" s="30">
        <v>0</v>
      </c>
      <c r="AU559" s="30"/>
      <c r="AV559" s="30">
        <v>0</v>
      </c>
      <c r="AW559" s="30">
        <v>0</v>
      </c>
      <c r="AX559" s="30">
        <v>0</v>
      </c>
      <c r="AY559" s="153"/>
      <c r="AZ559" s="153"/>
      <c r="BA559" s="156">
        <v>27068.1</v>
      </c>
      <c r="BB559" s="149">
        <f t="shared" si="130"/>
        <v>2</v>
      </c>
    </row>
    <row r="560" spans="1:54" ht="15.75" hidden="1">
      <c r="A560" s="10">
        <f t="shared" si="131"/>
        <v>539</v>
      </c>
      <c r="B560" s="12">
        <f t="shared" si="132"/>
        <v>80</v>
      </c>
      <c r="C560" s="12" t="s">
        <v>185</v>
      </c>
      <c r="D560" s="12" t="s">
        <v>223</v>
      </c>
      <c r="E560" s="102">
        <v>1968</v>
      </c>
      <c r="F560" s="102">
        <v>2013</v>
      </c>
      <c r="G560" s="102" t="s">
        <v>3</v>
      </c>
      <c r="H560" s="102">
        <v>5</v>
      </c>
      <c r="I560" s="102">
        <v>4</v>
      </c>
      <c r="J560" s="62">
        <v>3228.9</v>
      </c>
      <c r="K560" s="62">
        <v>2518.9</v>
      </c>
      <c r="L560" s="62">
        <v>710</v>
      </c>
      <c r="M560" s="103">
        <v>136</v>
      </c>
      <c r="N560" s="28">
        <f t="shared" si="125"/>
        <v>4555776.1100000003</v>
      </c>
      <c r="O560" s="30"/>
      <c r="P560" s="30">
        <f t="shared" si="126"/>
        <v>2177713.1</v>
      </c>
      <c r="Q560" s="152">
        <v>2177713.1</v>
      </c>
      <c r="R560" s="145"/>
      <c r="S560" s="30"/>
      <c r="T560" s="31"/>
      <c r="U560" s="31"/>
      <c r="V560" s="146">
        <f t="shared" si="127"/>
        <v>466115.87</v>
      </c>
      <c r="W560" s="145">
        <v>466115.87</v>
      </c>
      <c r="X560" s="145"/>
      <c r="Y560" s="146">
        <f t="shared" si="128"/>
        <v>1526528.96</v>
      </c>
      <c r="Z560" s="144">
        <v>1526528.96</v>
      </c>
      <c r="AA560" s="145"/>
      <c r="AB560" s="146">
        <f t="shared" si="135"/>
        <v>385418.18</v>
      </c>
      <c r="AC560" s="147"/>
      <c r="AD560" s="145">
        <v>385418.18</v>
      </c>
      <c r="AE560" s="30">
        <v>9513.9106089427696</v>
      </c>
      <c r="AF560" s="30">
        <v>1259.2830200640001</v>
      </c>
      <c r="AG560" s="33">
        <v>2024</v>
      </c>
      <c r="AH560" s="18">
        <f>2448991.46-V316</f>
        <v>2205991.81</v>
      </c>
      <c r="AI560" s="5">
        <f>+(K560*10.5+L560*21)*12*0.85</f>
        <v>421856.18999999994</v>
      </c>
      <c r="AJ560" s="5">
        <f>+(K560*11.55+L560*23.1)*12*30</f>
        <v>16377946.200000001</v>
      </c>
      <c r="AK560" s="5">
        <f t="shared" si="129"/>
        <v>4555776.1100000003</v>
      </c>
      <c r="AL560" s="146">
        <f t="shared" si="133"/>
        <v>0</v>
      </c>
      <c r="AM560" s="62"/>
      <c r="AN560" s="30">
        <v>1927090.91</v>
      </c>
      <c r="AO560" s="30">
        <v>1334881.67</v>
      </c>
      <c r="AP560" s="30">
        <v>1293803.53</v>
      </c>
      <c r="AQ560" s="30"/>
      <c r="AR560" s="30"/>
      <c r="AS560" s="62"/>
      <c r="AT560" s="30">
        <v>0</v>
      </c>
      <c r="AU560" s="30"/>
      <c r="AV560" s="30">
        <v>0</v>
      </c>
      <c r="AW560" s="30">
        <v>0</v>
      </c>
      <c r="AX560" s="30">
        <v>0</v>
      </c>
      <c r="AY560" s="30"/>
      <c r="AZ560" s="30"/>
      <c r="BA560" s="148"/>
      <c r="BB560" s="149">
        <f t="shared" si="130"/>
        <v>3</v>
      </c>
    </row>
    <row r="561" spans="1:54" ht="15.75" hidden="1">
      <c r="A561" s="10">
        <f t="shared" si="131"/>
        <v>540</v>
      </c>
      <c r="B561" s="12">
        <f t="shared" si="132"/>
        <v>81</v>
      </c>
      <c r="C561" s="12" t="s">
        <v>185</v>
      </c>
      <c r="D561" s="12" t="s">
        <v>227</v>
      </c>
      <c r="E561" s="120">
        <v>1989</v>
      </c>
      <c r="F561" s="120">
        <v>2017</v>
      </c>
      <c r="G561" s="120" t="s">
        <v>3</v>
      </c>
      <c r="H561" s="120">
        <v>9</v>
      </c>
      <c r="I561" s="120">
        <v>3</v>
      </c>
      <c r="J561" s="30">
        <v>7106.9</v>
      </c>
      <c r="K561" s="30">
        <v>6247.4</v>
      </c>
      <c r="L561" s="30">
        <v>0</v>
      </c>
      <c r="M561" s="121">
        <v>266</v>
      </c>
      <c r="N561" s="28">
        <f t="shared" si="125"/>
        <v>14570624.93</v>
      </c>
      <c r="O561" s="30"/>
      <c r="P561" s="30">
        <f t="shared" si="126"/>
        <v>2704031.5599999996</v>
      </c>
      <c r="Q561" s="160">
        <f>2968461.05-264429.49</f>
        <v>2704031.5599999996</v>
      </c>
      <c r="R561" s="145"/>
      <c r="S561" s="30"/>
      <c r="T561" s="31"/>
      <c r="U561" s="31"/>
      <c r="V561" s="146">
        <f t="shared" si="127"/>
        <v>435416.38</v>
      </c>
      <c r="W561" s="145">
        <v>435416.38</v>
      </c>
      <c r="X561" s="145"/>
      <c r="Y561" s="146">
        <f t="shared" si="128"/>
        <v>9576930.1999999993</v>
      </c>
      <c r="Z561" s="144">
        <v>9576930.1999999993</v>
      </c>
      <c r="AA561" s="144"/>
      <c r="AB561" s="146">
        <f t="shared" si="135"/>
        <v>1854246.79</v>
      </c>
      <c r="AC561" s="145"/>
      <c r="AD561" s="160">
        <f>1589817.3+264429.49</f>
        <v>1854246.79</v>
      </c>
      <c r="AE561" s="30">
        <v>7522.6876761892399</v>
      </c>
      <c r="AF561" s="30">
        <v>7522.6876761892399</v>
      </c>
      <c r="AG561" s="33">
        <v>2024</v>
      </c>
      <c r="AI561" s="5">
        <f>+(K561*15.35+L561*26.02)*12*0.85</f>
        <v>978155.41800000006</v>
      </c>
      <c r="AJ561" s="5">
        <f>+(K561*15.35+L561*26.02)*12*30-[3]Лист1!$AQ$264</f>
        <v>15467258.150000006</v>
      </c>
      <c r="AK561" s="5">
        <f t="shared" si="129"/>
        <v>14570624.93</v>
      </c>
      <c r="AL561" s="146">
        <f t="shared" si="133"/>
        <v>0</v>
      </c>
      <c r="AM561" s="62"/>
      <c r="AN561" s="30"/>
      <c r="AO561" s="30">
        <v>1322147.47</v>
      </c>
      <c r="AP561" s="30"/>
      <c r="AQ561" s="30">
        <v>0</v>
      </c>
      <c r="AR561" s="30"/>
      <c r="AS561" s="62"/>
      <c r="AT561" s="30">
        <v>0</v>
      </c>
      <c r="AU561" s="30">
        <v>13248477.460000001</v>
      </c>
      <c r="AV561" s="30">
        <v>0</v>
      </c>
      <c r="AW561" s="30"/>
      <c r="AX561" s="30">
        <v>0</v>
      </c>
      <c r="AY561" s="30"/>
      <c r="AZ561" s="30"/>
      <c r="BA561" s="148"/>
      <c r="BB561" s="149">
        <f t="shared" si="130"/>
        <v>2</v>
      </c>
    </row>
    <row r="562" spans="1:54" ht="15.75" hidden="1">
      <c r="A562" s="10">
        <f t="shared" si="131"/>
        <v>541</v>
      </c>
      <c r="B562" s="12">
        <f t="shared" si="132"/>
        <v>82</v>
      </c>
      <c r="C562" s="12" t="s">
        <v>185</v>
      </c>
      <c r="D562" s="12" t="s">
        <v>229</v>
      </c>
      <c r="E562" s="120">
        <v>1989</v>
      </c>
      <c r="F562" s="120">
        <v>2017</v>
      </c>
      <c r="G562" s="120" t="s">
        <v>3</v>
      </c>
      <c r="H562" s="120">
        <v>9</v>
      </c>
      <c r="I562" s="120">
        <v>3</v>
      </c>
      <c r="J562" s="30">
        <v>8049.4</v>
      </c>
      <c r="K562" s="30">
        <v>6639.6</v>
      </c>
      <c r="L562" s="30">
        <v>0</v>
      </c>
      <c r="M562" s="121">
        <v>284</v>
      </c>
      <c r="N562" s="28">
        <f t="shared" si="125"/>
        <v>2937200.2</v>
      </c>
      <c r="O562" s="30"/>
      <c r="P562" s="30">
        <f t="shared" si="126"/>
        <v>0</v>
      </c>
      <c r="Q562" s="160">
        <v>0</v>
      </c>
      <c r="R562" s="31"/>
      <c r="S562" s="30"/>
      <c r="T562" s="31"/>
      <c r="U562" s="31"/>
      <c r="V562" s="146">
        <f t="shared" si="127"/>
        <v>1039562.17</v>
      </c>
      <c r="W562" s="145">
        <v>1039562.17</v>
      </c>
      <c r="X562" s="145"/>
      <c r="Y562" s="146">
        <f t="shared" si="128"/>
        <v>775901.81</v>
      </c>
      <c r="Z562" s="145">
        <v>775901.81</v>
      </c>
      <c r="AA562" s="145"/>
      <c r="AB562" s="146">
        <f t="shared" si="135"/>
        <v>1121736.22</v>
      </c>
      <c r="AC562" s="145"/>
      <c r="AD562" s="160">
        <v>1121736.22</v>
      </c>
      <c r="AE562" s="30">
        <v>1291.17205516794</v>
      </c>
      <c r="AF562" s="30">
        <v>1291.17205516794</v>
      </c>
      <c r="AG562" s="33">
        <v>2024</v>
      </c>
      <c r="AH562" s="18"/>
      <c r="AI562" s="5">
        <f>+(K562*15.35+L562*26.02)*12*0.85</f>
        <v>1039562.172</v>
      </c>
      <c r="AJ562" s="5">
        <f>+(K562*15.35+L562*26.02)*12*30-[3]Лист1!$AQ$265</f>
        <v>17137133.91</v>
      </c>
      <c r="AK562" s="5">
        <f t="shared" si="129"/>
        <v>2937200.2</v>
      </c>
      <c r="AL562" s="146">
        <f t="shared" si="133"/>
        <v>0</v>
      </c>
      <c r="AM562" s="62"/>
      <c r="AN562" s="30">
        <v>0</v>
      </c>
      <c r="AO562" s="30">
        <v>2937200.2</v>
      </c>
      <c r="AP562" s="30"/>
      <c r="AQ562" s="30">
        <v>0</v>
      </c>
      <c r="AR562" s="30"/>
      <c r="AS562" s="62"/>
      <c r="AT562" s="30">
        <v>0</v>
      </c>
      <c r="AU562" s="30"/>
      <c r="AV562" s="30">
        <v>0</v>
      </c>
      <c r="AW562" s="30"/>
      <c r="AX562" s="30">
        <v>0</v>
      </c>
      <c r="AY562" s="30"/>
      <c r="AZ562" s="30"/>
      <c r="BA562" s="148"/>
      <c r="BB562" s="149">
        <f t="shared" si="130"/>
        <v>1</v>
      </c>
    </row>
    <row r="563" spans="1:54" ht="15.75" hidden="1">
      <c r="A563" s="10">
        <f t="shared" si="131"/>
        <v>542</v>
      </c>
      <c r="B563" s="12">
        <f t="shared" si="132"/>
        <v>83</v>
      </c>
      <c r="C563" s="12" t="s">
        <v>185</v>
      </c>
      <c r="D563" s="12" t="s">
        <v>231</v>
      </c>
      <c r="E563" s="120">
        <v>1994</v>
      </c>
      <c r="F563" s="120">
        <v>2013</v>
      </c>
      <c r="G563" s="120" t="s">
        <v>3</v>
      </c>
      <c r="H563" s="120">
        <v>9</v>
      </c>
      <c r="I563" s="120">
        <v>3</v>
      </c>
      <c r="J563" s="30">
        <v>7891.7</v>
      </c>
      <c r="K563" s="30">
        <v>6600.8</v>
      </c>
      <c r="L563" s="30">
        <v>0</v>
      </c>
      <c r="M563" s="121">
        <v>291</v>
      </c>
      <c r="N563" s="28">
        <f t="shared" si="125"/>
        <v>2182131.94</v>
      </c>
      <c r="O563" s="30"/>
      <c r="P563" s="30">
        <f t="shared" si="126"/>
        <v>0</v>
      </c>
      <c r="Q563" s="154"/>
      <c r="R563" s="145"/>
      <c r="S563" s="30"/>
      <c r="T563" s="31"/>
      <c r="U563" s="31"/>
      <c r="V563" s="146">
        <f t="shared" si="127"/>
        <v>1033487.26</v>
      </c>
      <c r="W563" s="145">
        <v>1033487.26</v>
      </c>
      <c r="X563" s="145"/>
      <c r="Y563" s="146">
        <f t="shared" si="128"/>
        <v>1148644.68</v>
      </c>
      <c r="Z563" s="145">
        <v>1148644.68</v>
      </c>
      <c r="AA563" s="145"/>
      <c r="AB563" s="146">
        <f t="shared" si="135"/>
        <v>0</v>
      </c>
      <c r="AC563" s="147"/>
      <c r="AD563" s="147"/>
      <c r="AE563" s="30">
        <v>1911.3708574535201</v>
      </c>
      <c r="AF563" s="30">
        <v>1911.3708574535201</v>
      </c>
      <c r="AG563" s="33">
        <v>2024</v>
      </c>
      <c r="AH563" s="18"/>
      <c r="AI563" s="5">
        <f>+(K563*15.35+L563*26.02)*12*0.85</f>
        <v>1033487.2559999998</v>
      </c>
      <c r="AJ563" s="5">
        <f>+(K563*15.35+L563*26.02)*12*30-[3]Лист1!$AQ$266</f>
        <v>22282119.609999999</v>
      </c>
      <c r="AK563" s="5">
        <f t="shared" si="129"/>
        <v>2182131.94</v>
      </c>
      <c r="AL563" s="146">
        <f t="shared" si="133"/>
        <v>0</v>
      </c>
      <c r="AM563" s="62"/>
      <c r="AN563" s="30">
        <v>0</v>
      </c>
      <c r="AO563" s="30">
        <v>2182131.94</v>
      </c>
      <c r="AP563" s="30"/>
      <c r="AQ563" s="30"/>
      <c r="AR563" s="30"/>
      <c r="AS563" s="62"/>
      <c r="AT563" s="30">
        <v>0</v>
      </c>
      <c r="AU563" s="30"/>
      <c r="AV563" s="30">
        <v>0</v>
      </c>
      <c r="AW563" s="30"/>
      <c r="AX563" s="30">
        <v>0</v>
      </c>
      <c r="AY563" s="153"/>
      <c r="AZ563" s="153"/>
      <c r="BA563" s="148"/>
      <c r="BB563" s="149">
        <f t="shared" si="130"/>
        <v>1</v>
      </c>
    </row>
    <row r="564" spans="1:54" ht="15.75" hidden="1">
      <c r="A564" s="10">
        <f t="shared" si="131"/>
        <v>543</v>
      </c>
      <c r="B564" s="12">
        <f t="shared" si="132"/>
        <v>84</v>
      </c>
      <c r="C564" s="12" t="s">
        <v>185</v>
      </c>
      <c r="D564" s="12" t="s">
        <v>362</v>
      </c>
      <c r="E564" s="120">
        <v>1985</v>
      </c>
      <c r="F564" s="120">
        <v>2013</v>
      </c>
      <c r="G564" s="120" t="s">
        <v>3</v>
      </c>
      <c r="H564" s="120">
        <v>3</v>
      </c>
      <c r="I564" s="120">
        <v>3</v>
      </c>
      <c r="J564" s="30">
        <v>1439.1</v>
      </c>
      <c r="K564" s="30">
        <v>1284.3</v>
      </c>
      <c r="L564" s="30">
        <v>0</v>
      </c>
      <c r="M564" s="121">
        <v>55</v>
      </c>
      <c r="N564" s="28">
        <f t="shared" si="125"/>
        <v>4704538.53</v>
      </c>
      <c r="O564" s="30"/>
      <c r="P564" s="30">
        <f t="shared" si="126"/>
        <v>329335.78000000003</v>
      </c>
      <c r="Q564" s="152">
        <v>329335.78000000003</v>
      </c>
      <c r="R564" s="145"/>
      <c r="S564" s="30"/>
      <c r="T564" s="31"/>
      <c r="U564" s="31"/>
      <c r="V564" s="146">
        <f t="shared" si="127"/>
        <v>162201.76999999999</v>
      </c>
      <c r="W564" s="145">
        <v>162201.76999999999</v>
      </c>
      <c r="X564" s="145"/>
      <c r="Y564" s="146">
        <f t="shared" si="128"/>
        <v>4213000.9800000004</v>
      </c>
      <c r="Z564" s="144">
        <v>4213000.9800000004</v>
      </c>
      <c r="AA564" s="145"/>
      <c r="AB564" s="146">
        <f t="shared" si="135"/>
        <v>0</v>
      </c>
      <c r="AC564" s="147"/>
      <c r="AD564" s="147"/>
      <c r="AE564" s="30">
        <v>32142.381580442499</v>
      </c>
      <c r="AF564" s="30">
        <v>1262.2830200640001</v>
      </c>
      <c r="AG564" s="33">
        <v>2024</v>
      </c>
      <c r="AH564" s="98">
        <v>633764.25</v>
      </c>
      <c r="AI564" s="5">
        <f>+(K564*10.5+L564*21)*12*0.85</f>
        <v>137548.53</v>
      </c>
      <c r="AJ564" s="5">
        <f>+(K564*11.55+L564*23.1)*12*30</f>
        <v>5340119.4000000004</v>
      </c>
      <c r="AK564" s="5">
        <f t="shared" si="129"/>
        <v>4704538.53</v>
      </c>
      <c r="AL564" s="146">
        <f t="shared" si="133"/>
        <v>0</v>
      </c>
      <c r="AM564" s="62">
        <v>0</v>
      </c>
      <c r="AN564" s="30">
        <v>0</v>
      </c>
      <c r="AO564" s="30">
        <v>0</v>
      </c>
      <c r="AP564" s="30">
        <v>1300691.74</v>
      </c>
      <c r="AQ564" s="30">
        <v>0</v>
      </c>
      <c r="AR564" s="30"/>
      <c r="AS564" s="62">
        <v>0</v>
      </c>
      <c r="AT564" s="30"/>
      <c r="AU564" s="30"/>
      <c r="AV564" s="30">
        <v>0</v>
      </c>
      <c r="AW564" s="30"/>
      <c r="AX564" s="30">
        <v>3403846.79</v>
      </c>
      <c r="AY564" s="153"/>
      <c r="AZ564" s="153"/>
      <c r="BA564" s="148"/>
      <c r="BB564" s="149">
        <f t="shared" si="130"/>
        <v>2</v>
      </c>
    </row>
    <row r="565" spans="1:54" ht="15.75" hidden="1">
      <c r="A565" s="10">
        <f t="shared" ref="A565:A596" si="136">A564+1</f>
        <v>544</v>
      </c>
      <c r="B565" s="12" t="s">
        <v>96</v>
      </c>
      <c r="C565" s="101" t="s">
        <v>185</v>
      </c>
      <c r="D565" s="101" t="s">
        <v>364</v>
      </c>
      <c r="E565" s="102">
        <v>1973</v>
      </c>
      <c r="F565" s="102">
        <v>2017</v>
      </c>
      <c r="G565" s="102" t="s">
        <v>3</v>
      </c>
      <c r="H565" s="102">
        <v>5</v>
      </c>
      <c r="I565" s="102">
        <v>2</v>
      </c>
      <c r="J565" s="62">
        <v>2354.6</v>
      </c>
      <c r="K565" s="62">
        <v>2141.8000000000002</v>
      </c>
      <c r="L565" s="62">
        <v>0</v>
      </c>
      <c r="M565" s="103">
        <v>99</v>
      </c>
      <c r="N565" s="28">
        <f t="shared" si="125"/>
        <v>1251767.9300000002</v>
      </c>
      <c r="O565" s="62"/>
      <c r="P565" s="30">
        <f t="shared" si="126"/>
        <v>0</v>
      </c>
      <c r="Q565" s="143"/>
      <c r="R565" s="31"/>
      <c r="S565" s="30"/>
      <c r="T565" s="31"/>
      <c r="U565" s="31"/>
      <c r="V565" s="146">
        <f t="shared" si="127"/>
        <v>265572.58</v>
      </c>
      <c r="W565" s="145">
        <v>265572.58</v>
      </c>
      <c r="X565" s="145"/>
      <c r="Y565" s="146">
        <f t="shared" si="128"/>
        <v>804644.23</v>
      </c>
      <c r="Z565" s="145">
        <v>804644.23</v>
      </c>
      <c r="AA565" s="145"/>
      <c r="AB565" s="146">
        <f t="shared" si="135"/>
        <v>181551.12</v>
      </c>
      <c r="AC565" s="147"/>
      <c r="AD565" s="145">
        <v>181551.12</v>
      </c>
      <c r="AE565" s="30">
        <v>2419.6525627287901</v>
      </c>
      <c r="AF565" s="30">
        <v>1263.2830200640001</v>
      </c>
      <c r="AG565" s="33">
        <v>2024</v>
      </c>
      <c r="AH565" s="98">
        <v>1148972.82</v>
      </c>
      <c r="AI565" s="5">
        <f>+(K565*10.5+L565*21)*12*0.85</f>
        <v>229386.78000000003</v>
      </c>
      <c r="AJ565" s="5">
        <f>+(K565*11.55+L565*23.1)*12*30</f>
        <v>8905604.4000000004</v>
      </c>
      <c r="AK565" s="5">
        <f t="shared" si="129"/>
        <v>1251767.9300000002</v>
      </c>
      <c r="AL565" s="177">
        <f t="shared" si="133"/>
        <v>0</v>
      </c>
      <c r="AM565" s="62">
        <v>0</v>
      </c>
      <c r="AN565" s="30">
        <v>0</v>
      </c>
      <c r="AO565" s="30">
        <v>0</v>
      </c>
      <c r="AP565" s="30">
        <v>0</v>
      </c>
      <c r="AQ565" s="30">
        <v>0</v>
      </c>
      <c r="AR565" s="30"/>
      <c r="AS565" s="62"/>
      <c r="AT565" s="30">
        <v>0</v>
      </c>
      <c r="AU565" s="30">
        <v>0</v>
      </c>
      <c r="AV565" s="30">
        <v>0</v>
      </c>
      <c r="AW565" s="30">
        <v>1251767.93</v>
      </c>
      <c r="AX565" s="30">
        <v>0</v>
      </c>
      <c r="AY565" s="30"/>
      <c r="AZ565" s="30"/>
      <c r="BA565" s="156"/>
      <c r="BB565" s="149">
        <f t="shared" si="130"/>
        <v>1</v>
      </c>
    </row>
    <row r="566" spans="1:54" ht="15.75" hidden="1">
      <c r="A566" s="10">
        <f t="shared" si="136"/>
        <v>545</v>
      </c>
      <c r="B566" s="12">
        <f>B564+1</f>
        <v>85</v>
      </c>
      <c r="C566" s="101" t="s">
        <v>185</v>
      </c>
      <c r="D566" s="101" t="s">
        <v>236</v>
      </c>
      <c r="E566" s="102">
        <v>1976</v>
      </c>
      <c r="F566" s="102">
        <v>2013</v>
      </c>
      <c r="G566" s="102" t="s">
        <v>3</v>
      </c>
      <c r="H566" s="102">
        <v>4</v>
      </c>
      <c r="I566" s="102">
        <v>4</v>
      </c>
      <c r="J566" s="62">
        <v>2991.3</v>
      </c>
      <c r="K566" s="62">
        <v>2484.4</v>
      </c>
      <c r="L566" s="62">
        <v>250.6</v>
      </c>
      <c r="M566" s="103">
        <v>123</v>
      </c>
      <c r="N566" s="28">
        <f t="shared" si="125"/>
        <v>23611626.23</v>
      </c>
      <c r="O566" s="62"/>
      <c r="P566" s="30">
        <f t="shared" si="126"/>
        <v>6961839.0500000007</v>
      </c>
      <c r="Q566" s="152">
        <v>5926292.5300000003</v>
      </c>
      <c r="R566" s="145">
        <v>1035546.52</v>
      </c>
      <c r="S566" s="30"/>
      <c r="T566" s="31"/>
      <c r="U566" s="31"/>
      <c r="V566" s="146">
        <f t="shared" si="127"/>
        <v>1727976.59</v>
      </c>
      <c r="W566" s="145">
        <v>1727976.59</v>
      </c>
      <c r="X566" s="145"/>
      <c r="Y566" s="146">
        <f t="shared" si="128"/>
        <v>12148650.52</v>
      </c>
      <c r="Z566" s="144">
        <v>12148650.52</v>
      </c>
      <c r="AA566" s="144"/>
      <c r="AB566" s="146">
        <f t="shared" si="135"/>
        <v>2773160.07</v>
      </c>
      <c r="AC566" s="147"/>
      <c r="AD566" s="145">
        <v>2773160.07</v>
      </c>
      <c r="AE566" s="30">
        <v>11900.898308874899</v>
      </c>
      <c r="AF566" s="30">
        <v>1271.2830200640001</v>
      </c>
      <c r="AG566" s="33">
        <v>2024</v>
      </c>
      <c r="AH566" s="1">
        <f>1676530.68-230063.63</f>
        <v>1446467.0499999998</v>
      </c>
      <c r="AI566" s="5">
        <f>+(K566*10.5+L566*21)*12*0.85</f>
        <v>319757.75999999995</v>
      </c>
      <c r="AJ566" s="5">
        <f>+(K566*11.55+L566*23.1)*12*30</f>
        <v>12414124.800000003</v>
      </c>
      <c r="AK566" s="5">
        <f t="shared" si="129"/>
        <v>23611626.23</v>
      </c>
      <c r="AL566" s="146">
        <f t="shared" si="133"/>
        <v>0</v>
      </c>
      <c r="AM566" s="62"/>
      <c r="AN566" s="30">
        <v>0</v>
      </c>
      <c r="AO566" s="30">
        <v>0</v>
      </c>
      <c r="AP566" s="30">
        <v>0</v>
      </c>
      <c r="AQ566" s="30"/>
      <c r="AR566" s="30"/>
      <c r="AS566" s="62"/>
      <c r="AT566" s="30">
        <v>0</v>
      </c>
      <c r="AU566" s="30">
        <v>15371677.140000001</v>
      </c>
      <c r="AV566" s="30">
        <v>0</v>
      </c>
      <c r="AW566" s="30">
        <v>0</v>
      </c>
      <c r="AX566" s="30">
        <v>8239949.0899999999</v>
      </c>
      <c r="AY566" s="30"/>
      <c r="AZ566" s="30"/>
      <c r="BA566" s="156"/>
      <c r="BB566" s="149">
        <f t="shared" si="130"/>
        <v>2</v>
      </c>
    </row>
    <row r="567" spans="1:54" s="142" customFormat="1" ht="15.75" hidden="1">
      <c r="A567" s="10">
        <f t="shared" si="136"/>
        <v>546</v>
      </c>
      <c r="B567" s="12">
        <f t="shared" ref="B567:B598" si="137">B566+1</f>
        <v>86</v>
      </c>
      <c r="C567" s="101" t="s">
        <v>185</v>
      </c>
      <c r="D567" s="101" t="s">
        <v>369</v>
      </c>
      <c r="E567" s="102" t="s">
        <v>370</v>
      </c>
      <c r="F567" s="102"/>
      <c r="G567" s="102" t="s">
        <v>3</v>
      </c>
      <c r="H567" s="102" t="s">
        <v>169</v>
      </c>
      <c r="I567" s="102" t="s">
        <v>183</v>
      </c>
      <c r="J567" s="62">
        <v>4021.68</v>
      </c>
      <c r="K567" s="62">
        <v>3212.2</v>
      </c>
      <c r="L567" s="62">
        <v>201.5</v>
      </c>
      <c r="M567" s="103">
        <v>152</v>
      </c>
      <c r="N567" s="28">
        <f t="shared" si="125"/>
        <v>2358235.9699999997</v>
      </c>
      <c r="O567" s="62">
        <v>0</v>
      </c>
      <c r="P567" s="30">
        <f t="shared" si="126"/>
        <v>0</v>
      </c>
      <c r="Q567" s="143"/>
      <c r="R567" s="31"/>
      <c r="S567" s="30"/>
      <c r="T567" s="31"/>
      <c r="U567" s="31"/>
      <c r="V567" s="146">
        <f t="shared" si="127"/>
        <v>354561.98</v>
      </c>
      <c r="W567" s="145">
        <v>354561.98</v>
      </c>
      <c r="X567" s="145"/>
      <c r="Y567" s="146">
        <f t="shared" si="128"/>
        <v>2003673.99</v>
      </c>
      <c r="Z567" s="145">
        <v>2003673.99</v>
      </c>
      <c r="AA567" s="145"/>
      <c r="AB567" s="146">
        <f t="shared" si="135"/>
        <v>0</v>
      </c>
      <c r="AC567" s="147"/>
      <c r="AD567" s="145"/>
      <c r="AE567" s="30">
        <v>2065.7701003638399</v>
      </c>
      <c r="AF567" s="30">
        <v>1274.2830200640001</v>
      </c>
      <c r="AG567" s="33">
        <v>2024</v>
      </c>
      <c r="AH567" s="98"/>
      <c r="AI567" s="5">
        <f>+(K567*11.55+L567*23.1)*12*0.85</f>
        <v>425906.71200000006</v>
      </c>
      <c r="AJ567" s="5">
        <f>+(K567*11.55+L567*23.1)*12*30-[3]Лист1!$AQ$270</f>
        <v>6069165.1800000034</v>
      </c>
      <c r="AK567" s="5">
        <f t="shared" si="129"/>
        <v>2358235.9699999997</v>
      </c>
      <c r="AL567" s="146">
        <f t="shared" si="133"/>
        <v>0</v>
      </c>
      <c r="AM567" s="62"/>
      <c r="AN567" s="30"/>
      <c r="AO567" s="30"/>
      <c r="AP567" s="30">
        <v>2358235.9700000002</v>
      </c>
      <c r="AQ567" s="30"/>
      <c r="AR567" s="30"/>
      <c r="AS567" s="62"/>
      <c r="AT567" s="30">
        <v>0</v>
      </c>
      <c r="AU567" s="30"/>
      <c r="AV567" s="30">
        <v>0</v>
      </c>
      <c r="AW567" s="30">
        <v>0</v>
      </c>
      <c r="AX567" s="30">
        <v>0</v>
      </c>
      <c r="AY567" s="153"/>
      <c r="AZ567" s="153"/>
      <c r="BA567" s="148"/>
      <c r="BB567" s="149">
        <f t="shared" si="130"/>
        <v>1</v>
      </c>
    </row>
    <row r="568" spans="1:54" s="142" customFormat="1" ht="15.75" hidden="1">
      <c r="A568" s="10">
        <f t="shared" si="136"/>
        <v>547</v>
      </c>
      <c r="B568" s="12">
        <f t="shared" si="137"/>
        <v>87</v>
      </c>
      <c r="C568" s="101" t="s">
        <v>185</v>
      </c>
      <c r="D568" s="101" t="s">
        <v>372</v>
      </c>
      <c r="E568" s="102" t="s">
        <v>373</v>
      </c>
      <c r="F568" s="102"/>
      <c r="G568" s="102" t="s">
        <v>3</v>
      </c>
      <c r="H568" s="102" t="s">
        <v>183</v>
      </c>
      <c r="I568" s="102" t="s">
        <v>183</v>
      </c>
      <c r="J568" s="62">
        <v>3131.3</v>
      </c>
      <c r="K568" s="62">
        <v>2721.1</v>
      </c>
      <c r="L568" s="62">
        <v>64.900000000000006</v>
      </c>
      <c r="M568" s="103">
        <v>113</v>
      </c>
      <c r="N568" s="28">
        <f t="shared" si="125"/>
        <v>27033583.939999998</v>
      </c>
      <c r="O568" s="62">
        <v>0</v>
      </c>
      <c r="P568" s="30">
        <f t="shared" si="126"/>
        <v>13430935.5</v>
      </c>
      <c r="Q568" s="152">
        <v>8093553.6500000004</v>
      </c>
      <c r="R568" s="145">
        <v>5337381.8499999996</v>
      </c>
      <c r="S568" s="30"/>
      <c r="T568" s="31"/>
      <c r="U568" s="31"/>
      <c r="V568" s="146">
        <f t="shared" si="127"/>
        <v>847751.2</v>
      </c>
      <c r="W568" s="145">
        <v>847751.2</v>
      </c>
      <c r="X568" s="145"/>
      <c r="Y568" s="146">
        <f t="shared" si="128"/>
        <v>9075432.0999999996</v>
      </c>
      <c r="Z568" s="145">
        <v>9075432.0999999996</v>
      </c>
      <c r="AA568" s="145"/>
      <c r="AB568" s="146">
        <f t="shared" si="135"/>
        <v>3679465.14</v>
      </c>
      <c r="AC568" s="147"/>
      <c r="AD568" s="145">
        <v>3679465.14</v>
      </c>
      <c r="AE568" s="30">
        <v>13452.182269480199</v>
      </c>
      <c r="AF568" s="30">
        <v>1276.2830200640001</v>
      </c>
      <c r="AG568" s="33">
        <v>2024</v>
      </c>
      <c r="AH568" s="98">
        <v>961493.23</v>
      </c>
      <c r="AI568" s="5">
        <f>+(K568*11.55+L568*23.1)*12*0.85</f>
        <v>335864.52900000004</v>
      </c>
      <c r="AJ568" s="5">
        <f>+(K568*11.55+L568*23.1)*12*30</f>
        <v>11854042.200000001</v>
      </c>
      <c r="AK568" s="5">
        <f t="shared" si="129"/>
        <v>27033583.939999998</v>
      </c>
      <c r="AL568" s="146">
        <f t="shared" si="133"/>
        <v>0</v>
      </c>
      <c r="AM568" s="62"/>
      <c r="AN568" s="30"/>
      <c r="AO568" s="30">
        <v>1525309.8</v>
      </c>
      <c r="AP568" s="30">
        <v>978506.55</v>
      </c>
      <c r="AQ568" s="30"/>
      <c r="AR568" s="30"/>
      <c r="AS568" s="62"/>
      <c r="AT568" s="30"/>
      <c r="AU568" s="30"/>
      <c r="AV568" s="30"/>
      <c r="AW568" s="30">
        <v>16575676.34</v>
      </c>
      <c r="AX568" s="30">
        <v>7954091.25</v>
      </c>
      <c r="AY568" s="153"/>
      <c r="AZ568" s="153"/>
      <c r="BA568" s="148"/>
      <c r="BB568" s="149">
        <f t="shared" si="130"/>
        <v>4</v>
      </c>
    </row>
    <row r="569" spans="1:54" ht="15.75" hidden="1">
      <c r="A569" s="10">
        <f t="shared" si="136"/>
        <v>548</v>
      </c>
      <c r="B569" s="12">
        <f t="shared" si="137"/>
        <v>88</v>
      </c>
      <c r="C569" s="101" t="s">
        <v>185</v>
      </c>
      <c r="D569" s="101" t="s">
        <v>376</v>
      </c>
      <c r="E569" s="102">
        <v>1978</v>
      </c>
      <c r="F569" s="102">
        <v>2012</v>
      </c>
      <c r="G569" s="102" t="s">
        <v>3</v>
      </c>
      <c r="H569" s="102">
        <v>4</v>
      </c>
      <c r="I569" s="102">
        <v>6</v>
      </c>
      <c r="J569" s="62">
        <v>5689.4</v>
      </c>
      <c r="K569" s="62">
        <v>4976.8</v>
      </c>
      <c r="L569" s="62">
        <v>71.5</v>
      </c>
      <c r="M569" s="103">
        <v>227</v>
      </c>
      <c r="N569" s="28">
        <f t="shared" si="125"/>
        <v>1841732.95</v>
      </c>
      <c r="O569" s="62"/>
      <c r="P569" s="30">
        <f t="shared" si="126"/>
        <v>0</v>
      </c>
      <c r="Q569" s="143"/>
      <c r="R569" s="31"/>
      <c r="S569" s="30"/>
      <c r="T569" s="31"/>
      <c r="U569" s="31"/>
      <c r="V569" s="146">
        <f t="shared" si="127"/>
        <v>1841732.95</v>
      </c>
      <c r="W569" s="145">
        <v>1841732.95</v>
      </c>
      <c r="X569" s="145"/>
      <c r="Y569" s="146">
        <f t="shared" si="128"/>
        <v>0</v>
      </c>
      <c r="Z569" s="145"/>
      <c r="AA569" s="145"/>
      <c r="AB569" s="146">
        <f t="shared" si="135"/>
        <v>0</v>
      </c>
      <c r="AC569" s="147"/>
      <c r="AD569" s="145"/>
      <c r="AE569" s="30">
        <v>414.39664453665</v>
      </c>
      <c r="AF569" s="30">
        <v>1265.2830200640001</v>
      </c>
      <c r="AG569" s="33">
        <v>2024</v>
      </c>
      <c r="AH569" s="98">
        <v>3572953.42</v>
      </c>
      <c r="AI569" s="5">
        <f>+(K569*11.55+L569*23.1)*12*0.85</f>
        <v>603163.63800000015</v>
      </c>
      <c r="AJ569" s="5">
        <f>+(K569*11.55+L569*23.1)*12*30</f>
        <v>21288128.400000006</v>
      </c>
      <c r="AK569" s="5">
        <f t="shared" si="129"/>
        <v>1841732.95</v>
      </c>
      <c r="AL569" s="146">
        <f t="shared" si="133"/>
        <v>0</v>
      </c>
      <c r="AM569" s="62">
        <v>0</v>
      </c>
      <c r="AN569" s="30">
        <v>0</v>
      </c>
      <c r="AO569" s="30">
        <v>0</v>
      </c>
      <c r="AP569" s="30">
        <v>0</v>
      </c>
      <c r="AQ569" s="30">
        <v>1841732.95</v>
      </c>
      <c r="AR569" s="30"/>
      <c r="AS569" s="62"/>
      <c r="AT569" s="30">
        <v>0</v>
      </c>
      <c r="AU569" s="30">
        <v>0</v>
      </c>
      <c r="AV569" s="30">
        <v>0</v>
      </c>
      <c r="AW569" s="30">
        <v>0</v>
      </c>
      <c r="AX569" s="30">
        <v>0</v>
      </c>
      <c r="AY569" s="30"/>
      <c r="AZ569" s="30"/>
      <c r="BA569" s="148"/>
      <c r="BB569" s="149">
        <f t="shared" si="130"/>
        <v>1</v>
      </c>
    </row>
    <row r="570" spans="1:54" ht="15.75" hidden="1">
      <c r="A570" s="10">
        <f t="shared" si="136"/>
        <v>549</v>
      </c>
      <c r="B570" s="12">
        <f t="shared" si="137"/>
        <v>89</v>
      </c>
      <c r="C570" s="101" t="s">
        <v>185</v>
      </c>
      <c r="D570" s="101" t="s">
        <v>378</v>
      </c>
      <c r="E570" s="102">
        <v>1974</v>
      </c>
      <c r="F570" s="102">
        <v>2013</v>
      </c>
      <c r="G570" s="102" t="s">
        <v>3</v>
      </c>
      <c r="H570" s="102">
        <v>4</v>
      </c>
      <c r="I570" s="102">
        <v>4</v>
      </c>
      <c r="J570" s="62">
        <v>4783.3599999999997</v>
      </c>
      <c r="K570" s="62">
        <v>3510.2</v>
      </c>
      <c r="L570" s="62">
        <v>0</v>
      </c>
      <c r="M570" s="103">
        <v>164</v>
      </c>
      <c r="N570" s="28">
        <f t="shared" si="125"/>
        <v>8368081.3100000005</v>
      </c>
      <c r="O570" s="62"/>
      <c r="P570" s="30">
        <f t="shared" si="126"/>
        <v>0</v>
      </c>
      <c r="Q570" s="143"/>
      <c r="R570" s="31"/>
      <c r="S570" s="30"/>
      <c r="T570" s="31"/>
      <c r="U570" s="31"/>
      <c r="V570" s="146">
        <f t="shared" si="127"/>
        <v>889176.28</v>
      </c>
      <c r="W570" s="145">
        <v>889176.28</v>
      </c>
      <c r="X570" s="145"/>
      <c r="Y570" s="146">
        <f t="shared" si="128"/>
        <v>7478905.0300000003</v>
      </c>
      <c r="Z570" s="145">
        <v>7478905.0300000003</v>
      </c>
      <c r="AA570" s="145"/>
      <c r="AB570" s="146">
        <f t="shared" si="135"/>
        <v>0</v>
      </c>
      <c r="AC570" s="147"/>
      <c r="AD570" s="145"/>
      <c r="AE570" s="30">
        <v>2481.1746370349301</v>
      </c>
      <c r="AF570" s="30">
        <v>1266.2830200640001</v>
      </c>
      <c r="AG570" s="33">
        <v>2024</v>
      </c>
      <c r="AH570" s="18">
        <f>2096998.22-V252</f>
        <v>1475402.5699999998</v>
      </c>
      <c r="AI570" s="5">
        <f>+(K570*10.5+L570*21)*12*0.85</f>
        <v>375942.41999999993</v>
      </c>
      <c r="AJ570" s="5">
        <f>+(K570*11.55+L570*23.1)*12*30</f>
        <v>14595411.6</v>
      </c>
      <c r="AK570" s="5">
        <f t="shared" si="129"/>
        <v>8368081.3100000005</v>
      </c>
      <c r="AL570" s="146">
        <f t="shared" si="133"/>
        <v>0</v>
      </c>
      <c r="AM570" s="62">
        <v>0</v>
      </c>
      <c r="AN570" s="30">
        <v>0</v>
      </c>
      <c r="AO570" s="30">
        <v>0</v>
      </c>
      <c r="AP570" s="30">
        <v>0</v>
      </c>
      <c r="AQ570" s="30"/>
      <c r="AR570" s="30"/>
      <c r="AS570" s="62"/>
      <c r="AT570" s="30"/>
      <c r="AU570" s="30"/>
      <c r="AV570" s="30"/>
      <c r="AW570" s="30"/>
      <c r="AX570" s="30">
        <v>8368081.3099999996</v>
      </c>
      <c r="AY570" s="153"/>
      <c r="AZ570" s="153"/>
      <c r="BA570" s="148"/>
      <c r="BB570" s="149">
        <f t="shared" si="130"/>
        <v>1</v>
      </c>
    </row>
    <row r="571" spans="1:54" s="142" customFormat="1" ht="15.75" hidden="1">
      <c r="A571" s="10">
        <f t="shared" si="136"/>
        <v>550</v>
      </c>
      <c r="B571" s="12">
        <f t="shared" si="137"/>
        <v>90</v>
      </c>
      <c r="C571" s="101" t="s">
        <v>185</v>
      </c>
      <c r="D571" s="101" t="s">
        <v>380</v>
      </c>
      <c r="E571" s="102" t="s">
        <v>381</v>
      </c>
      <c r="F571" s="102"/>
      <c r="G571" s="102" t="s">
        <v>3</v>
      </c>
      <c r="H571" s="102" t="s">
        <v>183</v>
      </c>
      <c r="I571" s="102" t="s">
        <v>27</v>
      </c>
      <c r="J571" s="62">
        <v>1276.4000000000001</v>
      </c>
      <c r="K571" s="62">
        <v>1181.5</v>
      </c>
      <c r="L571" s="62">
        <v>48.4</v>
      </c>
      <c r="M571" s="103">
        <v>69</v>
      </c>
      <c r="N571" s="28">
        <f t="shared" si="125"/>
        <v>9428594.129999999</v>
      </c>
      <c r="O571" s="62">
        <v>0</v>
      </c>
      <c r="P571" s="30">
        <f t="shared" si="126"/>
        <v>7204025.0999999996</v>
      </c>
      <c r="Q571" s="154">
        <v>2590352.7999999998</v>
      </c>
      <c r="R571" s="145">
        <v>4613672.3</v>
      </c>
      <c r="S571" s="30"/>
      <c r="T571" s="31"/>
      <c r="U571" s="31"/>
      <c r="V571" s="146">
        <f t="shared" si="127"/>
        <v>57870.400000000001</v>
      </c>
      <c r="W571" s="145">
        <v>57870.400000000001</v>
      </c>
      <c r="X571" s="145"/>
      <c r="Y571" s="146">
        <f t="shared" si="128"/>
        <v>752409.51</v>
      </c>
      <c r="Z571" s="145">
        <v>752409.51</v>
      </c>
      <c r="AA571" s="145"/>
      <c r="AB571" s="146">
        <f t="shared" si="135"/>
        <v>1414289.12</v>
      </c>
      <c r="AC571" s="147"/>
      <c r="AD571" s="145">
        <v>1414289.12</v>
      </c>
      <c r="AE571" s="30">
        <v>16969.400865557</v>
      </c>
      <c r="AF571" s="30">
        <v>1267.2830200640001</v>
      </c>
      <c r="AG571" s="33">
        <v>2024</v>
      </c>
      <c r="AH571" s="98"/>
      <c r="AI571" s="5">
        <f>+(K571*11.55+L571*23.1)*12*0.85</f>
        <v>150596.52299999999</v>
      </c>
      <c r="AJ571" s="5">
        <f>+(K571*11.55+L571*23.1)*12*30-[3]Лист1!$AQ$277</f>
        <v>531065.06000000052</v>
      </c>
      <c r="AK571" s="5">
        <f t="shared" si="129"/>
        <v>9428594.129999999</v>
      </c>
      <c r="AL571" s="146">
        <f t="shared" si="133"/>
        <v>0</v>
      </c>
      <c r="AM571" s="62"/>
      <c r="AN571" s="30"/>
      <c r="AO571" s="30"/>
      <c r="AP571" s="30"/>
      <c r="AQ571" s="30"/>
      <c r="AR571" s="30"/>
      <c r="AS571" s="62"/>
      <c r="AT571" s="30">
        <v>0</v>
      </c>
      <c r="AU571" s="30"/>
      <c r="AV571" s="30">
        <v>0</v>
      </c>
      <c r="AW571" s="30">
        <v>9428594.1300000008</v>
      </c>
      <c r="AX571" s="30"/>
      <c r="AY571" s="153"/>
      <c r="AZ571" s="153"/>
      <c r="BA571" s="148"/>
      <c r="BB571" s="149">
        <f t="shared" si="130"/>
        <v>1</v>
      </c>
    </row>
    <row r="572" spans="1:54" ht="15.75" hidden="1">
      <c r="A572" s="10">
        <f t="shared" si="136"/>
        <v>551</v>
      </c>
      <c r="B572" s="12">
        <f t="shared" si="137"/>
        <v>91</v>
      </c>
      <c r="C572" s="101" t="s">
        <v>185</v>
      </c>
      <c r="D572" s="101" t="s">
        <v>384</v>
      </c>
      <c r="E572" s="102">
        <v>1976</v>
      </c>
      <c r="F572" s="102">
        <v>2005</v>
      </c>
      <c r="G572" s="102" t="s">
        <v>3</v>
      </c>
      <c r="H572" s="102">
        <v>5</v>
      </c>
      <c r="I572" s="102">
        <v>6</v>
      </c>
      <c r="J572" s="62">
        <v>3918.8</v>
      </c>
      <c r="K572" s="62">
        <v>3433.8</v>
      </c>
      <c r="L572" s="62">
        <v>0</v>
      </c>
      <c r="M572" s="103">
        <v>155</v>
      </c>
      <c r="N572" s="28">
        <f t="shared" si="125"/>
        <v>1488237.82</v>
      </c>
      <c r="O572" s="62"/>
      <c r="P572" s="30">
        <f t="shared" si="126"/>
        <v>0</v>
      </c>
      <c r="Q572" s="143"/>
      <c r="R572" s="31"/>
      <c r="S572" s="30"/>
      <c r="T572" s="31"/>
      <c r="U572" s="31"/>
      <c r="V572" s="146">
        <f t="shared" si="127"/>
        <v>1488237.82</v>
      </c>
      <c r="W572" s="145">
        <v>1488237.82</v>
      </c>
      <c r="X572" s="145"/>
      <c r="Y572" s="146">
        <f t="shared" si="128"/>
        <v>0</v>
      </c>
      <c r="Z572" s="31"/>
      <c r="AA572" s="31"/>
      <c r="AB572" s="146">
        <f t="shared" si="135"/>
        <v>0</v>
      </c>
      <c r="AC572" s="147"/>
      <c r="AD572" s="145"/>
      <c r="AE572" s="30">
        <v>317.54412475974101</v>
      </c>
      <c r="AF572" s="30">
        <v>1269.2830200640001</v>
      </c>
      <c r="AG572" s="33">
        <v>2024</v>
      </c>
      <c r="AH572" s="1">
        <f>2119160.71-846033</f>
        <v>1273127.71</v>
      </c>
      <c r="AI572" s="5">
        <f>+(K572*10.5+L572*21)*12*0.85</f>
        <v>367759.98000000004</v>
      </c>
      <c r="AJ572" s="5">
        <f>+(K572*11.55+L572*23.1)*12*30</f>
        <v>14277740.400000002</v>
      </c>
      <c r="AK572" s="5">
        <f t="shared" si="129"/>
        <v>1488237.82</v>
      </c>
      <c r="AL572" s="146">
        <f t="shared" si="133"/>
        <v>0</v>
      </c>
      <c r="AM572" s="62">
        <v>0</v>
      </c>
      <c r="AN572" s="30">
        <v>0</v>
      </c>
      <c r="AO572" s="30">
        <v>0</v>
      </c>
      <c r="AP572" s="30">
        <v>0</v>
      </c>
      <c r="AQ572" s="30">
        <v>1488237.82</v>
      </c>
      <c r="AR572" s="30"/>
      <c r="AS572" s="62"/>
      <c r="AT572" s="30">
        <v>0</v>
      </c>
      <c r="AU572" s="30">
        <v>0</v>
      </c>
      <c r="AV572" s="30">
        <v>0</v>
      </c>
      <c r="AW572" s="30">
        <v>0</v>
      </c>
      <c r="AX572" s="30">
        <v>0</v>
      </c>
      <c r="AY572" s="30"/>
      <c r="AZ572" s="30"/>
      <c r="BA572" s="148"/>
      <c r="BB572" s="149">
        <f t="shared" si="130"/>
        <v>1</v>
      </c>
    </row>
    <row r="573" spans="1:54" ht="15.75" hidden="1">
      <c r="A573" s="10">
        <f t="shared" si="136"/>
        <v>552</v>
      </c>
      <c r="B573" s="12">
        <f t="shared" si="137"/>
        <v>92</v>
      </c>
      <c r="C573" s="101" t="s">
        <v>185</v>
      </c>
      <c r="D573" s="101" t="s">
        <v>386</v>
      </c>
      <c r="E573" s="102">
        <v>1970</v>
      </c>
      <c r="F573" s="102">
        <v>2017</v>
      </c>
      <c r="G573" s="102" t="s">
        <v>3</v>
      </c>
      <c r="H573" s="102">
        <v>5</v>
      </c>
      <c r="I573" s="102">
        <v>2</v>
      </c>
      <c r="J573" s="62">
        <v>1774.6</v>
      </c>
      <c r="K573" s="62">
        <v>1596.4</v>
      </c>
      <c r="L573" s="62">
        <v>0</v>
      </c>
      <c r="M573" s="103">
        <v>68</v>
      </c>
      <c r="N573" s="28">
        <f t="shared" si="125"/>
        <v>2839949</v>
      </c>
      <c r="O573" s="62"/>
      <c r="P573" s="30">
        <f t="shared" si="126"/>
        <v>0</v>
      </c>
      <c r="Q573" s="143"/>
      <c r="R573" s="31"/>
      <c r="S573" s="30"/>
      <c r="T573" s="31"/>
      <c r="U573" s="31"/>
      <c r="V573" s="146">
        <f t="shared" si="127"/>
        <v>304916.26</v>
      </c>
      <c r="W573" s="145">
        <v>304916.26</v>
      </c>
      <c r="X573" s="145"/>
      <c r="Y573" s="146">
        <f t="shared" si="128"/>
        <v>2535032.7400000002</v>
      </c>
      <c r="Z573" s="145">
        <v>2535032.7400000002</v>
      </c>
      <c r="AA573" s="145"/>
      <c r="AB573" s="146">
        <f t="shared" si="135"/>
        <v>0</v>
      </c>
      <c r="AC573" s="147"/>
      <c r="AD573" s="145"/>
      <c r="AE573" s="30">
        <v>3719.1547717205099</v>
      </c>
      <c r="AF573" s="30">
        <v>1272.2830200640001</v>
      </c>
      <c r="AG573" s="33">
        <v>2024</v>
      </c>
      <c r="AH573" s="5">
        <f>+[3]Лист1!$BC$280</f>
        <v>59734.07</v>
      </c>
      <c r="AI573" s="5">
        <f>+(K573*11.55+L573*23.1)*12*0.85</f>
        <v>188071.88400000002</v>
      </c>
      <c r="AJ573" s="5">
        <f>+(K573*11.55+L573*23.1)*12*30</f>
        <v>6637831.2000000011</v>
      </c>
      <c r="AK573" s="5">
        <f t="shared" si="129"/>
        <v>2839949</v>
      </c>
      <c r="AL573" s="146">
        <f t="shared" si="133"/>
        <v>0</v>
      </c>
      <c r="AM573" s="62">
        <v>2839949</v>
      </c>
      <c r="AN573" s="30"/>
      <c r="AO573" s="30">
        <v>0</v>
      </c>
      <c r="AP573" s="30">
        <v>0</v>
      </c>
      <c r="AQ573" s="30"/>
      <c r="AR573" s="30"/>
      <c r="AS573" s="62"/>
      <c r="AT573" s="30">
        <v>0</v>
      </c>
      <c r="AU573" s="30">
        <v>0</v>
      </c>
      <c r="AV573" s="30">
        <v>0</v>
      </c>
      <c r="AW573" s="30">
        <v>0</v>
      </c>
      <c r="AX573" s="30">
        <v>0</v>
      </c>
      <c r="AY573" s="153"/>
      <c r="AZ573" s="30"/>
      <c r="BA573" s="156"/>
      <c r="BB573" s="149">
        <f t="shared" si="130"/>
        <v>1</v>
      </c>
    </row>
    <row r="574" spans="1:54" s="142" customFormat="1" ht="15.75" hidden="1">
      <c r="A574" s="10">
        <f t="shared" si="136"/>
        <v>553</v>
      </c>
      <c r="B574" s="12">
        <f t="shared" si="137"/>
        <v>93</v>
      </c>
      <c r="C574" s="101" t="s">
        <v>185</v>
      </c>
      <c r="D574" s="101" t="s">
        <v>387</v>
      </c>
      <c r="E574" s="102" t="s">
        <v>388</v>
      </c>
      <c r="F574" s="102"/>
      <c r="G574" s="102" t="s">
        <v>3</v>
      </c>
      <c r="H574" s="102" t="s">
        <v>183</v>
      </c>
      <c r="I574" s="102" t="s">
        <v>183</v>
      </c>
      <c r="J574" s="62">
        <v>3893.1</v>
      </c>
      <c r="K574" s="62">
        <v>3553.5</v>
      </c>
      <c r="L574" s="62">
        <v>0</v>
      </c>
      <c r="M574" s="103">
        <v>150</v>
      </c>
      <c r="N574" s="28">
        <f t="shared" si="125"/>
        <v>12030529.280000001</v>
      </c>
      <c r="O574" s="62">
        <v>0</v>
      </c>
      <c r="P574" s="30">
        <f t="shared" si="126"/>
        <v>7397167.3600000003</v>
      </c>
      <c r="Q574" s="152">
        <v>4934109.32</v>
      </c>
      <c r="R574" s="145">
        <v>2463058.04</v>
      </c>
      <c r="S574" s="30"/>
      <c r="T574" s="31"/>
      <c r="U574" s="31"/>
      <c r="V574" s="146">
        <f t="shared" si="127"/>
        <v>255443.21</v>
      </c>
      <c r="W574" s="145">
        <v>255443.21</v>
      </c>
      <c r="X574" s="145"/>
      <c r="Y574" s="146">
        <f t="shared" si="128"/>
        <v>2728597.91</v>
      </c>
      <c r="Z574" s="145">
        <v>2728597.91</v>
      </c>
      <c r="AA574" s="145"/>
      <c r="AB574" s="146">
        <f t="shared" si="135"/>
        <v>1649320.8</v>
      </c>
      <c r="AC574" s="147"/>
      <c r="AD574" s="145">
        <v>1649320.8</v>
      </c>
      <c r="AE574" s="30">
        <v>17913.0210460528</v>
      </c>
      <c r="AF574" s="30">
        <v>1273.2830200640001</v>
      </c>
      <c r="AG574" s="33">
        <v>2024</v>
      </c>
      <c r="AH574" s="98">
        <v>1198086.6299999999</v>
      </c>
      <c r="AI574" s="5">
        <f>+(K574*10.5+L574*21)*12*0.85</f>
        <v>380579.85</v>
      </c>
      <c r="AJ574" s="5">
        <f>+(K574*11.55+L574*23.1)*12*30</f>
        <v>14775453.000000002</v>
      </c>
      <c r="AK574" s="5">
        <f t="shared" si="129"/>
        <v>12030529.280000001</v>
      </c>
      <c r="AL574" s="146">
        <f t="shared" si="133"/>
        <v>0</v>
      </c>
      <c r="AM574" s="62">
        <v>7206473.96</v>
      </c>
      <c r="AN574" s="30">
        <v>2577139.2000000002</v>
      </c>
      <c r="AO574" s="30"/>
      <c r="AP574" s="30">
        <v>2246916.12</v>
      </c>
      <c r="AQ574" s="30"/>
      <c r="AR574" s="30"/>
      <c r="AS574" s="62"/>
      <c r="AT574" s="30"/>
      <c r="AU574" s="30"/>
      <c r="AV574" s="30"/>
      <c r="AW574" s="30"/>
      <c r="AX574" s="30"/>
      <c r="AY574" s="153"/>
      <c r="AZ574" s="153"/>
      <c r="BA574" s="148"/>
      <c r="BB574" s="149">
        <f t="shared" si="130"/>
        <v>3</v>
      </c>
    </row>
    <row r="575" spans="1:54" ht="15.75" hidden="1">
      <c r="A575" s="10">
        <f t="shared" si="136"/>
        <v>554</v>
      </c>
      <c r="B575" s="12">
        <f t="shared" si="137"/>
        <v>94</v>
      </c>
      <c r="C575" s="101" t="s">
        <v>185</v>
      </c>
      <c r="D575" s="101" t="s">
        <v>240</v>
      </c>
      <c r="E575" s="102">
        <v>1974</v>
      </c>
      <c r="F575" s="102">
        <v>2013</v>
      </c>
      <c r="G575" s="102" t="s">
        <v>3</v>
      </c>
      <c r="H575" s="102">
        <v>4</v>
      </c>
      <c r="I575" s="102">
        <v>4</v>
      </c>
      <c r="J575" s="62">
        <v>3890.5</v>
      </c>
      <c r="K575" s="62">
        <v>3406.6</v>
      </c>
      <c r="L575" s="62">
        <v>0</v>
      </c>
      <c r="M575" s="103">
        <v>175</v>
      </c>
      <c r="N575" s="28">
        <f t="shared" si="125"/>
        <v>7249912.5099999998</v>
      </c>
      <c r="O575" s="62"/>
      <c r="P575" s="30">
        <f t="shared" si="126"/>
        <v>5815217.6299999999</v>
      </c>
      <c r="Q575" s="152">
        <v>5815217.6299999999</v>
      </c>
      <c r="R575" s="145"/>
      <c r="S575" s="30"/>
      <c r="T575" s="31"/>
      <c r="U575" s="31"/>
      <c r="V575" s="146">
        <f t="shared" si="127"/>
        <v>347208</v>
      </c>
      <c r="W575" s="145">
        <v>347208</v>
      </c>
      <c r="X575" s="145"/>
      <c r="Y575" s="146">
        <f t="shared" si="128"/>
        <v>0</v>
      </c>
      <c r="Z575" s="31"/>
      <c r="AA575" s="31"/>
      <c r="AB575" s="146">
        <f t="shared" si="135"/>
        <v>1087486.8799999999</v>
      </c>
      <c r="AC575" s="147"/>
      <c r="AD575" s="145">
        <v>1087486.8799999999</v>
      </c>
      <c r="AE575" s="30">
        <v>1896.12175915853</v>
      </c>
      <c r="AF575" s="30">
        <v>1277.2830200640001</v>
      </c>
      <c r="AG575" s="33">
        <v>2024</v>
      </c>
      <c r="AH575" s="18">
        <v>0</v>
      </c>
      <c r="AI575" s="5">
        <f>+(K575*10.5+L575*21)*12*0.85</f>
        <v>364846.86</v>
      </c>
      <c r="AJ575" s="5">
        <f>+(K575*11.55+L575*23.1)*12*30</f>
        <v>14164642.800000001</v>
      </c>
      <c r="AK575" s="5">
        <f t="shared" si="129"/>
        <v>7249912.5099999998</v>
      </c>
      <c r="AL575" s="146">
        <f t="shared" si="133"/>
        <v>0</v>
      </c>
      <c r="AM575" s="62">
        <v>7249912.5099999998</v>
      </c>
      <c r="AN575" s="30">
        <v>0</v>
      </c>
      <c r="AO575" s="30">
        <v>0</v>
      </c>
      <c r="AP575" s="30">
        <v>0</v>
      </c>
      <c r="AQ575" s="30">
        <v>0</v>
      </c>
      <c r="AR575" s="30"/>
      <c r="AS575" s="62"/>
      <c r="AT575" s="30">
        <v>0</v>
      </c>
      <c r="AU575" s="30">
        <v>0</v>
      </c>
      <c r="AV575" s="30">
        <v>0</v>
      </c>
      <c r="AW575" s="30">
        <v>0</v>
      </c>
      <c r="AX575" s="30">
        <v>0</v>
      </c>
      <c r="AY575" s="30"/>
      <c r="AZ575" s="30"/>
      <c r="BA575" s="156"/>
      <c r="BB575" s="149">
        <f t="shared" si="130"/>
        <v>1</v>
      </c>
    </row>
    <row r="576" spans="1:54" ht="15.75" hidden="1">
      <c r="A576" s="10">
        <f t="shared" si="136"/>
        <v>555</v>
      </c>
      <c r="B576" s="12">
        <f t="shared" si="137"/>
        <v>95</v>
      </c>
      <c r="C576" s="101" t="s">
        <v>185</v>
      </c>
      <c r="D576" s="101" t="s">
        <v>251</v>
      </c>
      <c r="E576" s="102">
        <v>1978</v>
      </c>
      <c r="F576" s="102">
        <v>2008</v>
      </c>
      <c r="G576" s="102" t="s">
        <v>3</v>
      </c>
      <c r="H576" s="102">
        <v>5</v>
      </c>
      <c r="I576" s="102">
        <v>4</v>
      </c>
      <c r="J576" s="62">
        <v>3883.8</v>
      </c>
      <c r="K576" s="62">
        <v>3458.3</v>
      </c>
      <c r="L576" s="62">
        <v>0</v>
      </c>
      <c r="M576" s="103">
        <v>222</v>
      </c>
      <c r="N576" s="28">
        <f t="shared" si="125"/>
        <v>18254524.75</v>
      </c>
      <c r="O576" s="62"/>
      <c r="P576" s="30">
        <f t="shared" si="126"/>
        <v>10031187.289999999</v>
      </c>
      <c r="Q576" s="152">
        <v>4831639.54</v>
      </c>
      <c r="R576" s="145">
        <v>5199547.75</v>
      </c>
      <c r="S576" s="30"/>
      <c r="T576" s="31"/>
      <c r="U576" s="31"/>
      <c r="V576" s="146">
        <f t="shared" si="127"/>
        <v>1725806.01</v>
      </c>
      <c r="W576" s="145">
        <v>1725806.01</v>
      </c>
      <c r="X576" s="145"/>
      <c r="Y576" s="146">
        <f t="shared" si="128"/>
        <v>4289440.92</v>
      </c>
      <c r="Z576" s="145">
        <v>4289440.92</v>
      </c>
      <c r="AA576" s="145"/>
      <c r="AB576" s="146">
        <f t="shared" si="135"/>
        <v>2208090.5299999998</v>
      </c>
      <c r="AC576" s="147"/>
      <c r="AD576" s="145">
        <v>2208090.5299999998</v>
      </c>
      <c r="AE576" s="30">
        <v>7878.75</v>
      </c>
      <c r="AF576" s="30">
        <v>1278.2830200640001</v>
      </c>
      <c r="AG576" s="33">
        <v>2024</v>
      </c>
      <c r="AH576" s="18">
        <f>2031878.21+AI84-V84</f>
        <v>1355422.08</v>
      </c>
      <c r="AI576" s="5">
        <f>+(K576*11.55+L576*23.1)*12*0.85</f>
        <v>407422.32300000003</v>
      </c>
      <c r="AJ576" s="5">
        <f>+(K576*10.5+L576*21)*12*30-Y84</f>
        <v>4357559.9700000025</v>
      </c>
      <c r="AK576" s="5">
        <f t="shared" si="129"/>
        <v>18254524.75</v>
      </c>
      <c r="AL576" s="146">
        <f t="shared" si="133"/>
        <v>0</v>
      </c>
      <c r="AM576" s="62"/>
      <c r="AN576" s="30"/>
      <c r="AO576" s="30"/>
      <c r="AP576" s="30"/>
      <c r="AQ576" s="30"/>
      <c r="AR576" s="30"/>
      <c r="AS576" s="62"/>
      <c r="AT576" s="30"/>
      <c r="AU576" s="30"/>
      <c r="AV576" s="30"/>
      <c r="AW576" s="30">
        <v>18254524.75</v>
      </c>
      <c r="AX576" s="30">
        <v>0</v>
      </c>
      <c r="AY576" s="153"/>
      <c r="AZ576" s="153"/>
      <c r="BA576" s="148"/>
      <c r="BB576" s="149">
        <f t="shared" si="130"/>
        <v>1</v>
      </c>
    </row>
    <row r="577" spans="1:54" ht="15.75" hidden="1">
      <c r="A577" s="10">
        <f t="shared" si="136"/>
        <v>556</v>
      </c>
      <c r="B577" s="12">
        <f t="shared" si="137"/>
        <v>96</v>
      </c>
      <c r="C577" s="101" t="s">
        <v>185</v>
      </c>
      <c r="D577" s="101" t="s">
        <v>391</v>
      </c>
      <c r="E577" s="102">
        <v>1978</v>
      </c>
      <c r="F577" s="102">
        <v>2008</v>
      </c>
      <c r="G577" s="102" t="s">
        <v>3</v>
      </c>
      <c r="H577" s="102">
        <v>5</v>
      </c>
      <c r="I577" s="102">
        <v>4</v>
      </c>
      <c r="J577" s="62">
        <v>4929.7</v>
      </c>
      <c r="K577" s="62">
        <v>4335.1000000000004</v>
      </c>
      <c r="L577" s="62">
        <v>0</v>
      </c>
      <c r="M577" s="103">
        <v>213</v>
      </c>
      <c r="N577" s="28">
        <f t="shared" si="125"/>
        <v>3758914.15</v>
      </c>
      <c r="O577" s="62"/>
      <c r="P577" s="30">
        <f t="shared" si="126"/>
        <v>3132912.57</v>
      </c>
      <c r="Q577" s="154"/>
      <c r="R577" s="145">
        <v>3132912.57</v>
      </c>
      <c r="S577" s="30"/>
      <c r="T577" s="31"/>
      <c r="U577" s="31"/>
      <c r="V577" s="146">
        <f t="shared" ref="V577:V603" si="138">W577+X577</f>
        <v>431809.25</v>
      </c>
      <c r="W577" s="145">
        <v>431809.25</v>
      </c>
      <c r="X577" s="145"/>
      <c r="Y577" s="146">
        <f t="shared" si="128"/>
        <v>0</v>
      </c>
      <c r="Z577" s="145"/>
      <c r="AA577" s="145"/>
      <c r="AB577" s="146">
        <f t="shared" si="135"/>
        <v>194192.33</v>
      </c>
      <c r="AC577" s="147"/>
      <c r="AD577" s="145">
        <v>194192.33</v>
      </c>
      <c r="AE577" s="30">
        <v>5940.7446989091104</v>
      </c>
      <c r="AF577" s="30">
        <v>1279.2830200640001</v>
      </c>
      <c r="AG577" s="33">
        <v>2024</v>
      </c>
      <c r="AH577" s="18"/>
      <c r="AI577" s="5">
        <f>+(K577*11.55+L577*23.1)*12*0.85</f>
        <v>510718.13100000005</v>
      </c>
      <c r="AJ577" s="5">
        <f>+(K577*11.55+L577*23.1)*12*30-[3]Лист1!$AQ$284</f>
        <v>4588237.9800000042</v>
      </c>
      <c r="AK577" s="5">
        <f t="shared" si="129"/>
        <v>3758914.15</v>
      </c>
      <c r="AL577" s="146">
        <f t="shared" si="133"/>
        <v>0</v>
      </c>
      <c r="AM577" s="62">
        <v>0</v>
      </c>
      <c r="AN577" s="30"/>
      <c r="AO577" s="30">
        <v>3758914.15</v>
      </c>
      <c r="AP577" s="30"/>
      <c r="AQ577" s="30"/>
      <c r="AR577" s="30"/>
      <c r="AS577" s="62"/>
      <c r="AT577" s="30">
        <v>0</v>
      </c>
      <c r="AU577" s="30">
        <v>0</v>
      </c>
      <c r="AV577" s="30">
        <v>0</v>
      </c>
      <c r="AW577" s="30"/>
      <c r="AX577" s="30">
        <v>0</v>
      </c>
      <c r="AY577" s="30"/>
      <c r="AZ577" s="30"/>
      <c r="BA577" s="148"/>
      <c r="BB577" s="149">
        <f t="shared" si="130"/>
        <v>1</v>
      </c>
    </row>
    <row r="578" spans="1:54" ht="15.75" hidden="1">
      <c r="A578" s="10">
        <f t="shared" si="136"/>
        <v>557</v>
      </c>
      <c r="B578" s="12">
        <f t="shared" si="137"/>
        <v>97</v>
      </c>
      <c r="C578" s="101" t="s">
        <v>185</v>
      </c>
      <c r="D578" s="101" t="s">
        <v>394</v>
      </c>
      <c r="E578" s="102">
        <v>1999</v>
      </c>
      <c r="F578" s="102">
        <v>1999</v>
      </c>
      <c r="G578" s="102" t="s">
        <v>3</v>
      </c>
      <c r="H578" s="102">
        <v>9</v>
      </c>
      <c r="I578" s="102">
        <v>3</v>
      </c>
      <c r="J578" s="62">
        <v>8088.49</v>
      </c>
      <c r="K578" s="62">
        <v>6790.2</v>
      </c>
      <c r="L578" s="62">
        <v>225.6</v>
      </c>
      <c r="M578" s="103">
        <v>255</v>
      </c>
      <c r="N578" s="28">
        <f t="shared" si="125"/>
        <v>9000055.4399999995</v>
      </c>
      <c r="O578" s="62"/>
      <c r="P578" s="30">
        <f t="shared" si="126"/>
        <v>0</v>
      </c>
      <c r="Q578" s="143"/>
      <c r="R578" s="31"/>
      <c r="S578" s="30"/>
      <c r="T578" s="31"/>
      <c r="U578" s="31"/>
      <c r="V578" s="146">
        <f t="shared" si="138"/>
        <v>6336354.5</v>
      </c>
      <c r="W578" s="145">
        <v>5823828.5</v>
      </c>
      <c r="X578" s="145">
        <v>512526</v>
      </c>
      <c r="Y578" s="146">
        <f t="shared" si="128"/>
        <v>2663700.94</v>
      </c>
      <c r="Z578" s="145">
        <v>2663700.94</v>
      </c>
      <c r="AA578" s="145"/>
      <c r="AB578" s="146">
        <f t="shared" si="135"/>
        <v>0</v>
      </c>
      <c r="AC578" s="147"/>
      <c r="AD578" s="147"/>
      <c r="AE578" s="30">
        <v>1887.00627374746</v>
      </c>
      <c r="AF578" s="30">
        <v>1284.2830200640001</v>
      </c>
      <c r="AG578" s="33">
        <v>2024</v>
      </c>
      <c r="AH578" s="98">
        <v>5436842.7999999998</v>
      </c>
      <c r="AI578" s="5">
        <f>+(K578*13.95+L578*23.65)*12*0.85</f>
        <v>1020599.046</v>
      </c>
      <c r="AJ578" s="5">
        <f>+(K578*13.95+L578*23.65)*12*30</f>
        <v>36021142.799999997</v>
      </c>
      <c r="AK578" s="5">
        <f t="shared" si="129"/>
        <v>9000055.4399999995</v>
      </c>
      <c r="AL578" s="146">
        <f t="shared" si="133"/>
        <v>0</v>
      </c>
      <c r="AM578" s="62"/>
      <c r="AN578" s="30"/>
      <c r="AO578" s="30"/>
      <c r="AP578" s="30"/>
      <c r="AQ578" s="30"/>
      <c r="AR578" s="30"/>
      <c r="AS578" s="62"/>
      <c r="AT578" s="30">
        <v>8487529.4399999995</v>
      </c>
      <c r="AU578" s="30"/>
      <c r="AV578" s="30"/>
      <c r="AW578" s="30"/>
      <c r="AX578" s="30"/>
      <c r="AY578" s="30">
        <v>384394.5</v>
      </c>
      <c r="AZ578" s="30">
        <v>128131.5</v>
      </c>
      <c r="BA578" s="148"/>
      <c r="BB578" s="149">
        <f t="shared" si="130"/>
        <v>1</v>
      </c>
    </row>
    <row r="579" spans="1:54" ht="15.75" hidden="1" customHeight="1">
      <c r="A579" s="10">
        <f t="shared" si="136"/>
        <v>558</v>
      </c>
      <c r="B579" s="12">
        <f t="shared" si="137"/>
        <v>98</v>
      </c>
      <c r="C579" s="101" t="s">
        <v>185</v>
      </c>
      <c r="D579" s="101" t="s">
        <v>395</v>
      </c>
      <c r="E579" s="102">
        <v>1985</v>
      </c>
      <c r="F579" s="102">
        <v>2013</v>
      </c>
      <c r="G579" s="102" t="s">
        <v>3</v>
      </c>
      <c r="H579" s="102">
        <v>4</v>
      </c>
      <c r="I579" s="102">
        <v>3</v>
      </c>
      <c r="J579" s="62">
        <v>4161.1499999999996</v>
      </c>
      <c r="K579" s="62">
        <v>3740.02</v>
      </c>
      <c r="L579" s="62">
        <v>392.4</v>
      </c>
      <c r="M579" s="103">
        <v>277</v>
      </c>
      <c r="N579" s="28">
        <f t="shared" si="125"/>
        <v>3927657.8000000003</v>
      </c>
      <c r="O579" s="62"/>
      <c r="P579" s="30">
        <f t="shared" si="126"/>
        <v>0</v>
      </c>
      <c r="Q579" s="161"/>
      <c r="R579" s="31"/>
      <c r="S579" s="30"/>
      <c r="T579" s="31"/>
      <c r="U579" s="31"/>
      <c r="V579" s="146">
        <f t="shared" si="138"/>
        <v>533069.04</v>
      </c>
      <c r="W579" s="145">
        <v>533069.04</v>
      </c>
      <c r="X579" s="145"/>
      <c r="Y579" s="146">
        <f t="shared" si="128"/>
        <v>3313085.29</v>
      </c>
      <c r="Z579" s="145">
        <v>3313085.29</v>
      </c>
      <c r="AA579" s="145"/>
      <c r="AB579" s="146">
        <f t="shared" si="135"/>
        <v>81503.47</v>
      </c>
      <c r="AC579" s="145"/>
      <c r="AD579" s="160">
        <v>81503.47</v>
      </c>
      <c r="AE579" s="30">
        <v>1048.76236065234</v>
      </c>
      <c r="AF579" s="30">
        <v>1286.2830200640001</v>
      </c>
      <c r="AG579" s="33">
        <v>2024</v>
      </c>
      <c r="AH579" s="98"/>
      <c r="AI579" s="5">
        <f>+(K579*11.55+L579*23.1)*12*0.85</f>
        <v>533069.0442</v>
      </c>
      <c r="AJ579" s="5">
        <f>+(K579*11.55+L579*23.1)*12*30-[3]Лист1!$AQ$287</f>
        <v>15319091.240000002</v>
      </c>
      <c r="AK579" s="5">
        <f t="shared" si="129"/>
        <v>3927657.8000000003</v>
      </c>
      <c r="AL579" s="146">
        <f t="shared" si="133"/>
        <v>0</v>
      </c>
      <c r="AM579" s="62">
        <v>0</v>
      </c>
      <c r="AN579" s="30">
        <v>0</v>
      </c>
      <c r="AO579" s="30">
        <v>3927657.8</v>
      </c>
      <c r="AP579" s="30">
        <v>0</v>
      </c>
      <c r="AQ579" s="30">
        <v>0</v>
      </c>
      <c r="AR579" s="30"/>
      <c r="AS579" s="62"/>
      <c r="AT579" s="30">
        <v>0</v>
      </c>
      <c r="AU579" s="30">
        <v>0</v>
      </c>
      <c r="AV579" s="30">
        <v>0</v>
      </c>
      <c r="AW579" s="30"/>
      <c r="AX579" s="30">
        <v>0</v>
      </c>
      <c r="AY579" s="30"/>
      <c r="AZ579" s="30"/>
      <c r="BA579" s="148"/>
      <c r="BB579" s="149">
        <f t="shared" si="130"/>
        <v>1</v>
      </c>
    </row>
    <row r="580" spans="1:54" ht="15.75" hidden="1">
      <c r="A580" s="10">
        <f t="shared" si="136"/>
        <v>559</v>
      </c>
      <c r="B580" s="12">
        <f t="shared" si="137"/>
        <v>99</v>
      </c>
      <c r="C580" s="101" t="s">
        <v>185</v>
      </c>
      <c r="D580" s="101" t="s">
        <v>396</v>
      </c>
      <c r="E580" s="102">
        <v>1971</v>
      </c>
      <c r="F580" s="102">
        <v>2013</v>
      </c>
      <c r="G580" s="102" t="s">
        <v>3</v>
      </c>
      <c r="H580" s="102">
        <v>4</v>
      </c>
      <c r="I580" s="102">
        <v>3</v>
      </c>
      <c r="J580" s="62">
        <v>2008.51</v>
      </c>
      <c r="K580" s="62">
        <v>1482.45</v>
      </c>
      <c r="L580" s="62">
        <v>500.2</v>
      </c>
      <c r="M580" s="103">
        <v>57</v>
      </c>
      <c r="N580" s="28">
        <f t="shared" si="125"/>
        <v>2110595.0700000003</v>
      </c>
      <c r="O580" s="62"/>
      <c r="P580" s="30">
        <f t="shared" si="126"/>
        <v>0</v>
      </c>
      <c r="Q580" s="143"/>
      <c r="R580" s="31"/>
      <c r="S580" s="30"/>
      <c r="T580" s="31"/>
      <c r="U580" s="31"/>
      <c r="V580" s="146">
        <f t="shared" si="138"/>
        <v>1010758.29</v>
      </c>
      <c r="W580" s="145">
        <v>1010758.29</v>
      </c>
      <c r="X580" s="145"/>
      <c r="Y580" s="146">
        <f t="shared" si="128"/>
        <v>1099836.78</v>
      </c>
      <c r="Z580" s="145">
        <v>1099836.78</v>
      </c>
      <c r="AA580" s="145"/>
      <c r="AB580" s="146">
        <f t="shared" si="135"/>
        <v>0</v>
      </c>
      <c r="AC580" s="147"/>
      <c r="AD580" s="147"/>
      <c r="AE580" s="30">
        <v>3238.11375899723</v>
      </c>
      <c r="AF580" s="30">
        <v>1290.2830200640001</v>
      </c>
      <c r="AG580" s="33">
        <v>2024</v>
      </c>
      <c r="AH580" s="98">
        <v>1411566.35</v>
      </c>
      <c r="AI580" s="5">
        <f>+(K580*10.5+L580*21)*12*0.85</f>
        <v>265913.23499999999</v>
      </c>
      <c r="AJ580" s="5">
        <f>+(K580*10.5+L580*21)*12*30</f>
        <v>9385173</v>
      </c>
      <c r="AK580" s="5">
        <f t="shared" si="129"/>
        <v>2110595.0700000003</v>
      </c>
      <c r="AL580" s="146">
        <f t="shared" si="133"/>
        <v>0</v>
      </c>
      <c r="AM580" s="62">
        <v>0</v>
      </c>
      <c r="AN580" s="30">
        <v>1326516.44</v>
      </c>
      <c r="AO580" s="30">
        <v>0</v>
      </c>
      <c r="AP580" s="30">
        <v>784078.63</v>
      </c>
      <c r="AQ580" s="30"/>
      <c r="AR580" s="30"/>
      <c r="AS580" s="62"/>
      <c r="AT580" s="30">
        <v>0</v>
      </c>
      <c r="AU580" s="30">
        <v>0</v>
      </c>
      <c r="AV580" s="30">
        <v>0</v>
      </c>
      <c r="AW580" s="30">
        <v>0</v>
      </c>
      <c r="AX580" s="30">
        <v>0</v>
      </c>
      <c r="AY580" s="153"/>
      <c r="AZ580" s="153"/>
      <c r="BA580" s="148"/>
      <c r="BB580" s="149">
        <f t="shared" si="130"/>
        <v>2</v>
      </c>
    </row>
    <row r="581" spans="1:54" ht="15.75" hidden="1">
      <c r="A581" s="10">
        <f t="shared" si="136"/>
        <v>560</v>
      </c>
      <c r="B581" s="12">
        <f t="shared" si="137"/>
        <v>100</v>
      </c>
      <c r="C581" s="101" t="s">
        <v>185</v>
      </c>
      <c r="D581" s="101" t="s">
        <v>268</v>
      </c>
      <c r="E581" s="102">
        <v>1976</v>
      </c>
      <c r="F581" s="102">
        <v>2013</v>
      </c>
      <c r="G581" s="102" t="s">
        <v>3</v>
      </c>
      <c r="H581" s="102">
        <v>4</v>
      </c>
      <c r="I581" s="102">
        <v>6</v>
      </c>
      <c r="J581" s="62">
        <v>5727.3</v>
      </c>
      <c r="K581" s="62">
        <v>4928.1000000000004</v>
      </c>
      <c r="L581" s="62">
        <v>70.7</v>
      </c>
      <c r="M581" s="103">
        <v>234</v>
      </c>
      <c r="N581" s="28">
        <f t="shared" si="125"/>
        <v>3589996.38</v>
      </c>
      <c r="O581" s="62"/>
      <c r="P581" s="30">
        <f t="shared" si="126"/>
        <v>0</v>
      </c>
      <c r="Q581" s="143"/>
      <c r="R581" s="31"/>
      <c r="S581" s="30"/>
      <c r="T581" s="31"/>
      <c r="U581" s="31"/>
      <c r="V581" s="146">
        <f t="shared" si="138"/>
        <v>3066162.88</v>
      </c>
      <c r="W581" s="145">
        <v>3066162.88</v>
      </c>
      <c r="X581" s="145"/>
      <c r="Y581" s="146">
        <f t="shared" si="128"/>
        <v>523833.5</v>
      </c>
      <c r="Z581" s="145">
        <v>523833.5</v>
      </c>
      <c r="AA581" s="145"/>
      <c r="AB581" s="146">
        <f t="shared" si="135"/>
        <v>0</v>
      </c>
      <c r="AC581" s="147"/>
      <c r="AD581" s="147"/>
      <c r="AE581" s="30">
        <v>1061.7557322063301</v>
      </c>
      <c r="AF581" s="30">
        <v>1292.2830200640001</v>
      </c>
      <c r="AG581" s="33">
        <v>2024</v>
      </c>
      <c r="AH581" s="18"/>
      <c r="AI581" s="5">
        <f>+(K581*11.55+L581*23.1)*12*0.85</f>
        <v>597237.79500000004</v>
      </c>
      <c r="AJ581" s="5">
        <f>+(K581*11.55+L581*23.1)*12*30-[3]Лист1!$AQ$293</f>
        <v>16387303.910000004</v>
      </c>
      <c r="AK581" s="5">
        <f t="shared" si="129"/>
        <v>3589996.38</v>
      </c>
      <c r="AL581" s="146">
        <f t="shared" si="133"/>
        <v>0</v>
      </c>
      <c r="AM581" s="62">
        <v>0</v>
      </c>
      <c r="AN581" s="30">
        <v>0</v>
      </c>
      <c r="AO581" s="30">
        <v>3589996.38</v>
      </c>
      <c r="AP581" s="30">
        <v>0</v>
      </c>
      <c r="AQ581" s="30"/>
      <c r="AR581" s="30"/>
      <c r="AS581" s="62"/>
      <c r="AT581" s="30">
        <v>0</v>
      </c>
      <c r="AU581" s="30">
        <v>0</v>
      </c>
      <c r="AV581" s="30">
        <v>0</v>
      </c>
      <c r="AW581" s="30">
        <v>0</v>
      </c>
      <c r="AX581" s="30">
        <v>0</v>
      </c>
      <c r="AY581" s="30"/>
      <c r="AZ581" s="30"/>
      <c r="BA581" s="148"/>
      <c r="BB581" s="149">
        <f t="shared" si="130"/>
        <v>1</v>
      </c>
    </row>
    <row r="582" spans="1:54" s="142" customFormat="1" ht="15.75" hidden="1">
      <c r="A582" s="10">
        <f t="shared" si="136"/>
        <v>561</v>
      </c>
      <c r="B582" s="12">
        <f t="shared" si="137"/>
        <v>101</v>
      </c>
      <c r="C582" s="101" t="s">
        <v>185</v>
      </c>
      <c r="D582" s="101" t="s">
        <v>401</v>
      </c>
      <c r="E582" s="102" t="s">
        <v>388</v>
      </c>
      <c r="F582" s="102"/>
      <c r="G582" s="102" t="s">
        <v>3</v>
      </c>
      <c r="H582" s="102" t="s">
        <v>183</v>
      </c>
      <c r="I582" s="102" t="s">
        <v>183</v>
      </c>
      <c r="J582" s="62">
        <v>4032.8</v>
      </c>
      <c r="K582" s="62">
        <v>3458.5</v>
      </c>
      <c r="L582" s="62">
        <v>0</v>
      </c>
      <c r="M582" s="103">
        <v>157</v>
      </c>
      <c r="N582" s="28">
        <f t="shared" si="125"/>
        <v>15470261.280000001</v>
      </c>
      <c r="O582" s="62">
        <v>0</v>
      </c>
      <c r="P582" s="30">
        <f t="shared" si="126"/>
        <v>0</v>
      </c>
      <c r="Q582" s="160"/>
      <c r="R582" s="145"/>
      <c r="S582" s="30"/>
      <c r="T582" s="31"/>
      <c r="U582" s="31"/>
      <c r="V582" s="146">
        <f t="shared" si="138"/>
        <v>407445.89</v>
      </c>
      <c r="W582" s="145">
        <v>407445.89</v>
      </c>
      <c r="X582" s="145"/>
      <c r="Y582" s="146">
        <f t="shared" si="128"/>
        <v>10458746.960000001</v>
      </c>
      <c r="Z582" s="145">
        <v>10458746.960000001</v>
      </c>
      <c r="AA582" s="145"/>
      <c r="AB582" s="146">
        <f t="shared" si="135"/>
        <v>4604068.43</v>
      </c>
      <c r="AC582" s="147"/>
      <c r="AD582" s="160">
        <v>4604068.43</v>
      </c>
      <c r="AE582" s="62">
        <v>14851.7595489707</v>
      </c>
      <c r="AF582" s="62">
        <v>14851.7595489707</v>
      </c>
      <c r="AG582" s="33">
        <v>2024</v>
      </c>
      <c r="AI582" s="5">
        <f>+(K582*11.55+L582*23.1)*12*0.85</f>
        <v>407445.88500000001</v>
      </c>
      <c r="AJ582" s="5">
        <f>+(K582*11.55+L582*23.1)*12*30-[3]Лист1!$AQ$294</f>
        <v>10458746.970000003</v>
      </c>
      <c r="AK582" s="5">
        <f t="shared" si="129"/>
        <v>15470261.280000001</v>
      </c>
      <c r="AL582" s="146">
        <f t="shared" si="133"/>
        <v>0</v>
      </c>
      <c r="AM582" s="62"/>
      <c r="AN582" s="30">
        <v>2313900</v>
      </c>
      <c r="AO582" s="30"/>
      <c r="AP582" s="30"/>
      <c r="AQ582" s="30"/>
      <c r="AR582" s="30"/>
      <c r="AS582" s="62"/>
      <c r="AT582" s="30"/>
      <c r="AU582" s="30"/>
      <c r="AV582" s="30"/>
      <c r="AW582" s="30">
        <v>13156361.279999999</v>
      </c>
      <c r="AX582" s="30"/>
      <c r="AY582" s="153"/>
      <c r="AZ582" s="153"/>
      <c r="BA582" s="148"/>
      <c r="BB582" s="149">
        <f t="shared" si="130"/>
        <v>2</v>
      </c>
    </row>
    <row r="583" spans="1:54" ht="15.75" hidden="1">
      <c r="A583" s="10">
        <f t="shared" si="136"/>
        <v>562</v>
      </c>
      <c r="B583" s="12">
        <f t="shared" si="137"/>
        <v>102</v>
      </c>
      <c r="C583" s="101" t="s">
        <v>185</v>
      </c>
      <c r="D583" s="101" t="s">
        <v>403</v>
      </c>
      <c r="E583" s="102">
        <v>1990</v>
      </c>
      <c r="F583" s="102">
        <v>2013</v>
      </c>
      <c r="G583" s="102" t="s">
        <v>3</v>
      </c>
      <c r="H583" s="102">
        <v>9</v>
      </c>
      <c r="I583" s="102">
        <v>4</v>
      </c>
      <c r="J583" s="62">
        <v>10682.7</v>
      </c>
      <c r="K583" s="62">
        <v>8792</v>
      </c>
      <c r="L583" s="62">
        <v>69.3</v>
      </c>
      <c r="M583" s="103">
        <v>381</v>
      </c>
      <c r="N583" s="28">
        <f t="shared" si="125"/>
        <v>27303891.789999999</v>
      </c>
      <c r="O583" s="62"/>
      <c r="P583" s="30">
        <f t="shared" si="126"/>
        <v>0</v>
      </c>
      <c r="Q583" s="143"/>
      <c r="R583" s="31"/>
      <c r="S583" s="30"/>
      <c r="T583" s="31"/>
      <c r="U583" s="31"/>
      <c r="V583" s="146">
        <f t="shared" si="138"/>
        <v>4228777</v>
      </c>
      <c r="W583" s="145">
        <v>4228777</v>
      </c>
      <c r="X583" s="145"/>
      <c r="Y583" s="146">
        <f t="shared" si="128"/>
        <v>23075114.789999999</v>
      </c>
      <c r="Z583" s="145">
        <v>23075114.789999999</v>
      </c>
      <c r="AA583" s="145"/>
      <c r="AB583" s="146">
        <f t="shared" si="135"/>
        <v>0</v>
      </c>
      <c r="AC583" s="147"/>
      <c r="AD583" s="147"/>
      <c r="AE583" s="30">
        <v>4049.3907244039901</v>
      </c>
      <c r="AF583" s="30">
        <v>1293.2830200640001</v>
      </c>
      <c r="AG583" s="33">
        <v>2024</v>
      </c>
      <c r="AH583" s="1">
        <f>6652820.84-3483863.47</f>
        <v>3168957.3699999996</v>
      </c>
      <c r="AI583" s="5">
        <f>+(K583*13.95+L583*23.65)*12*0.85</f>
        <v>1267730.919</v>
      </c>
      <c r="AJ583" s="5">
        <f>+(K583*13.95+L583*23.65)*12*30-447549.13</f>
        <v>44295895.07</v>
      </c>
      <c r="AK583" s="5">
        <f t="shared" si="129"/>
        <v>27303891.789999999</v>
      </c>
      <c r="AL583" s="146">
        <f t="shared" si="133"/>
        <v>0</v>
      </c>
      <c r="AM583" s="62">
        <v>12255451.74</v>
      </c>
      <c r="AN583" s="30">
        <v>6547393.9699999997</v>
      </c>
      <c r="AO583" s="30">
        <v>4711465.01</v>
      </c>
      <c r="AP583" s="30">
        <v>3789581.07</v>
      </c>
      <c r="AQ583" s="30">
        <v>0</v>
      </c>
      <c r="AR583" s="30"/>
      <c r="AS583" s="62"/>
      <c r="AT583" s="30">
        <v>0</v>
      </c>
      <c r="AU583" s="30"/>
      <c r="AV583" s="30">
        <v>0</v>
      </c>
      <c r="AW583" s="30">
        <v>0</v>
      </c>
      <c r="AX583" s="30">
        <v>0</v>
      </c>
      <c r="AY583" s="30"/>
      <c r="AZ583" s="30"/>
      <c r="BA583" s="148"/>
      <c r="BB583" s="149">
        <f t="shared" si="130"/>
        <v>4</v>
      </c>
    </row>
    <row r="584" spans="1:54" ht="15.75" hidden="1">
      <c r="A584" s="10">
        <f t="shared" si="136"/>
        <v>563</v>
      </c>
      <c r="B584" s="12">
        <f t="shared" si="137"/>
        <v>103</v>
      </c>
      <c r="C584" s="101" t="s">
        <v>185</v>
      </c>
      <c r="D584" s="101" t="s">
        <v>407</v>
      </c>
      <c r="E584" s="102">
        <v>1994</v>
      </c>
      <c r="F584" s="102">
        <v>2013</v>
      </c>
      <c r="G584" s="102" t="s">
        <v>3</v>
      </c>
      <c r="H584" s="102">
        <v>9</v>
      </c>
      <c r="I584" s="102">
        <v>3</v>
      </c>
      <c r="J584" s="62">
        <v>8919.33</v>
      </c>
      <c r="K584" s="62">
        <v>6658.4</v>
      </c>
      <c r="L584" s="62">
        <v>0</v>
      </c>
      <c r="M584" s="103">
        <v>291</v>
      </c>
      <c r="N584" s="28">
        <f t="shared" si="125"/>
        <v>11106173.880000001</v>
      </c>
      <c r="O584" s="62"/>
      <c r="P584" s="30">
        <f t="shared" si="126"/>
        <v>0</v>
      </c>
      <c r="Q584" s="143"/>
      <c r="R584" s="31"/>
      <c r="S584" s="30"/>
      <c r="T584" s="31"/>
      <c r="U584" s="31"/>
      <c r="V584" s="146">
        <f t="shared" si="138"/>
        <v>1763359.8</v>
      </c>
      <c r="W584" s="145">
        <v>1763359.8</v>
      </c>
      <c r="X584" s="145"/>
      <c r="Y584" s="146">
        <f t="shared" si="128"/>
        <v>9342814.0800000001</v>
      </c>
      <c r="Z584" s="145">
        <v>9342814.0800000001</v>
      </c>
      <c r="AA584" s="145"/>
      <c r="AB584" s="146">
        <f t="shared" si="135"/>
        <v>0</v>
      </c>
      <c r="AC584" s="147"/>
      <c r="AD584" s="147"/>
      <c r="AE584" s="30">
        <v>2440.4521949080699</v>
      </c>
      <c r="AF584" s="30">
        <v>1294.2830200640001</v>
      </c>
      <c r="AG584" s="33">
        <v>2024</v>
      </c>
      <c r="AH584" s="1">
        <f>5247070.49-1910372.27-713296.71</f>
        <v>2623401.5100000002</v>
      </c>
      <c r="AI584" s="5">
        <f>+(K584*13.95+L584*23.65)*12*0.85</f>
        <v>947423.73599999992</v>
      </c>
      <c r="AJ584" s="5">
        <f>+(K584*13.95+L584*23.65)*12*30-3114194.79-7865381.35-93203.45</f>
        <v>22365705.209999997</v>
      </c>
      <c r="AK584" s="5">
        <f t="shared" si="129"/>
        <v>11106173.880000001</v>
      </c>
      <c r="AL584" s="146">
        <f t="shared" si="133"/>
        <v>0</v>
      </c>
      <c r="AM584" s="62">
        <v>0</v>
      </c>
      <c r="AN584" s="30">
        <v>0</v>
      </c>
      <c r="AO584" s="30">
        <v>0</v>
      </c>
      <c r="AP584" s="30">
        <v>0</v>
      </c>
      <c r="AQ584" s="30"/>
      <c r="AR584" s="30"/>
      <c r="AS584" s="62"/>
      <c r="AT584" s="30">
        <v>0</v>
      </c>
      <c r="AU584" s="30">
        <v>0</v>
      </c>
      <c r="AV584" s="30">
        <v>0</v>
      </c>
      <c r="AW584" s="30">
        <v>0</v>
      </c>
      <c r="AX584" s="30">
        <v>11106173.880000001</v>
      </c>
      <c r="AY584" s="153"/>
      <c r="AZ584" s="153"/>
      <c r="BA584" s="148"/>
      <c r="BB584" s="149">
        <f t="shared" si="130"/>
        <v>1</v>
      </c>
    </row>
    <row r="585" spans="1:54" ht="15.75" hidden="1">
      <c r="A585" s="10">
        <f t="shared" si="136"/>
        <v>564</v>
      </c>
      <c r="B585" s="12">
        <f t="shared" si="137"/>
        <v>104</v>
      </c>
      <c r="C585" s="101" t="s">
        <v>185</v>
      </c>
      <c r="D585" s="101" t="s">
        <v>409</v>
      </c>
      <c r="E585" s="102">
        <v>1999</v>
      </c>
      <c r="F585" s="102">
        <v>1999</v>
      </c>
      <c r="G585" s="102" t="s">
        <v>3</v>
      </c>
      <c r="H585" s="102">
        <v>9</v>
      </c>
      <c r="I585" s="102">
        <v>1</v>
      </c>
      <c r="J585" s="62">
        <v>2462.15</v>
      </c>
      <c r="K585" s="62">
        <v>2301</v>
      </c>
      <c r="L585" s="62">
        <v>0</v>
      </c>
      <c r="M585" s="103">
        <v>79</v>
      </c>
      <c r="N585" s="28">
        <f t="shared" si="125"/>
        <v>3000018.4699999997</v>
      </c>
      <c r="O585" s="62"/>
      <c r="P585" s="30">
        <f t="shared" si="126"/>
        <v>0</v>
      </c>
      <c r="Q585" s="143"/>
      <c r="R585" s="31"/>
      <c r="S585" s="30"/>
      <c r="T585" s="31"/>
      <c r="U585" s="31"/>
      <c r="V585" s="146">
        <f t="shared" si="138"/>
        <v>2017252.93</v>
      </c>
      <c r="W585" s="145">
        <v>1846410.93</v>
      </c>
      <c r="X585" s="145">
        <v>170842</v>
      </c>
      <c r="Y585" s="146">
        <f t="shared" si="128"/>
        <v>982765.54</v>
      </c>
      <c r="Z585" s="145">
        <v>982765.54</v>
      </c>
      <c r="AA585" s="145"/>
      <c r="AB585" s="146">
        <f t="shared" si="135"/>
        <v>0</v>
      </c>
      <c r="AC585" s="147"/>
      <c r="AD585" s="147"/>
      <c r="AE585" s="30">
        <v>1856.1712299000401</v>
      </c>
      <c r="AF585" s="30">
        <v>1295.2830200640001</v>
      </c>
      <c r="AG585" s="33">
        <v>2024</v>
      </c>
      <c r="AH585" s="98">
        <v>1728451.2</v>
      </c>
      <c r="AI585" s="5">
        <f>+(K585*13.95+L585*23.65)*12*0.85</f>
        <v>327409.28999999998</v>
      </c>
      <c r="AJ585" s="5">
        <f>+(K585*13.95+L585*23.65)*12*30</f>
        <v>11555621.999999998</v>
      </c>
      <c r="AK585" s="5">
        <f t="shared" si="129"/>
        <v>3000018.4699999997</v>
      </c>
      <c r="AL585" s="146">
        <f t="shared" si="133"/>
        <v>0</v>
      </c>
      <c r="AM585" s="62"/>
      <c r="AN585" s="30"/>
      <c r="AO585" s="30"/>
      <c r="AP585" s="30"/>
      <c r="AQ585" s="30"/>
      <c r="AR585" s="30"/>
      <c r="AS585" s="62"/>
      <c r="AT585" s="30">
        <v>2829176.47</v>
      </c>
      <c r="AU585" s="30"/>
      <c r="AV585" s="30"/>
      <c r="AW585" s="30"/>
      <c r="AX585" s="30"/>
      <c r="AY585" s="30">
        <v>128131.5</v>
      </c>
      <c r="AZ585" s="30">
        <v>42710.5</v>
      </c>
      <c r="BA585" s="148"/>
      <c r="BB585" s="149">
        <f t="shared" si="130"/>
        <v>1</v>
      </c>
    </row>
    <row r="586" spans="1:54" ht="15.75" hidden="1">
      <c r="A586" s="10">
        <f t="shared" si="136"/>
        <v>565</v>
      </c>
      <c r="B586" s="12">
        <f t="shared" si="137"/>
        <v>105</v>
      </c>
      <c r="C586" s="101" t="s">
        <v>185</v>
      </c>
      <c r="D586" s="101" t="s">
        <v>412</v>
      </c>
      <c r="E586" s="102">
        <v>1988</v>
      </c>
      <c r="F586" s="102">
        <v>2013</v>
      </c>
      <c r="G586" s="102" t="s">
        <v>3</v>
      </c>
      <c r="H586" s="102">
        <v>5</v>
      </c>
      <c r="I586" s="102">
        <v>4</v>
      </c>
      <c r="J586" s="62">
        <v>4850.3</v>
      </c>
      <c r="K586" s="62">
        <v>4289.6000000000004</v>
      </c>
      <c r="L586" s="62">
        <v>0</v>
      </c>
      <c r="M586" s="103">
        <v>199</v>
      </c>
      <c r="N586" s="28">
        <f t="shared" si="125"/>
        <v>5468480.3500000006</v>
      </c>
      <c r="O586" s="62"/>
      <c r="P586" s="30">
        <f t="shared" si="126"/>
        <v>0</v>
      </c>
      <c r="Q586" s="143"/>
      <c r="R586" s="31"/>
      <c r="S586" s="30"/>
      <c r="T586" s="31"/>
      <c r="U586" s="31"/>
      <c r="V586" s="146">
        <f t="shared" si="138"/>
        <v>2130145.27</v>
      </c>
      <c r="W586" s="145">
        <v>2130145.27</v>
      </c>
      <c r="X586" s="145"/>
      <c r="Y586" s="146">
        <f t="shared" si="128"/>
        <v>2791487.04</v>
      </c>
      <c r="Z586" s="144">
        <v>2791487.04</v>
      </c>
      <c r="AA586" s="144"/>
      <c r="AB586" s="146">
        <f t="shared" si="135"/>
        <v>546848.04</v>
      </c>
      <c r="AC586" s="147"/>
      <c r="AD586" s="145">
        <v>546848.04</v>
      </c>
      <c r="AE586" s="30">
        <v>933.16215807814206</v>
      </c>
      <c r="AF586" s="30">
        <v>933.16215807814206</v>
      </c>
      <c r="AG586" s="33">
        <v>2024</v>
      </c>
      <c r="AH586" s="1">
        <v>1652200.35</v>
      </c>
      <c r="AI586" s="5">
        <f>+(K586*11.55+L586*23.1)*12*0.85</f>
        <v>505357.77600000001</v>
      </c>
      <c r="AJ586" s="5">
        <f>+(K586*11.55+L586*23.1)*12*30</f>
        <v>17836156.800000001</v>
      </c>
      <c r="AK586" s="5">
        <f t="shared" si="129"/>
        <v>5468480.3500000006</v>
      </c>
      <c r="AL586" s="146">
        <f t="shared" si="133"/>
        <v>0</v>
      </c>
      <c r="AM586" s="62">
        <v>0</v>
      </c>
      <c r="AN586" s="30">
        <v>0</v>
      </c>
      <c r="AO586" s="30">
        <v>0</v>
      </c>
      <c r="AP586" s="30">
        <v>0</v>
      </c>
      <c r="AQ586" s="30">
        <v>0</v>
      </c>
      <c r="AR586" s="30"/>
      <c r="AS586" s="62"/>
      <c r="AT586" s="30">
        <v>0</v>
      </c>
      <c r="AU586" s="30">
        <v>5468480.3499999996</v>
      </c>
      <c r="AV586" s="30">
        <v>0</v>
      </c>
      <c r="AW586" s="30">
        <v>0</v>
      </c>
      <c r="AX586" s="30">
        <v>0</v>
      </c>
      <c r="AY586" s="153"/>
      <c r="AZ586" s="153"/>
      <c r="BA586" s="148"/>
      <c r="BB586" s="149">
        <f t="shared" si="130"/>
        <v>1</v>
      </c>
    </row>
    <row r="587" spans="1:54" ht="15.75" hidden="1">
      <c r="A587" s="10">
        <f t="shared" si="136"/>
        <v>566</v>
      </c>
      <c r="B587" s="12">
        <f t="shared" si="137"/>
        <v>106</v>
      </c>
      <c r="C587" s="101" t="s">
        <v>185</v>
      </c>
      <c r="D587" s="101" t="s">
        <v>414</v>
      </c>
      <c r="E587" s="102">
        <v>1974</v>
      </c>
      <c r="F587" s="102">
        <v>2013</v>
      </c>
      <c r="G587" s="102" t="s">
        <v>3</v>
      </c>
      <c r="H587" s="102">
        <v>4</v>
      </c>
      <c r="I587" s="102">
        <v>8</v>
      </c>
      <c r="J587" s="62">
        <v>5449.8</v>
      </c>
      <c r="K587" s="62">
        <v>4938.7</v>
      </c>
      <c r="L587" s="62">
        <v>0</v>
      </c>
      <c r="M587" s="103">
        <v>212</v>
      </c>
      <c r="N587" s="28">
        <f t="shared" si="125"/>
        <v>22487242.770000003</v>
      </c>
      <c r="O587" s="62"/>
      <c r="P587" s="30">
        <f t="shared" si="126"/>
        <v>16013464.359999999</v>
      </c>
      <c r="Q587" s="160">
        <f>1207147.02-364489.51</f>
        <v>842657.51</v>
      </c>
      <c r="R587" s="145">
        <v>15170806.85</v>
      </c>
      <c r="S587" s="30"/>
      <c r="T587" s="31"/>
      <c r="U587" s="31"/>
      <c r="V587" s="146">
        <f t="shared" si="138"/>
        <v>1018492.8</v>
      </c>
      <c r="W587" s="145">
        <v>1018492.8</v>
      </c>
      <c r="X587" s="145"/>
      <c r="Y587" s="146">
        <f t="shared" si="128"/>
        <v>2127659.7599999998</v>
      </c>
      <c r="Z587" s="144">
        <v>2127659.7599999998</v>
      </c>
      <c r="AA587" s="144"/>
      <c r="AB587" s="146">
        <f t="shared" si="135"/>
        <v>3327625.8499999996</v>
      </c>
      <c r="AC587" s="145"/>
      <c r="AD587" s="160">
        <f>2963136.34+364489.51</f>
        <v>3327625.8499999996</v>
      </c>
      <c r="AE587" s="62">
        <v>807.07077911679198</v>
      </c>
      <c r="AF587" s="62">
        <v>807.07077911679198</v>
      </c>
      <c r="AG587" s="33">
        <v>2024</v>
      </c>
      <c r="AH587" s="18"/>
      <c r="AI587" s="5">
        <f>+(K587*11.55+L587*23.1)*12*0.85</f>
        <v>581828.24700000009</v>
      </c>
      <c r="AJ587" s="5">
        <f>+(K587*11.55+L587*23.1)*12*30-[3]Лист1!$AQ$302</f>
        <v>3136741.8200000003</v>
      </c>
      <c r="AK587" s="5">
        <f t="shared" si="129"/>
        <v>22487242.770000003</v>
      </c>
      <c r="AL587" s="146">
        <f t="shared" si="133"/>
        <v>0</v>
      </c>
      <c r="AM587" s="62"/>
      <c r="AN587" s="30">
        <v>3495031.17</v>
      </c>
      <c r="AO587" s="30"/>
      <c r="AP587" s="30"/>
      <c r="AQ587" s="30">
        <v>2528349.6</v>
      </c>
      <c r="AR587" s="30"/>
      <c r="AS587" s="62"/>
      <c r="AT587" s="30"/>
      <c r="AU587" s="30"/>
      <c r="AV587" s="30"/>
      <c r="AW587" s="30">
        <v>16463862</v>
      </c>
      <c r="AX587" s="30"/>
      <c r="AY587" s="153"/>
      <c r="AZ587" s="153"/>
      <c r="BA587" s="156"/>
      <c r="BB587" s="149">
        <f t="shared" si="130"/>
        <v>3</v>
      </c>
    </row>
    <row r="588" spans="1:54" ht="15.75" hidden="1">
      <c r="A588" s="10">
        <f t="shared" si="136"/>
        <v>567</v>
      </c>
      <c r="B588" s="12">
        <f t="shared" si="137"/>
        <v>107</v>
      </c>
      <c r="C588" s="101" t="s">
        <v>185</v>
      </c>
      <c r="D588" s="101" t="s">
        <v>417</v>
      </c>
      <c r="E588" s="102">
        <v>1976</v>
      </c>
      <c r="F588" s="102">
        <v>2013</v>
      </c>
      <c r="G588" s="102" t="s">
        <v>3</v>
      </c>
      <c r="H588" s="102">
        <v>5</v>
      </c>
      <c r="I588" s="102">
        <v>4</v>
      </c>
      <c r="J588" s="62">
        <v>3698.5</v>
      </c>
      <c r="K588" s="62">
        <v>3331.4</v>
      </c>
      <c r="L588" s="62">
        <v>142.19999999999999</v>
      </c>
      <c r="M588" s="103">
        <v>143</v>
      </c>
      <c r="N588" s="28">
        <f t="shared" si="125"/>
        <v>16798854</v>
      </c>
      <c r="O588" s="62"/>
      <c r="P588" s="30">
        <f t="shared" si="126"/>
        <v>4266205.82</v>
      </c>
      <c r="Q588" s="152">
        <v>4266205.82</v>
      </c>
      <c r="R588" s="145"/>
      <c r="S588" s="30"/>
      <c r="T588" s="31"/>
      <c r="U588" s="31"/>
      <c r="V588" s="146">
        <f t="shared" si="138"/>
        <v>360616.8</v>
      </c>
      <c r="W588" s="145">
        <v>360616.8</v>
      </c>
      <c r="X588" s="145"/>
      <c r="Y588" s="146">
        <f t="shared" si="128"/>
        <v>10492145.890000001</v>
      </c>
      <c r="Z588" s="145">
        <v>10492145.890000001</v>
      </c>
      <c r="AA588" s="145"/>
      <c r="AB588" s="146">
        <f t="shared" si="135"/>
        <v>1679885.49</v>
      </c>
      <c r="AC588" s="147"/>
      <c r="AD588" s="145">
        <v>1679885.49</v>
      </c>
      <c r="AE588" s="62">
        <v>5311.6250082916004</v>
      </c>
      <c r="AF588" s="62">
        <v>5311.6250082916004</v>
      </c>
      <c r="AG588" s="33">
        <v>2024</v>
      </c>
      <c r="AH588" s="18">
        <f>1714139.94-279174.44-139587.22-V276</f>
        <v>1202880.77</v>
      </c>
      <c r="AI588" s="5">
        <f>+(K588*11.55+L588*23.1)*12*0.85</f>
        <v>425977.39800000004</v>
      </c>
      <c r="AJ588" s="5">
        <f>+(K588*11.55+L588*23.1)*12*30</f>
        <v>15034496.400000002</v>
      </c>
      <c r="AK588" s="5">
        <f t="shared" si="129"/>
        <v>16798854</v>
      </c>
      <c r="AL588" s="146">
        <f t="shared" si="133"/>
        <v>0</v>
      </c>
      <c r="AM588" s="62"/>
      <c r="AN588" s="30"/>
      <c r="AO588" s="30">
        <v>0</v>
      </c>
      <c r="AP588" s="30">
        <v>0</v>
      </c>
      <c r="AQ588" s="30"/>
      <c r="AR588" s="30"/>
      <c r="AS588" s="62"/>
      <c r="AT588" s="30">
        <v>0</v>
      </c>
      <c r="AU588" s="30">
        <v>16798854</v>
      </c>
      <c r="AV588" s="30">
        <v>0</v>
      </c>
      <c r="AW588" s="30">
        <v>0</v>
      </c>
      <c r="AX588" s="30">
        <v>0</v>
      </c>
      <c r="AY588" s="30"/>
      <c r="AZ588" s="30"/>
      <c r="BA588" s="148"/>
      <c r="BB588" s="149">
        <f t="shared" si="130"/>
        <v>1</v>
      </c>
    </row>
    <row r="589" spans="1:54" ht="15.75" hidden="1">
      <c r="A589" s="10">
        <f t="shared" si="136"/>
        <v>568</v>
      </c>
      <c r="B589" s="12">
        <f t="shared" si="137"/>
        <v>108</v>
      </c>
      <c r="C589" s="12" t="s">
        <v>185</v>
      </c>
      <c r="D589" s="12" t="s">
        <v>419</v>
      </c>
      <c r="E589" s="120" t="s">
        <v>420</v>
      </c>
      <c r="F589" s="120">
        <v>2011</v>
      </c>
      <c r="G589" s="120" t="s">
        <v>3</v>
      </c>
      <c r="H589" s="120">
        <v>4</v>
      </c>
      <c r="I589" s="120">
        <v>4</v>
      </c>
      <c r="J589" s="30">
        <v>2994.2</v>
      </c>
      <c r="K589" s="30">
        <v>2607.6</v>
      </c>
      <c r="L589" s="30">
        <v>383.9</v>
      </c>
      <c r="M589" s="121">
        <v>101</v>
      </c>
      <c r="N589" s="28">
        <f t="shared" si="125"/>
        <v>5870908.0300000003</v>
      </c>
      <c r="O589" s="30"/>
      <c r="P589" s="30">
        <f t="shared" si="126"/>
        <v>0</v>
      </c>
      <c r="Q589" s="143"/>
      <c r="R589" s="31"/>
      <c r="S589" s="30"/>
      <c r="T589" s="31"/>
      <c r="U589" s="31"/>
      <c r="V589" s="146">
        <f t="shared" si="138"/>
        <v>361505.34</v>
      </c>
      <c r="W589" s="145">
        <v>361505.34</v>
      </c>
      <c r="X589" s="145"/>
      <c r="Y589" s="146">
        <f t="shared" si="128"/>
        <v>5509402.6900000004</v>
      </c>
      <c r="Z589" s="145">
        <v>5509402.6900000004</v>
      </c>
      <c r="AA589" s="145"/>
      <c r="AB589" s="146">
        <f t="shared" ref="AB589:AB620" si="139">AC589+AD589</f>
        <v>0</v>
      </c>
      <c r="AC589" s="147"/>
      <c r="AD589" s="147"/>
      <c r="AE589" s="30">
        <v>4892.67</v>
      </c>
      <c r="AF589" s="30">
        <v>4892.67</v>
      </c>
      <c r="AG589" s="33">
        <v>2024</v>
      </c>
      <c r="AH589" s="18">
        <v>2558549.2999999998</v>
      </c>
      <c r="AI589" s="5">
        <f>+(K589*10.5+L589*21)*12*0.85</f>
        <v>361505.33999999997</v>
      </c>
      <c r="AJ589" s="5">
        <f>+(K589*11.55+L589*23.1)*12*30</f>
        <v>14034913.200000001</v>
      </c>
      <c r="AK589" s="5">
        <f t="shared" si="129"/>
        <v>5870908.0300000003</v>
      </c>
      <c r="AL589" s="146">
        <f t="shared" si="133"/>
        <v>0</v>
      </c>
      <c r="AM589" s="62"/>
      <c r="AN589" s="30"/>
      <c r="AO589" s="30"/>
      <c r="AP589" s="30"/>
      <c r="AQ589" s="30"/>
      <c r="AR589" s="30"/>
      <c r="AS589" s="62"/>
      <c r="AT589" s="30"/>
      <c r="AU589" s="30"/>
      <c r="AV589" s="30"/>
      <c r="AW589" s="30">
        <v>5870908.0300000003</v>
      </c>
      <c r="AX589" s="30"/>
      <c r="AY589" s="30"/>
      <c r="AZ589" s="30"/>
      <c r="BA589" s="148"/>
      <c r="BB589" s="149">
        <f t="shared" si="130"/>
        <v>1</v>
      </c>
    </row>
    <row r="590" spans="1:54" ht="15.75" hidden="1">
      <c r="A590" s="10">
        <f t="shared" si="136"/>
        <v>569</v>
      </c>
      <c r="B590" s="12">
        <f t="shared" si="137"/>
        <v>109</v>
      </c>
      <c r="C590" s="12" t="s">
        <v>185</v>
      </c>
      <c r="D590" s="12" t="s">
        <v>422</v>
      </c>
      <c r="E590" s="120">
        <v>1977</v>
      </c>
      <c r="F590" s="120">
        <v>2016</v>
      </c>
      <c r="G590" s="120" t="s">
        <v>3</v>
      </c>
      <c r="H590" s="120">
        <v>4</v>
      </c>
      <c r="I590" s="120">
        <v>3</v>
      </c>
      <c r="J590" s="30">
        <v>4282.03</v>
      </c>
      <c r="K590" s="30">
        <v>3649.25</v>
      </c>
      <c r="L590" s="30">
        <v>274</v>
      </c>
      <c r="M590" s="121">
        <v>288</v>
      </c>
      <c r="N590" s="28">
        <f t="shared" si="125"/>
        <v>27284187.030000001</v>
      </c>
      <c r="O590" s="30"/>
      <c r="P590" s="30">
        <f t="shared" si="126"/>
        <v>10747050.9</v>
      </c>
      <c r="Q590" s="152">
        <v>9147198.6699999999</v>
      </c>
      <c r="R590" s="145">
        <v>1599852.23</v>
      </c>
      <c r="S590" s="30"/>
      <c r="T590" s="31"/>
      <c r="U590" s="31"/>
      <c r="V590" s="146">
        <f t="shared" si="138"/>
        <v>0</v>
      </c>
      <c r="W590" s="145"/>
      <c r="X590" s="145"/>
      <c r="Y590" s="146">
        <f t="shared" si="128"/>
        <v>13734445.02</v>
      </c>
      <c r="Z590" s="145">
        <v>13734445.02</v>
      </c>
      <c r="AA590" s="145"/>
      <c r="AB590" s="146">
        <f t="shared" si="139"/>
        <v>2802691.11</v>
      </c>
      <c r="AC590" s="147"/>
      <c r="AD590" s="145">
        <v>2802691.11</v>
      </c>
      <c r="AE590" s="30">
        <v>11469.058696030799</v>
      </c>
      <c r="AF590" s="30">
        <v>11469.058696030799</v>
      </c>
      <c r="AG590" s="33">
        <v>2024</v>
      </c>
      <c r="AH590" s="18"/>
      <c r="AI590" s="5">
        <f>+(K590*11.55+L590*23.1)*12*0.85</f>
        <v>494478.02250000008</v>
      </c>
      <c r="AJ590" s="5">
        <f>+(K590*11.55+L590*23.1)*12*30-[3]Лист1!$AQ$306</f>
        <v>14850249.260000004</v>
      </c>
      <c r="AK590" s="5">
        <f t="shared" si="129"/>
        <v>27284187.030000001</v>
      </c>
      <c r="AL590" s="146">
        <f t="shared" si="133"/>
        <v>0</v>
      </c>
      <c r="AM590" s="62">
        <v>8615558.6199999992</v>
      </c>
      <c r="AN590" s="30">
        <v>0</v>
      </c>
      <c r="AO590" s="30">
        <v>4047440.7</v>
      </c>
      <c r="AP590" s="30">
        <v>0</v>
      </c>
      <c r="AQ590" s="30">
        <v>0</v>
      </c>
      <c r="AR590" s="30"/>
      <c r="AS590" s="62">
        <v>0</v>
      </c>
      <c r="AT590" s="30">
        <v>0</v>
      </c>
      <c r="AU590" s="30">
        <v>0</v>
      </c>
      <c r="AV590" s="30">
        <v>0</v>
      </c>
      <c r="AW590" s="30">
        <v>14621187.710000001</v>
      </c>
      <c r="AX590" s="30">
        <v>0</v>
      </c>
      <c r="AY590" s="30"/>
      <c r="AZ590" s="30"/>
      <c r="BA590" s="148"/>
      <c r="BB590" s="149">
        <f t="shared" si="130"/>
        <v>3</v>
      </c>
    </row>
    <row r="591" spans="1:54" ht="15.75" hidden="1">
      <c r="A591" s="10">
        <f t="shared" si="136"/>
        <v>570</v>
      </c>
      <c r="B591" s="12">
        <f t="shared" si="137"/>
        <v>110</v>
      </c>
      <c r="C591" s="12" t="s">
        <v>185</v>
      </c>
      <c r="D591" s="12" t="s">
        <v>275</v>
      </c>
      <c r="E591" s="120" t="s">
        <v>420</v>
      </c>
      <c r="F591" s="120"/>
      <c r="G591" s="120" t="s">
        <v>3</v>
      </c>
      <c r="H591" s="120">
        <v>4</v>
      </c>
      <c r="I591" s="120">
        <v>2</v>
      </c>
      <c r="J591" s="30">
        <v>1305.4000000000001</v>
      </c>
      <c r="K591" s="30">
        <v>1212.2</v>
      </c>
      <c r="L591" s="30">
        <v>0</v>
      </c>
      <c r="M591" s="121">
        <v>60</v>
      </c>
      <c r="N591" s="28">
        <f t="shared" si="125"/>
        <v>7025505.1699999999</v>
      </c>
      <c r="O591" s="30"/>
      <c r="P591" s="30">
        <f t="shared" si="126"/>
        <v>3243348.94</v>
      </c>
      <c r="Q591" s="152">
        <v>1718149.51</v>
      </c>
      <c r="R591" s="145">
        <v>1525199.43</v>
      </c>
      <c r="S591" s="30"/>
      <c r="T591" s="31"/>
      <c r="U591" s="31"/>
      <c r="V591" s="146">
        <f t="shared" si="138"/>
        <v>129826.62</v>
      </c>
      <c r="W591" s="145">
        <v>129826.62</v>
      </c>
      <c r="X591" s="145"/>
      <c r="Y591" s="146">
        <f t="shared" si="128"/>
        <v>2901309.37</v>
      </c>
      <c r="Z591" s="145">
        <v>2901309.37</v>
      </c>
      <c r="AA591" s="145"/>
      <c r="AB591" s="146">
        <f t="shared" si="139"/>
        <v>751020.24</v>
      </c>
      <c r="AC591" s="147"/>
      <c r="AD591" s="145">
        <v>751020.24</v>
      </c>
      <c r="AE591" s="30">
        <v>4892.67</v>
      </c>
      <c r="AF591" s="30">
        <v>4892.67</v>
      </c>
      <c r="AG591" s="33">
        <v>2024</v>
      </c>
      <c r="AH591" s="18">
        <v>909150.67</v>
      </c>
      <c r="AI591" s="5">
        <f>+(K591*10.5+L591*21)*12*0.85</f>
        <v>129826.62000000001</v>
      </c>
      <c r="AJ591" s="5">
        <f>+(K591*11.55+L591*23.1)*12*30</f>
        <v>5040327.6000000006</v>
      </c>
      <c r="AK591" s="5">
        <f t="shared" si="129"/>
        <v>7025505.1699999999</v>
      </c>
      <c r="AL591" s="146">
        <f t="shared" si="133"/>
        <v>0</v>
      </c>
      <c r="AM591" s="62"/>
      <c r="AN591" s="30"/>
      <c r="AO591" s="30"/>
      <c r="AP591" s="30"/>
      <c r="AQ591" s="30"/>
      <c r="AR591" s="30"/>
      <c r="AS591" s="62"/>
      <c r="AT591" s="30"/>
      <c r="AU591" s="30"/>
      <c r="AV591" s="30"/>
      <c r="AW591" s="30">
        <v>7025505.1699999999</v>
      </c>
      <c r="AX591" s="30"/>
      <c r="AY591" s="30"/>
      <c r="AZ591" s="30"/>
      <c r="BA591" s="148"/>
      <c r="BB591" s="149">
        <f t="shared" si="130"/>
        <v>1</v>
      </c>
    </row>
    <row r="592" spans="1:54" ht="15.75" hidden="1">
      <c r="A592" s="10">
        <f t="shared" si="136"/>
        <v>571</v>
      </c>
      <c r="B592" s="12">
        <f t="shared" si="137"/>
        <v>111</v>
      </c>
      <c r="C592" s="12" t="s">
        <v>185</v>
      </c>
      <c r="D592" s="12" t="s">
        <v>426</v>
      </c>
      <c r="E592" s="120">
        <v>1988</v>
      </c>
      <c r="F592" s="120">
        <v>2013</v>
      </c>
      <c r="G592" s="120" t="s">
        <v>3</v>
      </c>
      <c r="H592" s="120">
        <v>3</v>
      </c>
      <c r="I592" s="120">
        <v>3</v>
      </c>
      <c r="J592" s="30">
        <v>1440</v>
      </c>
      <c r="K592" s="30">
        <v>1362.6</v>
      </c>
      <c r="L592" s="30">
        <v>0</v>
      </c>
      <c r="M592" s="121">
        <v>55</v>
      </c>
      <c r="N592" s="28">
        <f t="shared" si="125"/>
        <v>4057060.33</v>
      </c>
      <c r="O592" s="30"/>
      <c r="P592" s="30">
        <f t="shared" si="126"/>
        <v>0</v>
      </c>
      <c r="Q592" s="143"/>
      <c r="R592" s="31"/>
      <c r="S592" s="30"/>
      <c r="T592" s="31"/>
      <c r="U592" s="31"/>
      <c r="V592" s="146">
        <f t="shared" si="138"/>
        <v>548144.62</v>
      </c>
      <c r="W592" s="145">
        <v>548144.62</v>
      </c>
      <c r="X592" s="145"/>
      <c r="Y592" s="146">
        <f t="shared" si="128"/>
        <v>3508915.71</v>
      </c>
      <c r="Z592" s="145">
        <v>3508915.71</v>
      </c>
      <c r="AA592" s="145"/>
      <c r="AB592" s="146">
        <f t="shared" si="139"/>
        <v>0</v>
      </c>
      <c r="AC592" s="147"/>
      <c r="AD592" s="147"/>
      <c r="AE592" s="30">
        <v>9625.1632184527898</v>
      </c>
      <c r="AF592" s="30">
        <v>1301.2830200640001</v>
      </c>
      <c r="AG592" s="33">
        <v>2024</v>
      </c>
      <c r="AH592" s="98">
        <v>737152.83</v>
      </c>
      <c r="AI592" s="5">
        <f>+(K592*10.5+L592*21)*12*0.85</f>
        <v>145934.45999999996</v>
      </c>
      <c r="AJ592" s="5">
        <f>+(K592*11.55+L592*23.1)*12*30</f>
        <v>5665690.8000000007</v>
      </c>
      <c r="AK592" s="5">
        <f t="shared" si="129"/>
        <v>4057060.33</v>
      </c>
      <c r="AL592" s="146">
        <f t="shared" si="133"/>
        <v>0</v>
      </c>
      <c r="AM592" s="62">
        <v>3164600.94</v>
      </c>
      <c r="AN592" s="30"/>
      <c r="AO592" s="30">
        <v>892459.39</v>
      </c>
      <c r="AP592" s="30"/>
      <c r="AQ592" s="30"/>
      <c r="AR592" s="30"/>
      <c r="AS592" s="62"/>
      <c r="AT592" s="30">
        <v>0</v>
      </c>
      <c r="AU592" s="30"/>
      <c r="AV592" s="30">
        <v>0</v>
      </c>
      <c r="AW592" s="30">
        <v>0</v>
      </c>
      <c r="AX592" s="30">
        <v>0</v>
      </c>
      <c r="AY592" s="153"/>
      <c r="AZ592" s="153"/>
      <c r="BA592" s="148"/>
      <c r="BB592" s="149">
        <f t="shared" si="130"/>
        <v>2</v>
      </c>
    </row>
    <row r="593" spans="1:54" ht="15.75" hidden="1">
      <c r="A593" s="10">
        <f t="shared" si="136"/>
        <v>572</v>
      </c>
      <c r="B593" s="12">
        <f t="shared" si="137"/>
        <v>112</v>
      </c>
      <c r="C593" s="12" t="s">
        <v>185</v>
      </c>
      <c r="D593" s="12" t="s">
        <v>428</v>
      </c>
      <c r="E593" s="120">
        <v>1989</v>
      </c>
      <c r="F593" s="120">
        <v>2013</v>
      </c>
      <c r="G593" s="120" t="s">
        <v>3</v>
      </c>
      <c r="H593" s="120">
        <v>3</v>
      </c>
      <c r="I593" s="120">
        <v>3</v>
      </c>
      <c r="J593" s="30">
        <v>1505.9</v>
      </c>
      <c r="K593" s="30">
        <v>1326.7</v>
      </c>
      <c r="L593" s="30">
        <v>0</v>
      </c>
      <c r="M593" s="121">
        <v>75</v>
      </c>
      <c r="N593" s="28">
        <f t="shared" si="125"/>
        <v>6621085.3599999994</v>
      </c>
      <c r="O593" s="30"/>
      <c r="P593" s="30">
        <f t="shared" si="126"/>
        <v>2206663.59</v>
      </c>
      <c r="Q593" s="152">
        <v>2206663.59</v>
      </c>
      <c r="R593" s="145"/>
      <c r="S593" s="30"/>
      <c r="T593" s="31"/>
      <c r="U593" s="31"/>
      <c r="V593" s="146">
        <f t="shared" si="138"/>
        <v>802931.46</v>
      </c>
      <c r="W593" s="145">
        <v>802931.46</v>
      </c>
      <c r="X593" s="145"/>
      <c r="Y593" s="146">
        <f t="shared" si="128"/>
        <v>3611490.31</v>
      </c>
      <c r="Z593" s="145">
        <v>3611490.31</v>
      </c>
      <c r="AA593" s="145"/>
      <c r="AB593" s="146">
        <f t="shared" si="139"/>
        <v>0</v>
      </c>
      <c r="AC593" s="147"/>
      <c r="AD593" s="147"/>
      <c r="AE593" s="30">
        <v>7303.10988934951</v>
      </c>
      <c r="AF593" s="30">
        <v>1302.2830200640001</v>
      </c>
      <c r="AG593" s="33">
        <v>2024</v>
      </c>
      <c r="AH593" s="98">
        <v>797138.46</v>
      </c>
      <c r="AI593" s="5">
        <f>+(K593*10.5+L593*21)*12*0.85</f>
        <v>142089.57</v>
      </c>
      <c r="AJ593" s="5">
        <f>+(K593*11.55+L593*23.1)*12*30</f>
        <v>5516418.6000000006</v>
      </c>
      <c r="AK593" s="5">
        <f t="shared" si="129"/>
        <v>6621085.3599999994</v>
      </c>
      <c r="AL593" s="146">
        <f t="shared" si="133"/>
        <v>0</v>
      </c>
      <c r="AM593" s="62">
        <v>0</v>
      </c>
      <c r="AN593" s="30">
        <v>0</v>
      </c>
      <c r="AO593" s="30">
        <v>0</v>
      </c>
      <c r="AP593" s="30">
        <v>0</v>
      </c>
      <c r="AQ593" s="30">
        <v>0</v>
      </c>
      <c r="AR593" s="30"/>
      <c r="AS593" s="62"/>
      <c r="AT593" s="30">
        <v>0</v>
      </c>
      <c r="AU593" s="30">
        <v>0</v>
      </c>
      <c r="AV593" s="30">
        <v>0</v>
      </c>
      <c r="AW593" s="30">
        <v>0</v>
      </c>
      <c r="AX593" s="30">
        <v>6621085.3600000003</v>
      </c>
      <c r="AY593" s="30"/>
      <c r="AZ593" s="30"/>
      <c r="BA593" s="148"/>
      <c r="BB593" s="149">
        <f t="shared" si="130"/>
        <v>1</v>
      </c>
    </row>
    <row r="594" spans="1:54" ht="15.75" hidden="1">
      <c r="A594" s="10">
        <f t="shared" si="136"/>
        <v>573</v>
      </c>
      <c r="B594" s="12">
        <f t="shared" si="137"/>
        <v>113</v>
      </c>
      <c r="C594" s="12" t="s">
        <v>185</v>
      </c>
      <c r="D594" s="12" t="s">
        <v>430</v>
      </c>
      <c r="E594" s="120">
        <v>1979</v>
      </c>
      <c r="F594" s="120">
        <v>2008</v>
      </c>
      <c r="G594" s="120" t="s">
        <v>3</v>
      </c>
      <c r="H594" s="120">
        <v>4</v>
      </c>
      <c r="I594" s="120">
        <v>1</v>
      </c>
      <c r="J594" s="30">
        <v>4953.1000000000004</v>
      </c>
      <c r="K594" s="30">
        <v>4344.8</v>
      </c>
      <c r="L594" s="30">
        <v>0</v>
      </c>
      <c r="M594" s="121">
        <v>210</v>
      </c>
      <c r="N594" s="28">
        <f t="shared" si="125"/>
        <v>24902952.129999999</v>
      </c>
      <c r="O594" s="30"/>
      <c r="P594" s="30">
        <f t="shared" si="126"/>
        <v>3588399.46</v>
      </c>
      <c r="Q594" s="152">
        <v>3588399.46</v>
      </c>
      <c r="R594" s="145"/>
      <c r="S594" s="30"/>
      <c r="T594" s="31"/>
      <c r="U594" s="31"/>
      <c r="V594" s="146">
        <f t="shared" si="138"/>
        <v>2754406.84</v>
      </c>
      <c r="W594" s="145">
        <v>2754406.84</v>
      </c>
      <c r="X594" s="145"/>
      <c r="Y594" s="146">
        <f t="shared" si="128"/>
        <v>16069850.619999999</v>
      </c>
      <c r="Z594" s="145">
        <v>16069850.619999999</v>
      </c>
      <c r="AA594" s="145"/>
      <c r="AB594" s="146">
        <f t="shared" si="139"/>
        <v>2490295.21</v>
      </c>
      <c r="AC594" s="147"/>
      <c r="AD594" s="145">
        <v>2490295.21</v>
      </c>
      <c r="AE594" s="30">
        <v>5940.42810628797</v>
      </c>
      <c r="AF594" s="30">
        <v>1303.2830200640001</v>
      </c>
      <c r="AG594" s="33">
        <v>2024</v>
      </c>
      <c r="AH594" s="1">
        <f>2464536.95-175458.19</f>
        <v>2289078.7600000002</v>
      </c>
      <c r="AI594" s="5">
        <f>+(K594*10.5+L594*21)*12*0.85</f>
        <v>465328.08</v>
      </c>
      <c r="AJ594" s="5">
        <f>+(K594*11.55+L594*23.1)*12*30</f>
        <v>18065678.400000002</v>
      </c>
      <c r="AK594" s="5">
        <f t="shared" si="129"/>
        <v>24902952.129999999</v>
      </c>
      <c r="AL594" s="146">
        <f t="shared" si="133"/>
        <v>0</v>
      </c>
      <c r="AM594" s="62"/>
      <c r="AN594" s="30"/>
      <c r="AO594" s="30"/>
      <c r="AP594" s="30"/>
      <c r="AQ594" s="30"/>
      <c r="AR594" s="30"/>
      <c r="AS594" s="62"/>
      <c r="AT594" s="30"/>
      <c r="AU594" s="30"/>
      <c r="AV594" s="30">
        <v>0</v>
      </c>
      <c r="AW594" s="30">
        <v>24902952.129999999</v>
      </c>
      <c r="AX594" s="30"/>
      <c r="AY594" s="30"/>
      <c r="AZ594" s="30"/>
      <c r="BA594" s="148"/>
      <c r="BB594" s="149">
        <f t="shared" si="130"/>
        <v>1</v>
      </c>
    </row>
    <row r="595" spans="1:54" ht="15.75" hidden="1">
      <c r="A595" s="10">
        <f t="shared" si="136"/>
        <v>574</v>
      </c>
      <c r="B595" s="12">
        <f t="shared" si="137"/>
        <v>114</v>
      </c>
      <c r="C595" s="12" t="s">
        <v>185</v>
      </c>
      <c r="D595" s="12" t="s">
        <v>281</v>
      </c>
      <c r="E595" s="120">
        <v>1961</v>
      </c>
      <c r="F595" s="120">
        <v>2013</v>
      </c>
      <c r="G595" s="120" t="s">
        <v>3</v>
      </c>
      <c r="H595" s="120">
        <v>4</v>
      </c>
      <c r="I595" s="120">
        <v>3</v>
      </c>
      <c r="J595" s="30">
        <v>3049.5</v>
      </c>
      <c r="K595" s="30">
        <v>2277.6</v>
      </c>
      <c r="L595" s="30">
        <v>771.9</v>
      </c>
      <c r="M595" s="121">
        <v>94</v>
      </c>
      <c r="N595" s="28">
        <f t="shared" si="125"/>
        <v>2707442.59</v>
      </c>
      <c r="O595" s="30"/>
      <c r="P595" s="30">
        <f t="shared" si="126"/>
        <v>0</v>
      </c>
      <c r="Q595" s="143"/>
      <c r="R595" s="31"/>
      <c r="S595" s="30"/>
      <c r="T595" s="31"/>
      <c r="U595" s="31"/>
      <c r="V595" s="146">
        <f t="shared" si="138"/>
        <v>451230.07</v>
      </c>
      <c r="W595" s="145">
        <v>451230.07</v>
      </c>
      <c r="X595" s="145"/>
      <c r="Y595" s="146">
        <f t="shared" si="128"/>
        <v>2256212.52</v>
      </c>
      <c r="Z595" s="145">
        <v>2256212.52</v>
      </c>
      <c r="AA595" s="145"/>
      <c r="AB595" s="146">
        <f t="shared" si="139"/>
        <v>0</v>
      </c>
      <c r="AC595" s="147"/>
      <c r="AD595" s="147"/>
      <c r="AE595" s="30">
        <v>945.74199999999996</v>
      </c>
      <c r="AF595" s="30">
        <v>945.74199999999996</v>
      </c>
      <c r="AG595" s="33">
        <v>2024</v>
      </c>
      <c r="AH595" s="18">
        <f>1647685.87-V417</f>
        <v>709896.3600000001</v>
      </c>
      <c r="AI595" s="5">
        <f>+(K595*10+L595*20)*12*0.85</f>
        <v>389782.8</v>
      </c>
      <c r="AJ595" s="5">
        <f>+(K595*11.55+L595*23.1)*12*30</f>
        <v>15889381.200000001</v>
      </c>
      <c r="AK595" s="5">
        <f t="shared" si="129"/>
        <v>2707442.59</v>
      </c>
      <c r="AL595" s="146">
        <f t="shared" si="133"/>
        <v>0</v>
      </c>
      <c r="AM595" s="62"/>
      <c r="AN595" s="30"/>
      <c r="AO595" s="30"/>
      <c r="AP595" s="30">
        <v>2707442.59</v>
      </c>
      <c r="AQ595" s="30"/>
      <c r="AR595" s="30"/>
      <c r="AS595" s="62"/>
      <c r="AT595" s="30">
        <v>0</v>
      </c>
      <c r="AU595" s="30">
        <v>0</v>
      </c>
      <c r="AV595" s="30">
        <v>0</v>
      </c>
      <c r="AW595" s="30">
        <v>0</v>
      </c>
      <c r="AX595" s="30">
        <v>0</v>
      </c>
      <c r="AY595" s="30"/>
      <c r="AZ595" s="30"/>
      <c r="BA595" s="148"/>
      <c r="BB595" s="149">
        <f t="shared" si="130"/>
        <v>1</v>
      </c>
    </row>
    <row r="596" spans="1:54" ht="15.75" hidden="1">
      <c r="A596" s="10">
        <f t="shared" si="136"/>
        <v>575</v>
      </c>
      <c r="B596" s="12">
        <f t="shared" si="137"/>
        <v>115</v>
      </c>
      <c r="C596" s="12" t="s">
        <v>185</v>
      </c>
      <c r="D596" s="12" t="s">
        <v>434</v>
      </c>
      <c r="E596" s="120">
        <v>1981</v>
      </c>
      <c r="F596" s="120">
        <v>2013</v>
      </c>
      <c r="G596" s="120" t="s">
        <v>3</v>
      </c>
      <c r="H596" s="120">
        <v>5</v>
      </c>
      <c r="I596" s="120">
        <v>4</v>
      </c>
      <c r="J596" s="30">
        <v>4887.3</v>
      </c>
      <c r="K596" s="30">
        <v>4312.8999999999996</v>
      </c>
      <c r="L596" s="30">
        <v>0</v>
      </c>
      <c r="M596" s="121">
        <v>195</v>
      </c>
      <c r="N596" s="28">
        <f t="shared" si="125"/>
        <v>9269710.4900000002</v>
      </c>
      <c r="O596" s="30"/>
      <c r="P596" s="30">
        <f t="shared" si="126"/>
        <v>490888.57</v>
      </c>
      <c r="Q596" s="154"/>
      <c r="R596" s="145">
        <v>490888.57</v>
      </c>
      <c r="S596" s="30"/>
      <c r="T596" s="31"/>
      <c r="U596" s="31"/>
      <c r="V596" s="146">
        <f t="shared" si="138"/>
        <v>0</v>
      </c>
      <c r="W596" s="145"/>
      <c r="X596" s="145"/>
      <c r="Y596" s="146">
        <f t="shared" si="128"/>
        <v>8778821.9199999999</v>
      </c>
      <c r="Z596" s="145">
        <v>8778821.9199999999</v>
      </c>
      <c r="AA596" s="145"/>
      <c r="AB596" s="146">
        <f t="shared" si="139"/>
        <v>0</v>
      </c>
      <c r="AC596" s="147"/>
      <c r="AD596" s="147"/>
      <c r="AE596" s="30">
        <v>16925.260160487898</v>
      </c>
      <c r="AF596" s="30">
        <v>1306.2830200640001</v>
      </c>
      <c r="AG596" s="33">
        <v>2024</v>
      </c>
      <c r="AH596" s="18"/>
      <c r="AI596" s="5">
        <f>+(K596*11.55+L596*23.1)*12*0.85</f>
        <v>508102.74899999995</v>
      </c>
      <c r="AJ596" s="5">
        <f>+(K596*11.55+L596*23.1)*12*30-[3]Лист1!$AQ$313</f>
        <v>12627273.75</v>
      </c>
      <c r="AK596" s="5">
        <f t="shared" si="129"/>
        <v>9269710.4900000002</v>
      </c>
      <c r="AL596" s="146">
        <f t="shared" si="133"/>
        <v>0</v>
      </c>
      <c r="AM596" s="62"/>
      <c r="AN596" s="30"/>
      <c r="AO596" s="30"/>
      <c r="AP596" s="30"/>
      <c r="AQ596" s="30">
        <v>2021918.21</v>
      </c>
      <c r="AR596" s="30"/>
      <c r="AS596" s="62"/>
      <c r="AT596" s="30">
        <v>0</v>
      </c>
      <c r="AU596" s="30">
        <v>7247792.2800000003</v>
      </c>
      <c r="AV596" s="30">
        <v>0</v>
      </c>
      <c r="AW596" s="30"/>
      <c r="AX596" s="30"/>
      <c r="AY596" s="153"/>
      <c r="AZ596" s="153"/>
      <c r="BA596" s="148"/>
      <c r="BB596" s="149">
        <f t="shared" si="130"/>
        <v>2</v>
      </c>
    </row>
    <row r="597" spans="1:54" ht="15.75" hidden="1">
      <c r="A597" s="10">
        <f t="shared" ref="A597:A628" si="140">A596+1</f>
        <v>576</v>
      </c>
      <c r="B597" s="12">
        <f t="shared" si="137"/>
        <v>116</v>
      </c>
      <c r="C597" s="12" t="s">
        <v>185</v>
      </c>
      <c r="D597" s="12" t="s">
        <v>436</v>
      </c>
      <c r="E597" s="120">
        <v>1964</v>
      </c>
      <c r="F597" s="120">
        <v>2009</v>
      </c>
      <c r="G597" s="120" t="s">
        <v>3</v>
      </c>
      <c r="H597" s="120">
        <v>4</v>
      </c>
      <c r="I597" s="120">
        <v>2</v>
      </c>
      <c r="J597" s="30">
        <v>1462.3</v>
      </c>
      <c r="K597" s="30">
        <v>1198.5999999999999</v>
      </c>
      <c r="L597" s="30">
        <v>42.9</v>
      </c>
      <c r="M597" s="121">
        <v>60</v>
      </c>
      <c r="N597" s="28">
        <f t="shared" si="125"/>
        <v>10587420.23</v>
      </c>
      <c r="O597" s="30"/>
      <c r="P597" s="30">
        <f t="shared" si="126"/>
        <v>9143836.7300000004</v>
      </c>
      <c r="Q597" s="152">
        <v>6813494.29</v>
      </c>
      <c r="R597" s="145">
        <v>2330342.44</v>
      </c>
      <c r="S597" s="30">
        <v>0</v>
      </c>
      <c r="T597" s="31"/>
      <c r="U597" s="31"/>
      <c r="V597" s="146">
        <f t="shared" si="138"/>
        <v>249875.83</v>
      </c>
      <c r="W597" s="145">
        <v>249875.83</v>
      </c>
      <c r="X597" s="145"/>
      <c r="Y597" s="146">
        <f t="shared" si="128"/>
        <v>280858.78999999998</v>
      </c>
      <c r="Z597" s="145">
        <v>280858.78999999998</v>
      </c>
      <c r="AA597" s="145"/>
      <c r="AB597" s="146">
        <f t="shared" si="139"/>
        <v>912848.88</v>
      </c>
      <c r="AC597" s="147"/>
      <c r="AD597" s="145">
        <v>912848.88</v>
      </c>
      <c r="AE597" s="30">
        <v>14439.003804399301</v>
      </c>
      <c r="AF597" s="30">
        <v>1311.2830200640001</v>
      </c>
      <c r="AG597" s="33">
        <v>2024</v>
      </c>
      <c r="AH597" s="18"/>
      <c r="AI597" s="5">
        <f>+(K597*11.55+L597*23.1)*12*0.85</f>
        <v>151315.16399999999</v>
      </c>
      <c r="AJ597" s="5">
        <f>+(K597*11.55+L597*23.1)*12*30-[3]Лист1!$AQ$314</f>
        <v>792073.33000000007</v>
      </c>
      <c r="AK597" s="5">
        <f t="shared" si="129"/>
        <v>10587420.23</v>
      </c>
      <c r="AL597" s="146">
        <f t="shared" si="133"/>
        <v>0</v>
      </c>
      <c r="AM597" s="62"/>
      <c r="AN597" s="30">
        <v>764794.96</v>
      </c>
      <c r="AO597" s="30">
        <v>694136.52</v>
      </c>
      <c r="AP597" s="30"/>
      <c r="AQ597" s="30"/>
      <c r="AR597" s="30"/>
      <c r="AS597" s="62"/>
      <c r="AT597" s="30">
        <v>0</v>
      </c>
      <c r="AU597" s="30"/>
      <c r="AV597" s="30">
        <v>0</v>
      </c>
      <c r="AW597" s="30">
        <v>9128488.75</v>
      </c>
      <c r="AX597" s="30"/>
      <c r="AY597" s="153"/>
      <c r="AZ597" s="153"/>
      <c r="BA597" s="148"/>
      <c r="BB597" s="149">
        <f t="shared" si="130"/>
        <v>3</v>
      </c>
    </row>
    <row r="598" spans="1:54" ht="15.75" hidden="1">
      <c r="A598" s="10">
        <f t="shared" si="140"/>
        <v>577</v>
      </c>
      <c r="B598" s="12">
        <f t="shared" si="137"/>
        <v>117</v>
      </c>
      <c r="C598" s="12" t="s">
        <v>185</v>
      </c>
      <c r="D598" s="12" t="s">
        <v>283</v>
      </c>
      <c r="E598" s="120">
        <v>1963</v>
      </c>
      <c r="F598" s="120">
        <v>2005</v>
      </c>
      <c r="G598" s="120" t="s">
        <v>3</v>
      </c>
      <c r="H598" s="120">
        <v>4</v>
      </c>
      <c r="I598" s="120">
        <v>2</v>
      </c>
      <c r="J598" s="30">
        <v>1240.4000000000001</v>
      </c>
      <c r="K598" s="30">
        <v>1075.8</v>
      </c>
      <c r="L598" s="30">
        <v>111.9</v>
      </c>
      <c r="M598" s="121">
        <v>70</v>
      </c>
      <c r="N598" s="28">
        <f t="shared" si="125"/>
        <v>3416530.16</v>
      </c>
      <c r="O598" s="30"/>
      <c r="P598" s="30">
        <f t="shared" si="126"/>
        <v>0</v>
      </c>
      <c r="Q598" s="143"/>
      <c r="R598" s="31"/>
      <c r="S598" s="30"/>
      <c r="T598" s="31"/>
      <c r="U598" s="31"/>
      <c r="V598" s="146">
        <f t="shared" si="138"/>
        <v>554474.52</v>
      </c>
      <c r="W598" s="145">
        <v>554474.52</v>
      </c>
      <c r="X598" s="145"/>
      <c r="Y598" s="146">
        <f t="shared" si="128"/>
        <v>2862055.64</v>
      </c>
      <c r="Z598" s="145">
        <v>2862055.64</v>
      </c>
      <c r="AA598" s="145"/>
      <c r="AB598" s="146">
        <f t="shared" si="139"/>
        <v>0</v>
      </c>
      <c r="AC598" s="147"/>
      <c r="AD598" s="147"/>
      <c r="AE598" s="30">
        <v>3545.46087430325</v>
      </c>
      <c r="AF598" s="30">
        <v>3545.46087430325</v>
      </c>
      <c r="AG598" s="33">
        <v>2024</v>
      </c>
      <c r="AH598" s="1">
        <v>669629.44999999995</v>
      </c>
      <c r="AI598" s="5">
        <f>+(K598*10+L598*20)*12*0.85</f>
        <v>132559.19999999998</v>
      </c>
      <c r="AJ598" s="5">
        <f>+(K598*11.55+L598*23.1)*12*30</f>
        <v>5403736.7999999998</v>
      </c>
      <c r="AK598" s="5">
        <f t="shared" si="129"/>
        <v>3416530.16</v>
      </c>
      <c r="AL598" s="146">
        <f t="shared" si="133"/>
        <v>0</v>
      </c>
      <c r="AM598" s="62">
        <v>3416530.16</v>
      </c>
      <c r="AN598" s="30"/>
      <c r="AO598" s="30"/>
      <c r="AP598" s="30"/>
      <c r="AQ598" s="30"/>
      <c r="AR598" s="30"/>
      <c r="AS598" s="62"/>
      <c r="AT598" s="30">
        <v>0</v>
      </c>
      <c r="AU598" s="30"/>
      <c r="AV598" s="30">
        <v>0</v>
      </c>
      <c r="AW598" s="30">
        <v>0</v>
      </c>
      <c r="AX598" s="30">
        <v>0</v>
      </c>
      <c r="AY598" s="153"/>
      <c r="AZ598" s="153"/>
      <c r="BA598" s="148"/>
      <c r="BB598" s="149">
        <f t="shared" si="130"/>
        <v>1</v>
      </c>
    </row>
    <row r="599" spans="1:54" s="142" customFormat="1" ht="15.75" hidden="1">
      <c r="A599" s="10">
        <f t="shared" si="140"/>
        <v>578</v>
      </c>
      <c r="B599" s="12">
        <f t="shared" ref="B599:B630" si="141">B598+1</f>
        <v>118</v>
      </c>
      <c r="C599" s="12" t="s">
        <v>313</v>
      </c>
      <c r="D599" s="12" t="s">
        <v>440</v>
      </c>
      <c r="E599" s="120" t="s">
        <v>441</v>
      </c>
      <c r="F599" s="120"/>
      <c r="G599" s="120" t="s">
        <v>3</v>
      </c>
      <c r="H599" s="120" t="s">
        <v>183</v>
      </c>
      <c r="I599" s="120" t="s">
        <v>27</v>
      </c>
      <c r="J599" s="30">
        <v>2017.1</v>
      </c>
      <c r="K599" s="30">
        <v>1568.7</v>
      </c>
      <c r="L599" s="30">
        <v>241.9</v>
      </c>
      <c r="M599" s="121">
        <v>64</v>
      </c>
      <c r="N599" s="28">
        <f t="shared" si="125"/>
        <v>2918258.07</v>
      </c>
      <c r="O599" s="30">
        <v>0</v>
      </c>
      <c r="P599" s="30">
        <f t="shared" si="126"/>
        <v>1766188.22</v>
      </c>
      <c r="Q599" s="152">
        <v>1766188.22</v>
      </c>
      <c r="R599" s="145"/>
      <c r="S599" s="30"/>
      <c r="T599" s="31"/>
      <c r="U599" s="31"/>
      <c r="V599" s="146">
        <f t="shared" si="138"/>
        <v>53153.61</v>
      </c>
      <c r="W599" s="145">
        <v>53153.61</v>
      </c>
      <c r="X599" s="145"/>
      <c r="Y599" s="146">
        <f t="shared" si="128"/>
        <v>515264.63</v>
      </c>
      <c r="Z599" s="145">
        <v>515264.63</v>
      </c>
      <c r="AA599" s="145"/>
      <c r="AB599" s="146">
        <f t="shared" si="139"/>
        <v>583651.61</v>
      </c>
      <c r="AC599" s="147"/>
      <c r="AD599" s="145">
        <v>583651.61</v>
      </c>
      <c r="AE599" s="30">
        <v>12922.8899657411</v>
      </c>
      <c r="AF599" s="30">
        <v>12922.8899657411</v>
      </c>
      <c r="AG599" s="33">
        <v>2024</v>
      </c>
      <c r="AH599" s="157"/>
      <c r="AI599" s="5">
        <f>+(K599*11.55+L599*23.1)*12*0.85</f>
        <v>241805.02499999999</v>
      </c>
      <c r="AJ599" s="5">
        <f>+(K599*11.55+L599*23.1)*12*30-[3]Лист1!$AQ$316</f>
        <v>2391110.9299999997</v>
      </c>
      <c r="AK599" s="5">
        <f t="shared" si="129"/>
        <v>2918258.07</v>
      </c>
      <c r="AL599" s="146">
        <f t="shared" si="133"/>
        <v>0</v>
      </c>
      <c r="AM599" s="62">
        <v>2918258.07</v>
      </c>
      <c r="AN599" s="30"/>
      <c r="AO599" s="30"/>
      <c r="AP599" s="30"/>
      <c r="AQ599" s="30"/>
      <c r="AR599" s="30"/>
      <c r="AS599" s="62"/>
      <c r="AT599" s="30"/>
      <c r="AU599" s="30"/>
      <c r="AV599" s="30"/>
      <c r="AW599" s="30"/>
      <c r="AX599" s="30"/>
      <c r="AY599" s="30"/>
      <c r="AZ599" s="30"/>
      <c r="BA599" s="148"/>
      <c r="BB599" s="149">
        <f t="shared" si="130"/>
        <v>1</v>
      </c>
    </row>
    <row r="600" spans="1:54" ht="15.75" hidden="1">
      <c r="A600" s="10">
        <f t="shared" si="140"/>
        <v>579</v>
      </c>
      <c r="B600" s="12">
        <f t="shared" si="141"/>
        <v>119</v>
      </c>
      <c r="C600" s="12" t="s">
        <v>185</v>
      </c>
      <c r="D600" s="12" t="s">
        <v>443</v>
      </c>
      <c r="E600" s="120">
        <v>1965</v>
      </c>
      <c r="F600" s="120">
        <v>2013</v>
      </c>
      <c r="G600" s="120" t="s">
        <v>3</v>
      </c>
      <c r="H600" s="120">
        <v>4</v>
      </c>
      <c r="I600" s="120">
        <v>4</v>
      </c>
      <c r="J600" s="30">
        <v>1940.1</v>
      </c>
      <c r="K600" s="30">
        <v>1500.8</v>
      </c>
      <c r="L600" s="30">
        <v>439.3</v>
      </c>
      <c r="M600" s="121">
        <v>74</v>
      </c>
      <c r="N600" s="28">
        <f t="shared" si="125"/>
        <v>3842206.73</v>
      </c>
      <c r="O600" s="30"/>
      <c r="P600" s="30">
        <f t="shared" si="126"/>
        <v>0</v>
      </c>
      <c r="Q600" s="143"/>
      <c r="R600" s="31"/>
      <c r="S600" s="30"/>
      <c r="T600" s="31"/>
      <c r="U600" s="31"/>
      <c r="V600" s="146">
        <f t="shared" si="138"/>
        <v>1452074.79</v>
      </c>
      <c r="W600" s="145">
        <v>1452074.79</v>
      </c>
      <c r="X600" s="145"/>
      <c r="Y600" s="146">
        <f t="shared" si="128"/>
        <v>2390131.94</v>
      </c>
      <c r="Z600" s="145">
        <v>2390131.94</v>
      </c>
      <c r="AA600" s="145"/>
      <c r="AB600" s="146">
        <f t="shared" si="139"/>
        <v>0</v>
      </c>
      <c r="AC600" s="147"/>
      <c r="AD600" s="147"/>
      <c r="AE600" s="30">
        <v>3635.1456907604802</v>
      </c>
      <c r="AF600" s="30">
        <v>1307.2830200640001</v>
      </c>
      <c r="AG600" s="33">
        <v>2024</v>
      </c>
      <c r="AH600" s="1">
        <v>1267853.3600000001</v>
      </c>
      <c r="AI600" s="5">
        <f>+(K600*11.55+L600*23.1)*12*0.85</f>
        <v>280317.114</v>
      </c>
      <c r="AJ600" s="5">
        <f>+(K600*11.55+L600*23.1)*12*30</f>
        <v>9893545.2000000011</v>
      </c>
      <c r="AK600" s="5">
        <f t="shared" si="129"/>
        <v>3842206.73</v>
      </c>
      <c r="AL600" s="146">
        <f t="shared" si="133"/>
        <v>0</v>
      </c>
      <c r="AM600" s="62">
        <v>3842206.73</v>
      </c>
      <c r="AN600" s="30">
        <v>0</v>
      </c>
      <c r="AO600" s="30">
        <v>0</v>
      </c>
      <c r="AP600" s="30">
        <v>0</v>
      </c>
      <c r="AQ600" s="30"/>
      <c r="AR600" s="30"/>
      <c r="AS600" s="62"/>
      <c r="AT600" s="30">
        <v>0</v>
      </c>
      <c r="AU600" s="30">
        <v>0</v>
      </c>
      <c r="AV600" s="30">
        <v>0</v>
      </c>
      <c r="AW600" s="30">
        <v>0</v>
      </c>
      <c r="AX600" s="30">
        <v>0</v>
      </c>
      <c r="AY600" s="153"/>
      <c r="AZ600" s="153"/>
      <c r="BA600" s="148"/>
      <c r="BB600" s="149">
        <f t="shared" si="130"/>
        <v>1</v>
      </c>
    </row>
    <row r="601" spans="1:54" ht="15.75" hidden="1">
      <c r="A601" s="10">
        <f t="shared" si="140"/>
        <v>580</v>
      </c>
      <c r="B601" s="12">
        <f t="shared" si="141"/>
        <v>120</v>
      </c>
      <c r="C601" s="12" t="s">
        <v>185</v>
      </c>
      <c r="D601" s="12" t="s">
        <v>445</v>
      </c>
      <c r="E601" s="120">
        <v>1975</v>
      </c>
      <c r="F601" s="120">
        <v>2013</v>
      </c>
      <c r="G601" s="120" t="s">
        <v>3</v>
      </c>
      <c r="H601" s="120">
        <v>4</v>
      </c>
      <c r="I601" s="120">
        <v>3</v>
      </c>
      <c r="J601" s="30">
        <v>2508.8000000000002</v>
      </c>
      <c r="K601" s="30">
        <v>1514.2</v>
      </c>
      <c r="L601" s="30">
        <v>994.6</v>
      </c>
      <c r="M601" s="121">
        <v>79</v>
      </c>
      <c r="N601" s="28">
        <f t="shared" si="125"/>
        <v>4077651.8600000003</v>
      </c>
      <c r="O601" s="30"/>
      <c r="P601" s="30">
        <f t="shared" si="126"/>
        <v>0</v>
      </c>
      <c r="Q601" s="143"/>
      <c r="R601" s="31"/>
      <c r="S601" s="30"/>
      <c r="T601" s="31"/>
      <c r="U601" s="31"/>
      <c r="V601" s="146">
        <f t="shared" si="138"/>
        <v>1959164.11</v>
      </c>
      <c r="W601" s="145">
        <v>1959164.11</v>
      </c>
      <c r="X601" s="145"/>
      <c r="Y601" s="146">
        <f t="shared" si="128"/>
        <v>2118487.75</v>
      </c>
      <c r="Z601" s="145">
        <v>2118487.75</v>
      </c>
      <c r="AA601" s="145"/>
      <c r="AB601" s="146">
        <f t="shared" si="139"/>
        <v>0</v>
      </c>
      <c r="AC601" s="147"/>
      <c r="AD601" s="147"/>
      <c r="AE601" s="30">
        <v>4648.3543137918095</v>
      </c>
      <c r="AF601" s="30">
        <v>1308.2830200640001</v>
      </c>
      <c r="AG601" s="33">
        <v>2024</v>
      </c>
      <c r="AH601" s="1">
        <v>1804065.72</v>
      </c>
      <c r="AI601" s="5">
        <f>+(K601*11.55+L601*23.1)*12*0.85</f>
        <v>412735.554</v>
      </c>
      <c r="AJ601" s="5">
        <f>+(K601*11.55+L601*23.1)*12*30</f>
        <v>14567137.200000001</v>
      </c>
      <c r="AK601" s="5">
        <f t="shared" si="129"/>
        <v>4077651.8600000003</v>
      </c>
      <c r="AL601" s="146">
        <f t="shared" si="133"/>
        <v>0</v>
      </c>
      <c r="AM601" s="62">
        <v>4077651.86</v>
      </c>
      <c r="AN601" s="30">
        <v>0</v>
      </c>
      <c r="AO601" s="30">
        <v>0</v>
      </c>
      <c r="AP601" s="30">
        <v>0</v>
      </c>
      <c r="AQ601" s="30"/>
      <c r="AR601" s="30"/>
      <c r="AS601" s="62"/>
      <c r="AT601" s="30">
        <v>0</v>
      </c>
      <c r="AU601" s="30">
        <v>0</v>
      </c>
      <c r="AV601" s="30">
        <v>0</v>
      </c>
      <c r="AW601" s="30">
        <v>0</v>
      </c>
      <c r="AX601" s="30">
        <v>0</v>
      </c>
      <c r="AY601" s="153"/>
      <c r="AZ601" s="153"/>
      <c r="BA601" s="148"/>
      <c r="BB601" s="149">
        <f t="shared" si="130"/>
        <v>1</v>
      </c>
    </row>
    <row r="602" spans="1:54" ht="15.75" hidden="1">
      <c r="A602" s="10">
        <f t="shared" si="140"/>
        <v>581</v>
      </c>
      <c r="B602" s="12">
        <f t="shared" si="141"/>
        <v>121</v>
      </c>
      <c r="C602" s="12" t="s">
        <v>185</v>
      </c>
      <c r="D602" s="12" t="s">
        <v>285</v>
      </c>
      <c r="E602" s="120">
        <v>1965</v>
      </c>
      <c r="F602" s="120">
        <v>2005</v>
      </c>
      <c r="G602" s="120" t="s">
        <v>3</v>
      </c>
      <c r="H602" s="120">
        <v>4</v>
      </c>
      <c r="I602" s="120">
        <v>4</v>
      </c>
      <c r="J602" s="30">
        <v>2661.8</v>
      </c>
      <c r="K602" s="30">
        <v>2220.4</v>
      </c>
      <c r="L602" s="30">
        <v>229.71</v>
      </c>
      <c r="M602" s="121">
        <v>111</v>
      </c>
      <c r="N602" s="28">
        <f t="shared" si="125"/>
        <v>17845676.150000002</v>
      </c>
      <c r="O602" s="30"/>
      <c r="P602" s="30">
        <f t="shared" si="126"/>
        <v>15581542.640000001</v>
      </c>
      <c r="Q602" s="152">
        <v>6141317.5700000003</v>
      </c>
      <c r="R602" s="145">
        <v>9440225.0700000003</v>
      </c>
      <c r="S602" s="30"/>
      <c r="T602" s="31"/>
      <c r="U602" s="31"/>
      <c r="V602" s="146">
        <f t="shared" si="138"/>
        <v>172215.88</v>
      </c>
      <c r="W602" s="145">
        <v>172215.88</v>
      </c>
      <c r="X602" s="145"/>
      <c r="Y602" s="146">
        <f t="shared" si="128"/>
        <v>126957.75999999999</v>
      </c>
      <c r="Z602" s="145">
        <v>126957.75999999999</v>
      </c>
      <c r="AA602" s="145"/>
      <c r="AB602" s="146">
        <f t="shared" si="139"/>
        <v>1964959.87</v>
      </c>
      <c r="AC602" s="147"/>
      <c r="AD602" s="145">
        <v>1964959.87</v>
      </c>
      <c r="AE602" s="30">
        <v>12180.3300759663</v>
      </c>
      <c r="AF602" s="30">
        <v>1309.2830200640001</v>
      </c>
      <c r="AG602" s="33">
        <v>2024</v>
      </c>
      <c r="AH602" s="18"/>
      <c r="AI602" s="5">
        <f>+(K602*11.55+L602*23.1)*12*0.85</f>
        <v>315709.59419999999</v>
      </c>
      <c r="AJ602" s="5">
        <f>+(K602*11.55+L602*23.1)*12*30-[3]Лист1!$AQ$319</f>
        <v>5812358.0100000007</v>
      </c>
      <c r="AK602" s="5">
        <f t="shared" si="129"/>
        <v>17845676.150000002</v>
      </c>
      <c r="AL602" s="146">
        <f t="shared" si="133"/>
        <v>0</v>
      </c>
      <c r="AM602" s="62"/>
      <c r="AN602" s="30"/>
      <c r="AO602" s="30"/>
      <c r="AP602" s="30">
        <v>1803922.55</v>
      </c>
      <c r="AQ602" s="30"/>
      <c r="AR602" s="30"/>
      <c r="AS602" s="62"/>
      <c r="AT602" s="30">
        <v>0</v>
      </c>
      <c r="AU602" s="30"/>
      <c r="AV602" s="30">
        <v>0</v>
      </c>
      <c r="AW602" s="30">
        <v>16041753.6</v>
      </c>
      <c r="AX602" s="30"/>
      <c r="AY602" s="153"/>
      <c r="AZ602" s="153"/>
      <c r="BA602" s="148"/>
      <c r="BB602" s="149">
        <f t="shared" si="130"/>
        <v>2</v>
      </c>
    </row>
    <row r="603" spans="1:54" ht="15.75" hidden="1">
      <c r="A603" s="10">
        <f t="shared" si="140"/>
        <v>582</v>
      </c>
      <c r="B603" s="12">
        <f t="shared" si="141"/>
        <v>122</v>
      </c>
      <c r="C603" s="12" t="s">
        <v>185</v>
      </c>
      <c r="D603" s="12" t="s">
        <v>451</v>
      </c>
      <c r="E603" s="120">
        <v>1988</v>
      </c>
      <c r="F603" s="120">
        <v>1988</v>
      </c>
      <c r="G603" s="120" t="s">
        <v>3</v>
      </c>
      <c r="H603" s="120">
        <v>4</v>
      </c>
      <c r="I603" s="120">
        <v>3</v>
      </c>
      <c r="J603" s="30">
        <v>2941.3</v>
      </c>
      <c r="K603" s="30">
        <v>2307</v>
      </c>
      <c r="L603" s="30">
        <v>634.29999999999995</v>
      </c>
      <c r="M603" s="121">
        <v>88</v>
      </c>
      <c r="N603" s="28">
        <f t="shared" si="125"/>
        <v>12838297.58</v>
      </c>
      <c r="O603" s="30"/>
      <c r="P603" s="30">
        <f t="shared" si="126"/>
        <v>0</v>
      </c>
      <c r="Q603" s="143"/>
      <c r="R603" s="31"/>
      <c r="S603" s="30"/>
      <c r="T603" s="31"/>
      <c r="U603" s="31"/>
      <c r="V603" s="146">
        <f t="shared" si="138"/>
        <v>2015663.23</v>
      </c>
      <c r="W603" s="145">
        <v>2015663.23</v>
      </c>
      <c r="X603" s="145"/>
      <c r="Y603" s="146">
        <f t="shared" si="128"/>
        <v>10822634.35</v>
      </c>
      <c r="Z603" s="145">
        <v>10822634.35</v>
      </c>
      <c r="AA603" s="145"/>
      <c r="AB603" s="146">
        <f t="shared" si="139"/>
        <v>0</v>
      </c>
      <c r="AC603" s="147"/>
      <c r="AD603" s="147"/>
      <c r="AE603" s="30">
        <v>10044.9793563069</v>
      </c>
      <c r="AF603" s="30">
        <v>1313.2830200640001</v>
      </c>
      <c r="AG603" s="33">
        <v>2024</v>
      </c>
      <c r="AH603" s="98">
        <v>2124089.79</v>
      </c>
      <c r="AI603" s="5">
        <f>+(K603*10.5+L603*21)*12*0.85</f>
        <v>382946.76</v>
      </c>
      <c r="AJ603" s="5">
        <f>+(K603*11.55+L603*23.1)*12*30</f>
        <v>14867344.800000001</v>
      </c>
      <c r="AK603" s="5">
        <f t="shared" si="129"/>
        <v>12838297.58</v>
      </c>
      <c r="AL603" s="146">
        <f t="shared" si="133"/>
        <v>0</v>
      </c>
      <c r="AM603" s="62">
        <v>0</v>
      </c>
      <c r="AN603" s="30">
        <v>0</v>
      </c>
      <c r="AO603" s="30">
        <v>0</v>
      </c>
      <c r="AP603" s="30">
        <v>0</v>
      </c>
      <c r="AQ603" s="30">
        <v>0</v>
      </c>
      <c r="AR603" s="30"/>
      <c r="AS603" s="62"/>
      <c r="AT603" s="30">
        <v>0</v>
      </c>
      <c r="AU603" s="30">
        <v>0</v>
      </c>
      <c r="AV603" s="30">
        <v>0</v>
      </c>
      <c r="AW603" s="30">
        <v>12838297.58</v>
      </c>
      <c r="AX603" s="30">
        <v>0</v>
      </c>
      <c r="AY603" s="153"/>
      <c r="AZ603" s="153"/>
      <c r="BA603" s="148"/>
      <c r="BB603" s="149">
        <f t="shared" si="130"/>
        <v>1</v>
      </c>
    </row>
    <row r="604" spans="1:54" s="142" customFormat="1" ht="15.75" hidden="1">
      <c r="A604" s="10">
        <f t="shared" si="140"/>
        <v>583</v>
      </c>
      <c r="B604" s="12">
        <f t="shared" si="141"/>
        <v>123</v>
      </c>
      <c r="C604" s="12" t="s">
        <v>185</v>
      </c>
      <c r="D604" s="12" t="s">
        <v>454</v>
      </c>
      <c r="E604" s="120" t="s">
        <v>373</v>
      </c>
      <c r="F604" s="120"/>
      <c r="G604" s="120" t="s">
        <v>3</v>
      </c>
      <c r="H604" s="120" t="s">
        <v>169</v>
      </c>
      <c r="I604" s="120" t="s">
        <v>220</v>
      </c>
      <c r="J604" s="30">
        <v>7651.5</v>
      </c>
      <c r="K604" s="30">
        <v>6138</v>
      </c>
      <c r="L604" s="30">
        <v>119</v>
      </c>
      <c r="M604" s="121">
        <v>293</v>
      </c>
      <c r="N604" s="28">
        <f t="shared" si="125"/>
        <v>4481041.7899999991</v>
      </c>
      <c r="O604" s="30">
        <v>0</v>
      </c>
      <c r="P604" s="30">
        <f t="shared" si="126"/>
        <v>2134405.21</v>
      </c>
      <c r="Q604" s="152">
        <v>2134405.21</v>
      </c>
      <c r="R604" s="145"/>
      <c r="S604" s="30"/>
      <c r="T604" s="31"/>
      <c r="U604" s="31"/>
      <c r="V604" s="146">
        <v>195553.05</v>
      </c>
      <c r="W604" s="145">
        <v>195533.05</v>
      </c>
      <c r="X604" s="145"/>
      <c r="Y604" s="146">
        <f t="shared" si="128"/>
        <v>2151083.5299999998</v>
      </c>
      <c r="Z604" s="145">
        <v>2151083.5299999998</v>
      </c>
      <c r="AA604" s="145"/>
      <c r="AB604" s="146">
        <f t="shared" si="139"/>
        <v>0</v>
      </c>
      <c r="AC604" s="147"/>
      <c r="AD604" s="147"/>
      <c r="AE604" s="30">
        <v>5118.14134739371</v>
      </c>
      <c r="AF604" s="30">
        <v>5118.14134739371</v>
      </c>
      <c r="AG604" s="33">
        <v>2024</v>
      </c>
      <c r="AH604" s="157"/>
      <c r="AI604" s="5">
        <f>+(K604*11.55+L604*23.1)*12*0.85</f>
        <v>751156.56</v>
      </c>
      <c r="AJ604" s="5">
        <f>+(K604*11.55+L604*23.1)*12*30-[3]Лист1!$AQ$321</f>
        <v>17920712.260000005</v>
      </c>
      <c r="AK604" s="5">
        <f t="shared" si="129"/>
        <v>4481041.7899999991</v>
      </c>
      <c r="AL604" s="146">
        <f t="shared" si="133"/>
        <v>0</v>
      </c>
      <c r="AM604" s="62"/>
      <c r="AN604" s="30"/>
      <c r="AO604" s="30"/>
      <c r="AP604" s="30">
        <v>4481041.79</v>
      </c>
      <c r="AQ604" s="30"/>
      <c r="AR604" s="30"/>
      <c r="AS604" s="62"/>
      <c r="AT604" s="30"/>
      <c r="AU604" s="30"/>
      <c r="AV604" s="30"/>
      <c r="AW604" s="30"/>
      <c r="AX604" s="30"/>
      <c r="AY604" s="30"/>
      <c r="AZ604" s="30"/>
      <c r="BA604" s="148"/>
      <c r="BB604" s="149">
        <f t="shared" si="130"/>
        <v>1</v>
      </c>
    </row>
    <row r="605" spans="1:54" ht="15.75" hidden="1">
      <c r="A605" s="10">
        <f t="shared" si="140"/>
        <v>584</v>
      </c>
      <c r="B605" s="12">
        <f t="shared" si="141"/>
        <v>124</v>
      </c>
      <c r="C605" s="12" t="s">
        <v>185</v>
      </c>
      <c r="D605" s="12" t="s">
        <v>304</v>
      </c>
      <c r="E605" s="102">
        <v>1975</v>
      </c>
      <c r="F605" s="102">
        <v>2013</v>
      </c>
      <c r="G605" s="102" t="s">
        <v>3</v>
      </c>
      <c r="H605" s="102">
        <v>4</v>
      </c>
      <c r="I605" s="102">
        <v>4</v>
      </c>
      <c r="J605" s="62">
        <v>2912.6</v>
      </c>
      <c r="K605" s="62">
        <v>2004.3</v>
      </c>
      <c r="L605" s="62">
        <v>902.2</v>
      </c>
      <c r="M605" s="103">
        <v>104</v>
      </c>
      <c r="N605" s="28">
        <f t="shared" si="125"/>
        <v>12480023.629999999</v>
      </c>
      <c r="O605" s="30"/>
      <c r="P605" s="30">
        <f t="shared" si="126"/>
        <v>1207773.04</v>
      </c>
      <c r="Q605" s="152">
        <v>1207773.04</v>
      </c>
      <c r="R605" s="145"/>
      <c r="S605" s="30"/>
      <c r="T605" s="31"/>
      <c r="U605" s="31"/>
      <c r="V605" s="146">
        <f t="shared" ref="V605:V636" si="142">W605+X605</f>
        <v>1803473.18</v>
      </c>
      <c r="W605" s="145">
        <v>1803473.18</v>
      </c>
      <c r="X605" s="145"/>
      <c r="Y605" s="146">
        <f t="shared" si="128"/>
        <v>9468777.4100000001</v>
      </c>
      <c r="Z605" s="145">
        <v>9468777.4100000001</v>
      </c>
      <c r="AA605" s="145"/>
      <c r="AB605" s="146">
        <f t="shared" si="139"/>
        <v>0</v>
      </c>
      <c r="AC605" s="147"/>
      <c r="AD605" s="147"/>
      <c r="AE605" s="62">
        <v>7493.7221680113998</v>
      </c>
      <c r="AF605" s="62">
        <v>7493.7221680113998</v>
      </c>
      <c r="AG605" s="33">
        <v>2024</v>
      </c>
      <c r="AI605" s="5">
        <f>+(K605*11.55+L605*23.1)*12*0.85</f>
        <v>448702.94700000004</v>
      </c>
      <c r="AJ605" s="5">
        <f>+(K605*11.55+L605*23.1)*12*30-[3]Лист1!$AQ$322</f>
        <v>5518419.5500000007</v>
      </c>
      <c r="AK605" s="5">
        <f t="shared" si="129"/>
        <v>12480023.629999999</v>
      </c>
      <c r="AL605" s="146">
        <f t="shared" si="133"/>
        <v>0</v>
      </c>
      <c r="AM605" s="62">
        <v>6151696.8300000001</v>
      </c>
      <c r="AN605" s="30">
        <v>0</v>
      </c>
      <c r="AO605" s="30">
        <v>0</v>
      </c>
      <c r="AP605" s="30">
        <v>0</v>
      </c>
      <c r="AQ605" s="30">
        <v>586245.68000000005</v>
      </c>
      <c r="AR605" s="30"/>
      <c r="AS605" s="62"/>
      <c r="AT605" s="30">
        <v>0</v>
      </c>
      <c r="AU605" s="30"/>
      <c r="AV605" s="30">
        <v>0</v>
      </c>
      <c r="AW605" s="30">
        <v>0</v>
      </c>
      <c r="AX605" s="30">
        <v>5742081.1200000001</v>
      </c>
      <c r="AY605" s="30"/>
      <c r="AZ605" s="30"/>
      <c r="BA605" s="148"/>
      <c r="BB605" s="149">
        <f t="shared" si="130"/>
        <v>3</v>
      </c>
    </row>
    <row r="606" spans="1:54" s="142" customFormat="1" ht="15.75" hidden="1">
      <c r="A606" s="10">
        <f t="shared" si="140"/>
        <v>585</v>
      </c>
      <c r="B606" s="12">
        <f t="shared" si="141"/>
        <v>125</v>
      </c>
      <c r="C606" s="12" t="s">
        <v>313</v>
      </c>
      <c r="D606" s="12" t="s">
        <v>457</v>
      </c>
      <c r="E606" s="120" t="s">
        <v>458</v>
      </c>
      <c r="F606" s="120"/>
      <c r="G606" s="120" t="s">
        <v>3</v>
      </c>
      <c r="H606" s="120" t="s">
        <v>169</v>
      </c>
      <c r="I606" s="120" t="s">
        <v>183</v>
      </c>
      <c r="J606" s="30">
        <v>4845.3999999999996</v>
      </c>
      <c r="K606" s="30">
        <v>4280.6000000000004</v>
      </c>
      <c r="L606" s="30">
        <v>0</v>
      </c>
      <c r="M606" s="121">
        <v>179</v>
      </c>
      <c r="N606" s="28">
        <f t="shared" si="125"/>
        <v>1690317.6</v>
      </c>
      <c r="O606" s="30">
        <v>0</v>
      </c>
      <c r="P606" s="30">
        <f t="shared" si="126"/>
        <v>0</v>
      </c>
      <c r="Q606" s="143"/>
      <c r="R606" s="31"/>
      <c r="S606" s="30"/>
      <c r="T606" s="31"/>
      <c r="U606" s="31"/>
      <c r="V606" s="146">
        <f t="shared" si="142"/>
        <v>1690317.6</v>
      </c>
      <c r="W606" s="145">
        <v>1690317.6</v>
      </c>
      <c r="X606" s="145"/>
      <c r="Y606" s="146">
        <f t="shared" si="128"/>
        <v>0</v>
      </c>
      <c r="Z606" s="31"/>
      <c r="AA606" s="31"/>
      <c r="AB606" s="146">
        <f t="shared" si="139"/>
        <v>0</v>
      </c>
      <c r="AC606" s="147"/>
      <c r="AD606" s="147"/>
      <c r="AE606" s="30">
        <v>460.27107691071302</v>
      </c>
      <c r="AF606" s="30">
        <v>1319.2830200640001</v>
      </c>
      <c r="AG606" s="33">
        <v>2024</v>
      </c>
      <c r="AH606" s="98">
        <v>2537481.14</v>
      </c>
      <c r="AI606" s="5">
        <f>+(K606*10.5+L606*21)*12*0.85</f>
        <v>458452.26000000007</v>
      </c>
      <c r="AJ606" s="5">
        <f>+(K606*11.55+L606*23.1)*12*30</f>
        <v>17798734.800000004</v>
      </c>
      <c r="AK606" s="5">
        <f t="shared" si="129"/>
        <v>1690317.6</v>
      </c>
      <c r="AL606" s="146">
        <f t="shared" si="133"/>
        <v>0</v>
      </c>
      <c r="AM606" s="62"/>
      <c r="AN606" s="30"/>
      <c r="AO606" s="30"/>
      <c r="AP606" s="30"/>
      <c r="AQ606" s="30">
        <v>1690317.6</v>
      </c>
      <c r="AR606" s="30"/>
      <c r="AS606" s="62"/>
      <c r="AT606" s="30"/>
      <c r="AU606" s="30"/>
      <c r="AV606" s="30"/>
      <c r="AW606" s="30"/>
      <c r="AX606" s="30"/>
      <c r="AY606" s="153"/>
      <c r="AZ606" s="153"/>
      <c r="BA606" s="148"/>
      <c r="BB606" s="149">
        <f t="shared" si="130"/>
        <v>1</v>
      </c>
    </row>
    <row r="607" spans="1:54" s="142" customFormat="1" ht="15.75" hidden="1">
      <c r="A607" s="10">
        <f t="shared" si="140"/>
        <v>586</v>
      </c>
      <c r="B607" s="12">
        <f t="shared" si="141"/>
        <v>126</v>
      </c>
      <c r="C607" s="12" t="s">
        <v>313</v>
      </c>
      <c r="D607" s="12" t="s">
        <v>459</v>
      </c>
      <c r="E607" s="120" t="s">
        <v>81</v>
      </c>
      <c r="F607" s="120"/>
      <c r="G607" s="120" t="s">
        <v>3</v>
      </c>
      <c r="H607" s="120" t="s">
        <v>183</v>
      </c>
      <c r="I607" s="120" t="s">
        <v>220</v>
      </c>
      <c r="J607" s="30">
        <v>5051.1899999999996</v>
      </c>
      <c r="K607" s="30">
        <v>4630.8</v>
      </c>
      <c r="L607" s="30">
        <v>0</v>
      </c>
      <c r="M607" s="121">
        <v>233</v>
      </c>
      <c r="N607" s="28">
        <f t="shared" si="125"/>
        <v>48732853.009999998</v>
      </c>
      <c r="O607" s="30">
        <v>0</v>
      </c>
      <c r="P607" s="30">
        <f t="shared" si="126"/>
        <v>40897108.869999997</v>
      </c>
      <c r="Q607" s="152">
        <v>26345274.34</v>
      </c>
      <c r="R607" s="145">
        <v>14551834.529999999</v>
      </c>
      <c r="S607" s="30"/>
      <c r="T607" s="31"/>
      <c r="U607" s="31"/>
      <c r="V607" s="146">
        <f t="shared" si="142"/>
        <v>495958.68</v>
      </c>
      <c r="W607" s="145">
        <v>495958.68</v>
      </c>
      <c r="X607" s="145"/>
      <c r="Y607" s="146">
        <f t="shared" si="128"/>
        <v>0</v>
      </c>
      <c r="Z607" s="31"/>
      <c r="AA607" s="31"/>
      <c r="AB607" s="146">
        <f t="shared" si="139"/>
        <v>7339785.46</v>
      </c>
      <c r="AC607" s="147"/>
      <c r="AD607" s="145">
        <v>7339785.46</v>
      </c>
      <c r="AE607" s="30">
        <v>13629.8191357263</v>
      </c>
      <c r="AF607" s="30">
        <v>1323.2830200640001</v>
      </c>
      <c r="AG607" s="33">
        <v>2024</v>
      </c>
      <c r="AH607" s="98"/>
      <c r="AI607" s="5">
        <f>+(K607*10.5+L607*21)*12*0.85</f>
        <v>495958.68000000005</v>
      </c>
      <c r="AJ607" s="5">
        <f>+(K607*11.55+L607*23.1)*12*30-[3]Лист1!$AQ$326</f>
        <v>11958196.590000004</v>
      </c>
      <c r="AK607" s="5">
        <f t="shared" si="129"/>
        <v>48732853.009999998</v>
      </c>
      <c r="AL607" s="146">
        <f t="shared" si="133"/>
        <v>0</v>
      </c>
      <c r="AM607" s="62">
        <v>12033925.76</v>
      </c>
      <c r="AN607" s="30"/>
      <c r="AO607" s="30"/>
      <c r="AP607" s="30"/>
      <c r="AQ607" s="30"/>
      <c r="AR607" s="30"/>
      <c r="AS607" s="62"/>
      <c r="AT607" s="30"/>
      <c r="AU607" s="30"/>
      <c r="AV607" s="30"/>
      <c r="AW607" s="30">
        <v>36698927.25</v>
      </c>
      <c r="AX607" s="30"/>
      <c r="AY607" s="153"/>
      <c r="AZ607" s="153"/>
      <c r="BA607" s="148"/>
      <c r="BB607" s="149">
        <f t="shared" si="130"/>
        <v>2</v>
      </c>
    </row>
    <row r="608" spans="1:54" ht="15.75" hidden="1">
      <c r="A608" s="10">
        <f t="shared" si="140"/>
        <v>587</v>
      </c>
      <c r="B608" s="12">
        <f t="shared" si="141"/>
        <v>127</v>
      </c>
      <c r="C608" s="12" t="s">
        <v>185</v>
      </c>
      <c r="D608" s="12" t="s">
        <v>307</v>
      </c>
      <c r="E608" s="120">
        <v>1966</v>
      </c>
      <c r="F608" s="120">
        <v>2013</v>
      </c>
      <c r="G608" s="120" t="s">
        <v>3</v>
      </c>
      <c r="H608" s="120">
        <v>4</v>
      </c>
      <c r="I608" s="120">
        <v>6</v>
      </c>
      <c r="J608" s="30">
        <v>2829.5</v>
      </c>
      <c r="K608" s="30">
        <v>2537.8000000000002</v>
      </c>
      <c r="L608" s="30">
        <v>230.6</v>
      </c>
      <c r="M608" s="121">
        <v>144</v>
      </c>
      <c r="N608" s="28">
        <f t="shared" si="125"/>
        <v>21061738.340000004</v>
      </c>
      <c r="O608" s="30"/>
      <c r="P608" s="30">
        <f t="shared" si="126"/>
        <v>17477201.98</v>
      </c>
      <c r="Q608" s="152">
        <v>12271985.529999999</v>
      </c>
      <c r="R608" s="145">
        <v>5205216.45</v>
      </c>
      <c r="S608" s="30"/>
      <c r="T608" s="31"/>
      <c r="U608" s="31"/>
      <c r="V608" s="146">
        <f t="shared" si="142"/>
        <v>0</v>
      </c>
      <c r="W608" s="145"/>
      <c r="X608" s="145"/>
      <c r="Y608" s="146">
        <f t="shared" si="128"/>
        <v>1478362.53</v>
      </c>
      <c r="Z608" s="145">
        <v>1478362.53</v>
      </c>
      <c r="AA608" s="145"/>
      <c r="AB608" s="146">
        <f t="shared" si="139"/>
        <v>2106173.83</v>
      </c>
      <c r="AC608" s="147"/>
      <c r="AD608" s="145">
        <v>2106173.83</v>
      </c>
      <c r="AE608" s="30">
        <v>10013.2315696325</v>
      </c>
      <c r="AF608" s="30">
        <v>1324.2830200640001</v>
      </c>
      <c r="AG608" s="33">
        <v>2024</v>
      </c>
      <c r="AH608" s="166"/>
      <c r="AI608" s="5">
        <f>+(K608*11.55+L608*23.1)*12*0.85</f>
        <v>353312.19</v>
      </c>
      <c r="AJ608" s="5">
        <f>+(K608*11.55+L608*23.1)*12*30-[3]Лист1!$AQ$327</f>
        <v>-1728959.3399999999</v>
      </c>
      <c r="AK608" s="5">
        <f t="shared" si="129"/>
        <v>21061738.340000004</v>
      </c>
      <c r="AL608" s="146">
        <f t="shared" si="133"/>
        <v>0</v>
      </c>
      <c r="AM608" s="62"/>
      <c r="AN608" s="30"/>
      <c r="AO608" s="30"/>
      <c r="AP608" s="30"/>
      <c r="AQ608" s="30"/>
      <c r="AR608" s="30"/>
      <c r="AS608" s="62"/>
      <c r="AT608" s="30"/>
      <c r="AU608" s="30"/>
      <c r="AV608" s="30">
        <v>0</v>
      </c>
      <c r="AW608" s="30">
        <v>21061738.34</v>
      </c>
      <c r="AX608" s="30"/>
      <c r="AY608" s="153"/>
      <c r="AZ608" s="153"/>
      <c r="BA608" s="156"/>
      <c r="BB608" s="149">
        <f t="shared" si="130"/>
        <v>1</v>
      </c>
    </row>
    <row r="609" spans="1:54" s="142" customFormat="1" ht="15.75" hidden="1">
      <c r="A609" s="10">
        <f t="shared" si="140"/>
        <v>588</v>
      </c>
      <c r="B609" s="12">
        <f t="shared" si="141"/>
        <v>128</v>
      </c>
      <c r="C609" s="12" t="s">
        <v>313</v>
      </c>
      <c r="D609" s="12" t="s">
        <v>460</v>
      </c>
      <c r="E609" s="120" t="s">
        <v>461</v>
      </c>
      <c r="F609" s="120"/>
      <c r="G609" s="120" t="s">
        <v>3</v>
      </c>
      <c r="H609" s="120" t="s">
        <v>169</v>
      </c>
      <c r="I609" s="120" t="s">
        <v>183</v>
      </c>
      <c r="J609" s="30">
        <v>3196.5</v>
      </c>
      <c r="K609" s="30">
        <v>2451.1</v>
      </c>
      <c r="L609" s="30">
        <v>745</v>
      </c>
      <c r="M609" s="121">
        <v>156</v>
      </c>
      <c r="N609" s="28">
        <f t="shared" ref="N609:N672" si="143">P609+S609+V609+Y609+AB609</f>
        <v>31998544.48</v>
      </c>
      <c r="O609" s="30">
        <v>0</v>
      </c>
      <c r="P609" s="30">
        <f t="shared" ref="P609:P672" si="144">Q609+R609</f>
        <v>12758712.68</v>
      </c>
      <c r="Q609" s="187">
        <v>11797362.439999999</v>
      </c>
      <c r="R609" s="144">
        <v>961350.24</v>
      </c>
      <c r="S609" s="30"/>
      <c r="T609" s="31"/>
      <c r="U609" s="31"/>
      <c r="V609" s="146">
        <f t="shared" si="142"/>
        <v>2457097</v>
      </c>
      <c r="W609" s="145">
        <v>2457097</v>
      </c>
      <c r="X609" s="145"/>
      <c r="Y609" s="146">
        <f t="shared" ref="Y609:Y672" si="145">Z609+AA609</f>
        <v>15014882.91</v>
      </c>
      <c r="Z609" s="145">
        <v>15014882.91</v>
      </c>
      <c r="AA609" s="145"/>
      <c r="AB609" s="146">
        <f t="shared" si="139"/>
        <v>1767851.89</v>
      </c>
      <c r="AC609" s="147"/>
      <c r="AD609" s="145">
        <v>1767851.89</v>
      </c>
      <c r="AE609" s="30">
        <v>17522.516586926798</v>
      </c>
      <c r="AF609" s="30">
        <v>1326.2830200640001</v>
      </c>
      <c r="AG609" s="33">
        <v>2024</v>
      </c>
      <c r="AH609" s="98"/>
      <c r="AI609" s="5">
        <f>+(K609*11.55+L609*23.1)*12*0.85</f>
        <v>464300.99099999998</v>
      </c>
      <c r="AJ609" s="5">
        <f>+(K609*11.55+L609*23.1)*12*30-[3]Лист1!$AQ$329</f>
        <v>15014882.909999998</v>
      </c>
      <c r="AK609" s="5">
        <f t="shared" ref="AK609:AK672" si="146">+N609-AL609</f>
        <v>31998544.48</v>
      </c>
      <c r="AL609" s="146">
        <f t="shared" si="133"/>
        <v>0</v>
      </c>
      <c r="AM609" s="62">
        <v>8148276.9699999997</v>
      </c>
      <c r="AN609" s="30">
        <v>2524696.02</v>
      </c>
      <c r="AO609" s="30">
        <v>1505564.28</v>
      </c>
      <c r="AP609" s="30">
        <v>2141488.27</v>
      </c>
      <c r="AQ609" s="30"/>
      <c r="AR609" s="30"/>
      <c r="AS609" s="62"/>
      <c r="AT609" s="30"/>
      <c r="AU609" s="30">
        <v>17678518.940000001</v>
      </c>
      <c r="AV609" s="30"/>
      <c r="AW609" s="30"/>
      <c r="AX609" s="30"/>
      <c r="AY609" s="153"/>
      <c r="AZ609" s="153"/>
      <c r="BA609" s="148"/>
      <c r="BB609" s="149">
        <f t="shared" ref="BB609:BB672" si="147">COUNTIF(AM609:AX609, "&gt;0")</f>
        <v>5</v>
      </c>
    </row>
    <row r="610" spans="1:54" s="142" customFormat="1" ht="15.75" hidden="1">
      <c r="A610" s="10">
        <f t="shared" si="140"/>
        <v>589</v>
      </c>
      <c r="B610" s="12">
        <f t="shared" si="141"/>
        <v>129</v>
      </c>
      <c r="C610" s="12" t="s">
        <v>313</v>
      </c>
      <c r="D610" s="12" t="s">
        <v>463</v>
      </c>
      <c r="E610" s="120" t="s">
        <v>315</v>
      </c>
      <c r="F610" s="120"/>
      <c r="G610" s="120" t="s">
        <v>3</v>
      </c>
      <c r="H610" s="120" t="s">
        <v>183</v>
      </c>
      <c r="I610" s="120" t="s">
        <v>183</v>
      </c>
      <c r="J610" s="30">
        <v>3950.89</v>
      </c>
      <c r="K610" s="30">
        <v>3454.6</v>
      </c>
      <c r="L610" s="30">
        <v>0</v>
      </c>
      <c r="M610" s="121">
        <v>153</v>
      </c>
      <c r="N610" s="28">
        <f t="shared" si="143"/>
        <v>19574027.459999997</v>
      </c>
      <c r="O610" s="30">
        <v>0</v>
      </c>
      <c r="P610" s="30">
        <f t="shared" si="144"/>
        <v>9520897.1099999994</v>
      </c>
      <c r="Q610" s="152">
        <v>6883592.6600000001</v>
      </c>
      <c r="R610" s="145">
        <v>2637304.4500000002</v>
      </c>
      <c r="S610" s="30"/>
      <c r="T610" s="31"/>
      <c r="U610" s="31"/>
      <c r="V610" s="146">
        <f t="shared" si="142"/>
        <v>369987.66</v>
      </c>
      <c r="W610" s="145">
        <v>369987.66</v>
      </c>
      <c r="X610" s="145"/>
      <c r="Y610" s="146">
        <f t="shared" si="145"/>
        <v>7837424.54</v>
      </c>
      <c r="Z610" s="145">
        <v>7837424.54</v>
      </c>
      <c r="AA610" s="145"/>
      <c r="AB610" s="146">
        <f t="shared" si="139"/>
        <v>1845718.15</v>
      </c>
      <c r="AC610" s="147"/>
      <c r="AD610" s="145">
        <v>1845718.15</v>
      </c>
      <c r="AE610" s="30">
        <v>6210.6556224145697</v>
      </c>
      <c r="AF610" s="30">
        <v>1327.2830200640001</v>
      </c>
      <c r="AG610" s="33">
        <v>2024</v>
      </c>
      <c r="AH610" s="98"/>
      <c r="AI610" s="5">
        <f>+(K610*11.55+L610*23.1)*12*0.85</f>
        <v>406986.42600000004</v>
      </c>
      <c r="AJ610" s="5">
        <f>+(K610*11.55+L610*23.1)*12*30-[3]Лист1!$AQ$330</f>
        <v>3792529.7300000004</v>
      </c>
      <c r="AK610" s="5">
        <f t="shared" si="146"/>
        <v>19574027.459999997</v>
      </c>
      <c r="AL610" s="146">
        <f t="shared" ref="AL610:AL673" si="148">SUBTOTAL(9, AM610:BA610)</f>
        <v>0</v>
      </c>
      <c r="AM610" s="62">
        <v>6171316.7599999998</v>
      </c>
      <c r="AN610" s="30">
        <v>1336962.2</v>
      </c>
      <c r="AO610" s="30">
        <v>0</v>
      </c>
      <c r="AP610" s="30">
        <v>2007492.5</v>
      </c>
      <c r="AQ610" s="30"/>
      <c r="AR610" s="30"/>
      <c r="AS610" s="62"/>
      <c r="AT610" s="30">
        <v>0</v>
      </c>
      <c r="AU610" s="30"/>
      <c r="AV610" s="30">
        <v>0</v>
      </c>
      <c r="AW610" s="30"/>
      <c r="AX610" s="30">
        <v>10058256</v>
      </c>
      <c r="AY610" s="30"/>
      <c r="AZ610" s="30"/>
      <c r="BA610" s="148"/>
      <c r="BB610" s="149">
        <f t="shared" si="147"/>
        <v>4</v>
      </c>
    </row>
    <row r="611" spans="1:54" s="142" customFormat="1" ht="15.75" hidden="1">
      <c r="A611" s="10">
        <f t="shared" si="140"/>
        <v>590</v>
      </c>
      <c r="B611" s="12">
        <f t="shared" si="141"/>
        <v>130</v>
      </c>
      <c r="C611" s="101" t="s">
        <v>313</v>
      </c>
      <c r="D611" s="101" t="s">
        <v>465</v>
      </c>
      <c r="E611" s="102" t="s">
        <v>466</v>
      </c>
      <c r="F611" s="102"/>
      <c r="G611" s="102" t="s">
        <v>3</v>
      </c>
      <c r="H611" s="102" t="s">
        <v>183</v>
      </c>
      <c r="I611" s="102" t="s">
        <v>183</v>
      </c>
      <c r="J611" s="62">
        <v>3906</v>
      </c>
      <c r="K611" s="62">
        <v>3421.4</v>
      </c>
      <c r="L611" s="62">
        <v>0</v>
      </c>
      <c r="M611" s="103">
        <v>129</v>
      </c>
      <c r="N611" s="28">
        <f t="shared" si="143"/>
        <v>2811451.2</v>
      </c>
      <c r="O611" s="62"/>
      <c r="P611" s="30">
        <f t="shared" si="144"/>
        <v>454992.63</v>
      </c>
      <c r="Q611" s="154">
        <v>454992.63</v>
      </c>
      <c r="R611" s="145"/>
      <c r="S611" s="30"/>
      <c r="T611" s="31"/>
      <c r="U611" s="31"/>
      <c r="V611" s="146">
        <f t="shared" si="142"/>
        <v>1794168.33</v>
      </c>
      <c r="W611" s="145">
        <v>1794168.33</v>
      </c>
      <c r="X611" s="145"/>
      <c r="Y611" s="146">
        <f t="shared" si="145"/>
        <v>0</v>
      </c>
      <c r="Z611" s="31"/>
      <c r="AA611" s="31"/>
      <c r="AB611" s="146">
        <f t="shared" si="139"/>
        <v>562290.24</v>
      </c>
      <c r="AC611" s="147"/>
      <c r="AD611" s="145">
        <v>562290.24</v>
      </c>
      <c r="AE611" s="30">
        <v>2605.4982719999998</v>
      </c>
      <c r="AF611" s="30">
        <v>1328.2830200640001</v>
      </c>
      <c r="AG611" s="33">
        <v>2024</v>
      </c>
      <c r="AH611" s="166">
        <v>1883712.58</v>
      </c>
      <c r="AI611" s="5">
        <f>+(K611*10.5+L611*21)*12*0.85</f>
        <v>366431.94</v>
      </c>
      <c r="AJ611" s="5">
        <f>+(K611*11.55+L611*23.1)*12*30</f>
        <v>14226181.200000001</v>
      </c>
      <c r="AK611" s="5">
        <f t="shared" si="146"/>
        <v>2811451.2</v>
      </c>
      <c r="AL611" s="146">
        <f t="shared" si="148"/>
        <v>0</v>
      </c>
      <c r="AM611" s="62"/>
      <c r="AN611" s="30"/>
      <c r="AO611" s="30"/>
      <c r="AP611" s="30"/>
      <c r="AQ611" s="30"/>
      <c r="AR611" s="30"/>
      <c r="AS611" s="62"/>
      <c r="AT611" s="30"/>
      <c r="AU611" s="30"/>
      <c r="AV611" s="30"/>
      <c r="AW611" s="30"/>
      <c r="AX611" s="30">
        <v>2811451.2</v>
      </c>
      <c r="AY611" s="153"/>
      <c r="AZ611" s="153"/>
      <c r="BA611" s="148"/>
      <c r="BB611" s="149">
        <f t="shared" si="147"/>
        <v>1</v>
      </c>
    </row>
    <row r="612" spans="1:54" ht="15.75" hidden="1">
      <c r="A612" s="10">
        <f t="shared" si="140"/>
        <v>591</v>
      </c>
      <c r="B612" s="12">
        <f t="shared" si="141"/>
        <v>131</v>
      </c>
      <c r="C612" s="12" t="s">
        <v>185</v>
      </c>
      <c r="D612" s="12" t="s">
        <v>467</v>
      </c>
      <c r="E612" s="120">
        <v>1976</v>
      </c>
      <c r="F612" s="120">
        <v>2013</v>
      </c>
      <c r="G612" s="120" t="s">
        <v>3</v>
      </c>
      <c r="H612" s="120">
        <v>4</v>
      </c>
      <c r="I612" s="120">
        <v>4</v>
      </c>
      <c r="J612" s="30">
        <v>2850.8</v>
      </c>
      <c r="K612" s="30">
        <v>2612.3000000000002</v>
      </c>
      <c r="L612" s="30">
        <v>0</v>
      </c>
      <c r="M612" s="121">
        <v>135</v>
      </c>
      <c r="N612" s="28">
        <f t="shared" si="143"/>
        <v>989236.26</v>
      </c>
      <c r="O612" s="30"/>
      <c r="P612" s="30">
        <f t="shared" si="144"/>
        <v>0</v>
      </c>
      <c r="Q612" s="143"/>
      <c r="R612" s="31"/>
      <c r="S612" s="30"/>
      <c r="T612" s="31"/>
      <c r="U612" s="31"/>
      <c r="V612" s="146">
        <f t="shared" si="142"/>
        <v>989236.26</v>
      </c>
      <c r="W612" s="145">
        <v>989236.26</v>
      </c>
      <c r="X612" s="145"/>
      <c r="Y612" s="146">
        <f t="shared" si="145"/>
        <v>0</v>
      </c>
      <c r="Z612" s="31"/>
      <c r="AA612" s="31"/>
      <c r="AB612" s="146">
        <f t="shared" si="139"/>
        <v>0</v>
      </c>
      <c r="AC612" s="147"/>
      <c r="AD612" s="147"/>
      <c r="AE612" s="30">
        <v>392.067540981511</v>
      </c>
      <c r="AF612" s="30">
        <v>392.067540981511</v>
      </c>
      <c r="AG612" s="33">
        <v>2024</v>
      </c>
      <c r="AH612" s="1">
        <f>1147783.87-88084.66</f>
        <v>1059699.2100000002</v>
      </c>
      <c r="AI612" s="5">
        <f>+(K612*10+L612*20)*12*0.85</f>
        <v>266454.59999999998</v>
      </c>
      <c r="AJ612" s="5">
        <f>+(K612*11.55+L612*23.1)*12*30</f>
        <v>10861943.4</v>
      </c>
      <c r="AK612" s="5">
        <f t="shared" si="146"/>
        <v>989236.26</v>
      </c>
      <c r="AL612" s="146">
        <f t="shared" si="148"/>
        <v>0</v>
      </c>
      <c r="AM612" s="62"/>
      <c r="AN612" s="30"/>
      <c r="AO612" s="30"/>
      <c r="AP612" s="30"/>
      <c r="AQ612" s="30">
        <v>989236.26</v>
      </c>
      <c r="AR612" s="30"/>
      <c r="AS612" s="62"/>
      <c r="AT612" s="30"/>
      <c r="AU612" s="30"/>
      <c r="AV612" s="30"/>
      <c r="AW612" s="30"/>
      <c r="AX612" s="30"/>
      <c r="AY612" s="30"/>
      <c r="AZ612" s="30"/>
      <c r="BA612" s="148"/>
      <c r="BB612" s="149">
        <f t="shared" si="147"/>
        <v>1</v>
      </c>
    </row>
    <row r="613" spans="1:54" ht="15.75" hidden="1">
      <c r="A613" s="10">
        <f t="shared" si="140"/>
        <v>592</v>
      </c>
      <c r="B613" s="12">
        <f t="shared" si="141"/>
        <v>132</v>
      </c>
      <c r="C613" s="101" t="s">
        <v>185</v>
      </c>
      <c r="D613" s="101" t="s">
        <v>317</v>
      </c>
      <c r="E613" s="102">
        <v>1986</v>
      </c>
      <c r="F613" s="102">
        <v>2013</v>
      </c>
      <c r="G613" s="102" t="s">
        <v>3</v>
      </c>
      <c r="H613" s="102">
        <v>12</v>
      </c>
      <c r="I613" s="102">
        <v>1</v>
      </c>
      <c r="J613" s="62">
        <v>5358.08</v>
      </c>
      <c r="K613" s="62">
        <v>4351.1000000000004</v>
      </c>
      <c r="L613" s="62">
        <v>75.099999999999994</v>
      </c>
      <c r="M613" s="103">
        <v>175</v>
      </c>
      <c r="N613" s="28">
        <f t="shared" si="143"/>
        <v>630551.78</v>
      </c>
      <c r="O613" s="62"/>
      <c r="P613" s="30">
        <f t="shared" si="144"/>
        <v>0</v>
      </c>
      <c r="Q613" s="161">
        <v>0</v>
      </c>
      <c r="R613" s="31"/>
      <c r="S613" s="30"/>
      <c r="T613" s="31"/>
      <c r="U613" s="31"/>
      <c r="V613" s="146">
        <f t="shared" si="142"/>
        <v>0</v>
      </c>
      <c r="W613" s="31"/>
      <c r="X613" s="31"/>
      <c r="Y613" s="146">
        <f t="shared" si="145"/>
        <v>542862</v>
      </c>
      <c r="Z613" s="31">
        <v>542862</v>
      </c>
      <c r="AA613" s="31"/>
      <c r="AB613" s="146">
        <f t="shared" si="139"/>
        <v>87689.78</v>
      </c>
      <c r="AC613" s="145"/>
      <c r="AD613" s="163">
        <v>87689.78</v>
      </c>
      <c r="AE613" s="30">
        <v>122.647417649451</v>
      </c>
      <c r="AF613" s="30">
        <v>122.647417649451</v>
      </c>
      <c r="AG613" s="33">
        <v>2024</v>
      </c>
      <c r="AH613" s="1">
        <v>0</v>
      </c>
      <c r="AI613" s="5">
        <f>+(K613*15.35+L613*26.02)*12*0.85</f>
        <v>701183.56740000006</v>
      </c>
      <c r="AJ613" s="5">
        <f>+(K613*15.35+L613*26.02)*12*30-[3]Лист1!$AQ$334</f>
        <v>10408367.5</v>
      </c>
      <c r="AK613" s="5">
        <f t="shared" si="146"/>
        <v>630551.78</v>
      </c>
      <c r="AL613" s="146">
        <f t="shared" si="148"/>
        <v>0</v>
      </c>
      <c r="AM613" s="62"/>
      <c r="AN613" s="30"/>
      <c r="AO613" s="30"/>
      <c r="AP613" s="30"/>
      <c r="AQ613" s="30"/>
      <c r="AR613" s="30"/>
      <c r="AS613" s="62"/>
      <c r="AT613" s="30"/>
      <c r="AU613" s="30"/>
      <c r="AV613" s="30"/>
      <c r="AW613" s="30">
        <v>630551.78</v>
      </c>
      <c r="AX613" s="30"/>
      <c r="AY613" s="30"/>
      <c r="AZ613" s="30"/>
      <c r="BA613" s="156"/>
      <c r="BB613" s="149">
        <f t="shared" si="147"/>
        <v>1</v>
      </c>
    </row>
    <row r="614" spans="1:54" s="142" customFormat="1" ht="15.75" hidden="1">
      <c r="A614" s="10">
        <f t="shared" si="140"/>
        <v>593</v>
      </c>
      <c r="B614" s="12">
        <f t="shared" si="141"/>
        <v>133</v>
      </c>
      <c r="C614" s="12" t="s">
        <v>185</v>
      </c>
      <c r="D614" s="12" t="s">
        <v>319</v>
      </c>
      <c r="E614" s="120" t="s">
        <v>81</v>
      </c>
      <c r="F614" s="120"/>
      <c r="G614" s="120" t="s">
        <v>3</v>
      </c>
      <c r="H614" s="120" t="s">
        <v>183</v>
      </c>
      <c r="I614" s="120" t="s">
        <v>316</v>
      </c>
      <c r="J614" s="30">
        <v>5678.2</v>
      </c>
      <c r="K614" s="30">
        <v>4923.8</v>
      </c>
      <c r="L614" s="30">
        <v>69.900000000000006</v>
      </c>
      <c r="M614" s="121">
        <v>234</v>
      </c>
      <c r="N614" s="28">
        <f t="shared" si="143"/>
        <v>2808289.4299999997</v>
      </c>
      <c r="O614" s="30">
        <v>0</v>
      </c>
      <c r="P614" s="30">
        <f t="shared" si="144"/>
        <v>540390.93999999994</v>
      </c>
      <c r="Q614" s="143"/>
      <c r="R614" s="31">
        <v>540390.93999999994</v>
      </c>
      <c r="S614" s="30"/>
      <c r="T614" s="31"/>
      <c r="U614" s="31"/>
      <c r="V614" s="146">
        <f t="shared" si="142"/>
        <v>154853.49</v>
      </c>
      <c r="W614" s="145">
        <v>154853.49</v>
      </c>
      <c r="X614" s="145"/>
      <c r="Y614" s="146">
        <f t="shared" si="145"/>
        <v>1711538.53</v>
      </c>
      <c r="Z614" s="145">
        <v>1711538.53</v>
      </c>
      <c r="AA614" s="145"/>
      <c r="AB614" s="146">
        <f t="shared" si="139"/>
        <v>401506.47</v>
      </c>
      <c r="AC614" s="147"/>
      <c r="AD614" s="145">
        <v>401506.47</v>
      </c>
      <c r="AE614" s="30">
        <v>2000.17354200408</v>
      </c>
      <c r="AF614" s="30">
        <v>2000.17354200408</v>
      </c>
      <c r="AG614" s="33">
        <v>2024</v>
      </c>
      <c r="AH614" s="157"/>
      <c r="AI614" s="5">
        <f>+(K614*11.55+L614*23.1)*12*0.85</f>
        <v>596542.71600000001</v>
      </c>
      <c r="AJ614" s="5">
        <f>+(K614*11.55+L614*23.1)*12*30-[3]Лист1!$AQ$335</f>
        <v>1385446.9400000013</v>
      </c>
      <c r="AK614" s="5">
        <f t="shared" si="146"/>
        <v>2808289.4299999997</v>
      </c>
      <c r="AL614" s="146">
        <f t="shared" si="148"/>
        <v>0</v>
      </c>
      <c r="AM614" s="62"/>
      <c r="AN614" s="30"/>
      <c r="AO614" s="30"/>
      <c r="AP614" s="30"/>
      <c r="AQ614" s="30">
        <v>2808289.43</v>
      </c>
      <c r="AR614" s="30"/>
      <c r="AS614" s="62"/>
      <c r="AT614" s="30"/>
      <c r="AU614" s="30"/>
      <c r="AV614" s="30"/>
      <c r="AW614" s="30"/>
      <c r="AX614" s="30"/>
      <c r="AY614" s="30"/>
      <c r="AZ614" s="30"/>
      <c r="BA614" s="148"/>
      <c r="BB614" s="149">
        <f t="shared" si="147"/>
        <v>1</v>
      </c>
    </row>
    <row r="615" spans="1:54" s="142" customFormat="1" ht="15.75" hidden="1">
      <c r="A615" s="10">
        <f t="shared" si="140"/>
        <v>594</v>
      </c>
      <c r="B615" s="12">
        <f t="shared" si="141"/>
        <v>134</v>
      </c>
      <c r="C615" s="12" t="s">
        <v>185</v>
      </c>
      <c r="D615" s="12" t="s">
        <v>470</v>
      </c>
      <c r="E615" s="120" t="s">
        <v>81</v>
      </c>
      <c r="F615" s="120"/>
      <c r="G615" s="120" t="s">
        <v>3</v>
      </c>
      <c r="H615" s="120" t="s">
        <v>183</v>
      </c>
      <c r="I615" s="120" t="s">
        <v>316</v>
      </c>
      <c r="J615" s="30">
        <v>5563.5</v>
      </c>
      <c r="K615" s="30">
        <v>4878.8999999999996</v>
      </c>
      <c r="L615" s="30">
        <v>141.30000000000001</v>
      </c>
      <c r="M615" s="121">
        <v>240</v>
      </c>
      <c r="N615" s="28">
        <f t="shared" si="143"/>
        <v>34019179.710000001</v>
      </c>
      <c r="O615" s="30">
        <v>0</v>
      </c>
      <c r="P615" s="30">
        <f t="shared" si="144"/>
        <v>20305031.150000002</v>
      </c>
      <c r="Q615" s="154">
        <v>18863693.780000001</v>
      </c>
      <c r="R615" s="145">
        <v>1441337.37</v>
      </c>
      <c r="S615" s="30"/>
      <c r="T615" s="31"/>
      <c r="U615" s="31"/>
      <c r="V615" s="146">
        <f t="shared" si="142"/>
        <v>1315650.73</v>
      </c>
      <c r="W615" s="145">
        <v>1315650.73</v>
      </c>
      <c r="X615" s="145"/>
      <c r="Y615" s="146">
        <f t="shared" si="145"/>
        <v>8591119.4700000007</v>
      </c>
      <c r="Z615" s="145">
        <v>8591119.4700000007</v>
      </c>
      <c r="AA615" s="145"/>
      <c r="AB615" s="146">
        <f t="shared" si="139"/>
        <v>3807378.36</v>
      </c>
      <c r="AC615" s="147"/>
      <c r="AD615" s="145">
        <v>3807378.36</v>
      </c>
      <c r="AE615" s="30">
        <v>10763.816116219699</v>
      </c>
      <c r="AF615" s="30">
        <v>10763.816116219699</v>
      </c>
      <c r="AG615" s="33">
        <v>2024</v>
      </c>
      <c r="AH615" s="157"/>
      <c r="AI615" s="5">
        <f>+(K615*11.55+L615*23.1)*12*0.85</f>
        <v>608076.31499999994</v>
      </c>
      <c r="AJ615" s="5">
        <f>+(K615*11.55+L615*23.1)*12*30-[3]Лист1!$AQ$336</f>
        <v>1455698.8499999978</v>
      </c>
      <c r="AK615" s="5">
        <f t="shared" si="146"/>
        <v>34019179.710000001</v>
      </c>
      <c r="AL615" s="146">
        <f t="shared" si="148"/>
        <v>0</v>
      </c>
      <c r="AM615" s="62"/>
      <c r="AN615" s="30"/>
      <c r="AO615" s="30"/>
      <c r="AP615" s="30"/>
      <c r="AQ615" s="30">
        <v>2752258.84</v>
      </c>
      <c r="AR615" s="30"/>
      <c r="AS615" s="62"/>
      <c r="AT615" s="30"/>
      <c r="AU615" s="30"/>
      <c r="AV615" s="30"/>
      <c r="AW615" s="30">
        <v>31266920.870000001</v>
      </c>
      <c r="AX615" s="30"/>
      <c r="AY615" s="30"/>
      <c r="AZ615" s="30"/>
      <c r="BA615" s="148"/>
      <c r="BB615" s="149">
        <f t="shared" si="147"/>
        <v>2</v>
      </c>
    </row>
    <row r="616" spans="1:54" s="142" customFormat="1" ht="15.75" hidden="1">
      <c r="A616" s="10">
        <f t="shared" si="140"/>
        <v>595</v>
      </c>
      <c r="B616" s="12">
        <f t="shared" si="141"/>
        <v>135</v>
      </c>
      <c r="C616" s="12" t="s">
        <v>313</v>
      </c>
      <c r="D616" s="12" t="s">
        <v>471</v>
      </c>
      <c r="E616" s="120" t="s">
        <v>315</v>
      </c>
      <c r="F616" s="120"/>
      <c r="G616" s="120" t="s">
        <v>3</v>
      </c>
      <c r="H616" s="120" t="s">
        <v>183</v>
      </c>
      <c r="I616" s="120" t="s">
        <v>316</v>
      </c>
      <c r="J616" s="30">
        <v>5751.1</v>
      </c>
      <c r="K616" s="30">
        <v>4971.6000000000004</v>
      </c>
      <c r="L616" s="30">
        <v>0</v>
      </c>
      <c r="M616" s="121">
        <v>221</v>
      </c>
      <c r="N616" s="28">
        <f t="shared" si="143"/>
        <v>20923158.340000004</v>
      </c>
      <c r="O616" s="30">
        <v>0</v>
      </c>
      <c r="P616" s="30">
        <f t="shared" si="144"/>
        <v>13992879.620000001</v>
      </c>
      <c r="Q616" s="154">
        <v>7689013.8700000001</v>
      </c>
      <c r="R616" s="145">
        <v>6303865.75</v>
      </c>
      <c r="S616" s="30"/>
      <c r="T616" s="31"/>
      <c r="U616" s="31"/>
      <c r="V616" s="146">
        <f t="shared" si="142"/>
        <v>1012327.49</v>
      </c>
      <c r="W616" s="145">
        <v>1012327.49</v>
      </c>
      <c r="X616" s="145"/>
      <c r="Y616" s="146">
        <f t="shared" si="145"/>
        <v>3825635.4</v>
      </c>
      <c r="Z616" s="145">
        <v>3825635.4</v>
      </c>
      <c r="AA616" s="145"/>
      <c r="AB616" s="146">
        <f t="shared" si="139"/>
        <v>2092315.83</v>
      </c>
      <c r="AC616" s="147"/>
      <c r="AD616" s="145">
        <v>2092315.83</v>
      </c>
      <c r="AE616" s="30">
        <v>7573.9732792899003</v>
      </c>
      <c r="AF616" s="30">
        <v>1330.2830200640001</v>
      </c>
      <c r="AG616" s="33">
        <v>2024</v>
      </c>
      <c r="AH616" s="98"/>
      <c r="AI616" s="5">
        <f>+(K616*11.55+L616*23.1)*12*0.85</f>
        <v>585704.19600000011</v>
      </c>
      <c r="AJ616" s="5">
        <f>+(K616*11.55+L616*23.1)*12*30-[3]Лист1!$AQ$337</f>
        <v>780529.00000000373</v>
      </c>
      <c r="AK616" s="5">
        <f t="shared" si="146"/>
        <v>20923158.340000004</v>
      </c>
      <c r="AL616" s="146">
        <f t="shared" si="148"/>
        <v>0</v>
      </c>
      <c r="AM616" s="62"/>
      <c r="AN616" s="30"/>
      <c r="AO616" s="30">
        <v>0</v>
      </c>
      <c r="AP616" s="30">
        <v>0</v>
      </c>
      <c r="AQ616" s="30"/>
      <c r="AR616" s="30"/>
      <c r="AS616" s="62"/>
      <c r="AT616" s="30">
        <v>0</v>
      </c>
      <c r="AU616" s="30"/>
      <c r="AV616" s="30">
        <v>0</v>
      </c>
      <c r="AW616" s="30">
        <v>20923158.34</v>
      </c>
      <c r="AX616" s="30"/>
      <c r="AY616" s="30"/>
      <c r="AZ616" s="30"/>
      <c r="BA616" s="148"/>
      <c r="BB616" s="149">
        <f t="shared" si="147"/>
        <v>1</v>
      </c>
    </row>
    <row r="617" spans="1:54" ht="15.75" hidden="1">
      <c r="A617" s="10">
        <f t="shared" si="140"/>
        <v>596</v>
      </c>
      <c r="B617" s="12">
        <f t="shared" si="141"/>
        <v>136</v>
      </c>
      <c r="C617" s="12" t="s">
        <v>185</v>
      </c>
      <c r="D617" s="12" t="s">
        <v>472</v>
      </c>
      <c r="E617" s="120">
        <v>1968</v>
      </c>
      <c r="F617" s="120">
        <v>2013</v>
      </c>
      <c r="G617" s="120" t="s">
        <v>3</v>
      </c>
      <c r="H617" s="120">
        <v>4</v>
      </c>
      <c r="I617" s="120">
        <v>3</v>
      </c>
      <c r="J617" s="30">
        <v>2488.5</v>
      </c>
      <c r="K617" s="30">
        <v>2348.1999999999998</v>
      </c>
      <c r="L617" s="30">
        <v>69.599999999999994</v>
      </c>
      <c r="M617" s="121">
        <v>64</v>
      </c>
      <c r="N617" s="28">
        <f t="shared" si="143"/>
        <v>13354250.779999999</v>
      </c>
      <c r="O617" s="30"/>
      <c r="P617" s="30">
        <f t="shared" si="144"/>
        <v>9152920.4399999995</v>
      </c>
      <c r="Q617" s="143">
        <v>5092349.01</v>
      </c>
      <c r="R617" s="31">
        <v>4060571.43</v>
      </c>
      <c r="S617" s="30"/>
      <c r="T617" s="31"/>
      <c r="U617" s="31"/>
      <c r="V617" s="146">
        <f t="shared" si="142"/>
        <v>330044.46999999997</v>
      </c>
      <c r="W617" s="145">
        <v>330044.46999999997</v>
      </c>
      <c r="X617" s="145"/>
      <c r="Y617" s="146">
        <f t="shared" si="145"/>
        <v>2402318.2799999998</v>
      </c>
      <c r="Z617" s="145">
        <v>2402318.2799999998</v>
      </c>
      <c r="AA617" s="145"/>
      <c r="AB617" s="146">
        <f t="shared" si="139"/>
        <v>1468967.59</v>
      </c>
      <c r="AC617" s="147"/>
      <c r="AD617" s="145">
        <v>1468967.59</v>
      </c>
      <c r="AE617" s="30">
        <v>8579.3892615606601</v>
      </c>
      <c r="AF617" s="30">
        <v>1333.2830200640001</v>
      </c>
      <c r="AG617" s="33">
        <v>2024</v>
      </c>
      <c r="AH617" s="98"/>
      <c r="AI617" s="5">
        <f>+(K617*11.55+L617*23.1)*12*0.85</f>
        <v>293040.59399999998</v>
      </c>
      <c r="AJ617" s="5">
        <f>+(K617*11.55+L617*23.1)*12*30-[3]Лист1!$AQ$339</f>
        <v>4774125.5599999996</v>
      </c>
      <c r="AK617" s="5">
        <f t="shared" si="146"/>
        <v>13354250.779999999</v>
      </c>
      <c r="AL617" s="177">
        <f t="shared" si="148"/>
        <v>0</v>
      </c>
      <c r="AM617" s="62">
        <v>0</v>
      </c>
      <c r="AN617" s="30">
        <v>1739799.32</v>
      </c>
      <c r="AO617" s="30">
        <v>0</v>
      </c>
      <c r="AP617" s="30">
        <v>956618.14</v>
      </c>
      <c r="AQ617" s="30"/>
      <c r="AR617" s="30"/>
      <c r="AS617" s="62"/>
      <c r="AT617" s="30">
        <v>0</v>
      </c>
      <c r="AU617" s="30">
        <v>0</v>
      </c>
      <c r="AV617" s="30">
        <v>0</v>
      </c>
      <c r="AW617" s="30">
        <v>10657833.32</v>
      </c>
      <c r="AX617" s="30"/>
      <c r="AY617" s="153"/>
      <c r="AZ617" s="153"/>
      <c r="BA617" s="148"/>
      <c r="BB617" s="149">
        <f t="shared" si="147"/>
        <v>3</v>
      </c>
    </row>
    <row r="618" spans="1:54" s="142" customFormat="1" ht="15.75" hidden="1">
      <c r="A618" s="10">
        <f t="shared" si="140"/>
        <v>597</v>
      </c>
      <c r="B618" s="12">
        <f t="shared" si="141"/>
        <v>137</v>
      </c>
      <c r="C618" s="12" t="s">
        <v>185</v>
      </c>
      <c r="D618" s="12" t="s">
        <v>474</v>
      </c>
      <c r="E618" s="120" t="s">
        <v>458</v>
      </c>
      <c r="F618" s="120"/>
      <c r="G618" s="120" t="s">
        <v>3</v>
      </c>
      <c r="H618" s="120" t="s">
        <v>169</v>
      </c>
      <c r="I618" s="120" t="s">
        <v>183</v>
      </c>
      <c r="J618" s="30">
        <v>4831.3</v>
      </c>
      <c r="K618" s="30">
        <v>4321.7</v>
      </c>
      <c r="L618" s="30">
        <v>0</v>
      </c>
      <c r="M618" s="121">
        <v>196</v>
      </c>
      <c r="N618" s="28">
        <f t="shared" si="143"/>
        <v>1878920.4</v>
      </c>
      <c r="O618" s="30">
        <v>0</v>
      </c>
      <c r="P618" s="30">
        <f t="shared" si="144"/>
        <v>35451.01</v>
      </c>
      <c r="Q618" s="143"/>
      <c r="R618" s="31">
        <v>35451.01</v>
      </c>
      <c r="S618" s="30"/>
      <c r="T618" s="31"/>
      <c r="U618" s="31"/>
      <c r="V618" s="146">
        <f t="shared" si="142"/>
        <v>1025076.65</v>
      </c>
      <c r="W618" s="145">
        <v>1025076.65</v>
      </c>
      <c r="X618" s="145"/>
      <c r="Y618" s="146">
        <f t="shared" si="145"/>
        <v>818392.74</v>
      </c>
      <c r="Z618" s="145">
        <v>818392.74</v>
      </c>
      <c r="AA618" s="145"/>
      <c r="AB618" s="146">
        <f t="shared" si="139"/>
        <v>0</v>
      </c>
      <c r="AC618" s="147"/>
      <c r="AD618" s="147"/>
      <c r="AE618" s="30">
        <v>497.83231298424198</v>
      </c>
      <c r="AF618" s="30">
        <v>497.83231298424198</v>
      </c>
      <c r="AG618" s="33">
        <v>2024</v>
      </c>
      <c r="AH618" s="142">
        <f>2071971.63-1179695.86</f>
        <v>892275.76999999979</v>
      </c>
      <c r="AI618" s="5">
        <f>+(K618*10+L618*20)*12*0.85</f>
        <v>440813.39999999997</v>
      </c>
      <c r="AJ618" s="5">
        <f>+(K618*11.55+L618*23.1)*12*30</f>
        <v>17969628.600000001</v>
      </c>
      <c r="AK618" s="5">
        <f t="shared" si="146"/>
        <v>1878920.4</v>
      </c>
      <c r="AL618" s="146">
        <f t="shared" si="148"/>
        <v>0</v>
      </c>
      <c r="AM618" s="62"/>
      <c r="AN618" s="30"/>
      <c r="AO618" s="30"/>
      <c r="AP618" s="30"/>
      <c r="AQ618" s="30">
        <v>1878920.4</v>
      </c>
      <c r="AR618" s="30"/>
      <c r="AS618" s="62"/>
      <c r="AT618" s="30"/>
      <c r="AU618" s="30"/>
      <c r="AV618" s="30"/>
      <c r="AW618" s="30"/>
      <c r="AX618" s="30"/>
      <c r="AY618" s="153"/>
      <c r="AZ618" s="153"/>
      <c r="BA618" s="148"/>
      <c r="BB618" s="149">
        <f t="shared" si="147"/>
        <v>1</v>
      </c>
    </row>
    <row r="619" spans="1:54" s="142" customFormat="1" ht="15.75" hidden="1">
      <c r="A619" s="10">
        <f t="shared" si="140"/>
        <v>598</v>
      </c>
      <c r="B619" s="12">
        <f t="shared" si="141"/>
        <v>138</v>
      </c>
      <c r="C619" s="12" t="s">
        <v>185</v>
      </c>
      <c r="D619" s="12" t="s">
        <v>475</v>
      </c>
      <c r="E619" s="120" t="s">
        <v>214</v>
      </c>
      <c r="F619" s="120"/>
      <c r="G619" s="120" t="s">
        <v>3</v>
      </c>
      <c r="H619" s="120" t="s">
        <v>169</v>
      </c>
      <c r="I619" s="120" t="s">
        <v>183</v>
      </c>
      <c r="J619" s="30">
        <v>4859.5</v>
      </c>
      <c r="K619" s="30">
        <v>4274.3</v>
      </c>
      <c r="L619" s="30">
        <v>0</v>
      </c>
      <c r="M619" s="121">
        <v>197</v>
      </c>
      <c r="N619" s="28">
        <f t="shared" si="143"/>
        <v>1882425.6</v>
      </c>
      <c r="O619" s="30">
        <v>0</v>
      </c>
      <c r="P619" s="30">
        <f t="shared" si="144"/>
        <v>0</v>
      </c>
      <c r="Q619" s="143"/>
      <c r="R619" s="31"/>
      <c r="S619" s="30"/>
      <c r="T619" s="31"/>
      <c r="U619" s="31"/>
      <c r="V619" s="146">
        <f t="shared" si="142"/>
        <v>1882425.6</v>
      </c>
      <c r="W619" s="145">
        <v>1882425.6</v>
      </c>
      <c r="X619" s="145"/>
      <c r="Y619" s="146">
        <f t="shared" si="145"/>
        <v>0</v>
      </c>
      <c r="Z619" s="31"/>
      <c r="AA619" s="31"/>
      <c r="AB619" s="146">
        <f t="shared" si="139"/>
        <v>0</v>
      </c>
      <c r="AC619" s="147"/>
      <c r="AD619" s="147"/>
      <c r="AE619" s="30">
        <v>504.05097117937402</v>
      </c>
      <c r="AF619" s="30">
        <v>504.05097117937402</v>
      </c>
      <c r="AG619" s="33">
        <v>2024</v>
      </c>
      <c r="AH619" s="142">
        <v>2094059.07</v>
      </c>
      <c r="AI619" s="5">
        <f>+(K619*10+L619*20)*12*0.85</f>
        <v>435978.6</v>
      </c>
      <c r="AJ619" s="5">
        <f>+(K619*11.55+L619*23.1)*12*30</f>
        <v>17772539.400000002</v>
      </c>
      <c r="AK619" s="5">
        <f t="shared" si="146"/>
        <v>1882425.6</v>
      </c>
      <c r="AL619" s="146">
        <f t="shared" si="148"/>
        <v>0</v>
      </c>
      <c r="AM619" s="62"/>
      <c r="AN619" s="30"/>
      <c r="AO619" s="30"/>
      <c r="AP619" s="30"/>
      <c r="AQ619" s="30">
        <v>1882425.6</v>
      </c>
      <c r="AR619" s="30"/>
      <c r="AS619" s="62"/>
      <c r="AT619" s="30"/>
      <c r="AU619" s="30"/>
      <c r="AV619" s="30"/>
      <c r="AW619" s="30"/>
      <c r="AX619" s="30"/>
      <c r="AY619" s="153"/>
      <c r="AZ619" s="153"/>
      <c r="BA619" s="148"/>
      <c r="BB619" s="149">
        <f t="shared" si="147"/>
        <v>1</v>
      </c>
    </row>
    <row r="620" spans="1:54" s="142" customFormat="1" ht="15.75" hidden="1">
      <c r="A620" s="10">
        <f t="shared" si="140"/>
        <v>599</v>
      </c>
      <c r="B620" s="12">
        <f t="shared" si="141"/>
        <v>139</v>
      </c>
      <c r="C620" s="12" t="s">
        <v>185</v>
      </c>
      <c r="D620" s="12" t="s">
        <v>476</v>
      </c>
      <c r="E620" s="120" t="s">
        <v>370</v>
      </c>
      <c r="F620" s="120"/>
      <c r="G620" s="120" t="s">
        <v>3</v>
      </c>
      <c r="H620" s="120" t="s">
        <v>183</v>
      </c>
      <c r="I620" s="120" t="s">
        <v>183</v>
      </c>
      <c r="J620" s="30">
        <v>2960.3</v>
      </c>
      <c r="K620" s="30">
        <v>2725</v>
      </c>
      <c r="L620" s="30">
        <v>0</v>
      </c>
      <c r="M620" s="121">
        <v>144</v>
      </c>
      <c r="N620" s="28">
        <f t="shared" si="143"/>
        <v>10207701.33</v>
      </c>
      <c r="O620" s="30">
        <v>0</v>
      </c>
      <c r="P620" s="30">
        <f t="shared" si="144"/>
        <v>7977890.4900000002</v>
      </c>
      <c r="Q620" s="154">
        <v>3801085.15</v>
      </c>
      <c r="R620" s="145">
        <v>4176805.34</v>
      </c>
      <c r="S620" s="30"/>
      <c r="T620" s="31"/>
      <c r="U620" s="31"/>
      <c r="V620" s="146">
        <f t="shared" si="142"/>
        <v>0</v>
      </c>
      <c r="W620" s="31"/>
      <c r="X620" s="31"/>
      <c r="Y620" s="146">
        <f t="shared" si="145"/>
        <v>1004886.68</v>
      </c>
      <c r="Z620" s="31">
        <v>1004886.68</v>
      </c>
      <c r="AA620" s="31"/>
      <c r="AB620" s="146">
        <f t="shared" si="139"/>
        <v>1224924.1599999999</v>
      </c>
      <c r="AC620" s="147"/>
      <c r="AD620" s="145">
        <v>1224924.1599999999</v>
      </c>
      <c r="AE620" s="30">
        <v>8362.46221489454</v>
      </c>
      <c r="AF620" s="30">
        <v>8362.46221489454</v>
      </c>
      <c r="AG620" s="33">
        <v>2024</v>
      </c>
      <c r="AH620" s="157" t="e">
        <f>1333137.2-#REF!</f>
        <v>#REF!</v>
      </c>
      <c r="AI620" s="5">
        <f>+(K620*10+L620*20)*12*0.85</f>
        <v>277950</v>
      </c>
      <c r="AJ620" s="5">
        <f>+(K620*11.55+L620*23.1)*12*30</f>
        <v>11330550.000000002</v>
      </c>
      <c r="AK620" s="5">
        <f t="shared" si="146"/>
        <v>10207701.33</v>
      </c>
      <c r="AL620" s="146">
        <f t="shared" si="148"/>
        <v>0</v>
      </c>
      <c r="AM620" s="62"/>
      <c r="AN620" s="30"/>
      <c r="AO620" s="30"/>
      <c r="AP620" s="30"/>
      <c r="AQ620" s="30"/>
      <c r="AR620" s="30"/>
      <c r="AS620" s="62"/>
      <c r="AT620" s="30"/>
      <c r="AU620" s="30"/>
      <c r="AV620" s="30"/>
      <c r="AW620" s="30">
        <v>10207701.33</v>
      </c>
      <c r="AX620" s="30"/>
      <c r="AY620" s="153"/>
      <c r="AZ620" s="153"/>
      <c r="BA620" s="148"/>
      <c r="BB620" s="149">
        <f t="shared" si="147"/>
        <v>1</v>
      </c>
    </row>
    <row r="621" spans="1:54" ht="15.75" hidden="1">
      <c r="A621" s="10">
        <f t="shared" si="140"/>
        <v>600</v>
      </c>
      <c r="B621" s="12">
        <f t="shared" si="141"/>
        <v>140</v>
      </c>
      <c r="C621" s="12" t="s">
        <v>185</v>
      </c>
      <c r="D621" s="12" t="s">
        <v>331</v>
      </c>
      <c r="E621" s="120">
        <v>1975</v>
      </c>
      <c r="F621" s="120">
        <v>2013</v>
      </c>
      <c r="G621" s="120" t="s">
        <v>3</v>
      </c>
      <c r="H621" s="120">
        <v>4</v>
      </c>
      <c r="I621" s="120">
        <v>6</v>
      </c>
      <c r="J621" s="30">
        <v>5531.3</v>
      </c>
      <c r="K621" s="30">
        <v>4842.7</v>
      </c>
      <c r="L621" s="30">
        <v>189.7</v>
      </c>
      <c r="M621" s="121">
        <v>235</v>
      </c>
      <c r="N621" s="28">
        <f t="shared" si="143"/>
        <v>1228299.83</v>
      </c>
      <c r="O621" s="30"/>
      <c r="P621" s="30">
        <f t="shared" si="144"/>
        <v>0</v>
      </c>
      <c r="Q621" s="143"/>
      <c r="R621" s="31"/>
      <c r="S621" s="30"/>
      <c r="T621" s="31"/>
      <c r="U621" s="31"/>
      <c r="V621" s="146">
        <f t="shared" si="142"/>
        <v>139561.72</v>
      </c>
      <c r="W621" s="145">
        <v>139561.72</v>
      </c>
      <c r="X621" s="145"/>
      <c r="Y621" s="146">
        <f t="shared" si="145"/>
        <v>843078.14</v>
      </c>
      <c r="Z621" s="145">
        <v>843078.14</v>
      </c>
      <c r="AA621" s="145"/>
      <c r="AB621" s="146">
        <f t="shared" ref="AB621:AB652" si="149">AC621+AD621</f>
        <v>245659.97</v>
      </c>
      <c r="AC621" s="147"/>
      <c r="AD621" s="145">
        <v>245659.97</v>
      </c>
      <c r="AE621" s="30">
        <v>2581.2418368050999</v>
      </c>
      <c r="AF621" s="30">
        <v>2581.2418368050999</v>
      </c>
      <c r="AG621" s="33">
        <v>2024</v>
      </c>
      <c r="AH621" s="18"/>
      <c r="AI621" s="5">
        <f>+(K621*11.55+L621*23.1)*12*0.85</f>
        <v>615215.60100000002</v>
      </c>
      <c r="AJ621" s="5">
        <f>+(K621*11.55+L621*23.1)*12*30-[3]Лист1!$AQ$343</f>
        <v>18758084.530000001</v>
      </c>
      <c r="AK621" s="5">
        <f t="shared" si="146"/>
        <v>1228299.83</v>
      </c>
      <c r="AL621" s="146">
        <f t="shared" si="148"/>
        <v>0</v>
      </c>
      <c r="AM621" s="62"/>
      <c r="AN621" s="30"/>
      <c r="AO621" s="30"/>
      <c r="AP621" s="30"/>
      <c r="AQ621" s="30"/>
      <c r="AR621" s="30"/>
      <c r="AS621" s="62"/>
      <c r="AT621" s="30">
        <v>0</v>
      </c>
      <c r="AU621" s="30"/>
      <c r="AV621" s="30">
        <v>0</v>
      </c>
      <c r="AW621" s="30"/>
      <c r="AX621" s="30">
        <v>1228299.83</v>
      </c>
      <c r="AY621" s="30"/>
      <c r="AZ621" s="30"/>
      <c r="BA621" s="156"/>
      <c r="BB621" s="149">
        <f t="shared" si="147"/>
        <v>1</v>
      </c>
    </row>
    <row r="622" spans="1:54" ht="15.75" hidden="1">
      <c r="A622" s="10">
        <f t="shared" si="140"/>
        <v>601</v>
      </c>
      <c r="B622" s="12">
        <f t="shared" si="141"/>
        <v>141</v>
      </c>
      <c r="C622" s="12" t="s">
        <v>185</v>
      </c>
      <c r="D622" s="12" t="s">
        <v>334</v>
      </c>
      <c r="E622" s="120">
        <v>1977</v>
      </c>
      <c r="F622" s="120">
        <v>2013</v>
      </c>
      <c r="G622" s="120" t="s">
        <v>3</v>
      </c>
      <c r="H622" s="120">
        <v>9</v>
      </c>
      <c r="I622" s="120">
        <v>1</v>
      </c>
      <c r="J622" s="30">
        <v>2362.6</v>
      </c>
      <c r="K622" s="30">
        <v>1902.4</v>
      </c>
      <c r="L622" s="30">
        <v>195.5</v>
      </c>
      <c r="M622" s="121">
        <v>72</v>
      </c>
      <c r="N622" s="28">
        <f t="shared" si="143"/>
        <v>13021573.439999999</v>
      </c>
      <c r="O622" s="30"/>
      <c r="P622" s="30">
        <f t="shared" si="144"/>
        <v>4263457.88</v>
      </c>
      <c r="Q622" s="160">
        <f>5426926.99-1163469.11</f>
        <v>4263457.88</v>
      </c>
      <c r="R622" s="145"/>
      <c r="S622" s="30"/>
      <c r="T622" s="31"/>
      <c r="U622" s="31"/>
      <c r="V622" s="146">
        <f t="shared" si="142"/>
        <v>2095840.3</v>
      </c>
      <c r="W622" s="145">
        <v>2095840.3</v>
      </c>
      <c r="X622" s="145"/>
      <c r="Y622" s="146">
        <f t="shared" si="145"/>
        <v>5498806.1500000004</v>
      </c>
      <c r="Z622" s="145">
        <v>5498806.1500000004</v>
      </c>
      <c r="AA622" s="145"/>
      <c r="AB622" s="146">
        <f t="shared" si="149"/>
        <v>1163469.1100000001</v>
      </c>
      <c r="AC622" s="147"/>
      <c r="AD622" s="163">
        <v>1163469.1100000001</v>
      </c>
      <c r="AE622" s="30">
        <v>10664.5584199513</v>
      </c>
      <c r="AF622" s="30">
        <v>1341.2830200640001</v>
      </c>
      <c r="AG622" s="33">
        <v>2024</v>
      </c>
      <c r="AH622" s="18"/>
      <c r="AI622" s="5">
        <f>+(K622*15.35+L622*26.02)*12*0.85</f>
        <v>349745.25</v>
      </c>
      <c r="AJ622" s="5">
        <f>+(K622*15.35+L622*26.02)*12*30-[3]Лист1!$AQ$345</f>
        <v>7759275.7000000002</v>
      </c>
      <c r="AK622" s="5">
        <f t="shared" si="146"/>
        <v>13021573.439999999</v>
      </c>
      <c r="AL622" s="177">
        <f t="shared" si="148"/>
        <v>0</v>
      </c>
      <c r="AM622" s="62">
        <v>2578640.77</v>
      </c>
      <c r="AN622" s="30"/>
      <c r="AO622" s="30"/>
      <c r="AP622" s="30"/>
      <c r="AQ622" s="30"/>
      <c r="AR622" s="30"/>
      <c r="AS622" s="62"/>
      <c r="AT622" s="30">
        <v>0</v>
      </c>
      <c r="AU622" s="30">
        <v>0</v>
      </c>
      <c r="AV622" s="30">
        <v>0</v>
      </c>
      <c r="AW622" s="30">
        <v>10442932.67</v>
      </c>
      <c r="AX622" s="30">
        <v>0</v>
      </c>
      <c r="AY622" s="30"/>
      <c r="AZ622" s="30"/>
      <c r="BA622" s="148"/>
      <c r="BB622" s="149">
        <f t="shared" si="147"/>
        <v>2</v>
      </c>
    </row>
    <row r="623" spans="1:54" ht="15.75" hidden="1">
      <c r="A623" s="10">
        <f t="shared" si="140"/>
        <v>602</v>
      </c>
      <c r="B623" s="12">
        <f t="shared" si="141"/>
        <v>142</v>
      </c>
      <c r="C623" s="12" t="s">
        <v>185</v>
      </c>
      <c r="D623" s="12" t="s">
        <v>325</v>
      </c>
      <c r="E623" s="120">
        <v>1977</v>
      </c>
      <c r="F623" s="120">
        <v>2013</v>
      </c>
      <c r="G623" s="120" t="s">
        <v>3</v>
      </c>
      <c r="H623" s="120">
        <v>9</v>
      </c>
      <c r="I623" s="120">
        <v>1</v>
      </c>
      <c r="J623" s="30">
        <v>2365.9899999999998</v>
      </c>
      <c r="K623" s="30">
        <v>1903.5</v>
      </c>
      <c r="L623" s="30">
        <v>136</v>
      </c>
      <c r="M623" s="121">
        <v>71</v>
      </c>
      <c r="N623" s="28">
        <f t="shared" si="143"/>
        <v>9486269.3399999999</v>
      </c>
      <c r="O623" s="30"/>
      <c r="P623" s="30">
        <f t="shared" si="144"/>
        <v>4403192.8099999996</v>
      </c>
      <c r="Q623" s="154">
        <v>4403192.8099999996</v>
      </c>
      <c r="R623" s="145"/>
      <c r="S623" s="30"/>
      <c r="T623" s="31"/>
      <c r="U623" s="31"/>
      <c r="V623" s="146">
        <f t="shared" si="142"/>
        <v>1585958.1</v>
      </c>
      <c r="W623" s="145">
        <v>1585958.1</v>
      </c>
      <c r="X623" s="145"/>
      <c r="Y623" s="146">
        <f t="shared" si="145"/>
        <v>3497118.43</v>
      </c>
      <c r="Z623" s="145">
        <v>3497118.43</v>
      </c>
      <c r="AA623" s="145"/>
      <c r="AB623" s="146">
        <f t="shared" si="149"/>
        <v>0</v>
      </c>
      <c r="AC623" s="147"/>
      <c r="AD623" s="147"/>
      <c r="AE623" s="30">
        <v>10343.456748720901</v>
      </c>
      <c r="AF623" s="30">
        <v>1334.2830200640001</v>
      </c>
      <c r="AG623" s="33">
        <v>2024</v>
      </c>
      <c r="AH623" s="18"/>
      <c r="AI623" s="5">
        <f>+(K623*15.35+L623*26.02)*12*0.85</f>
        <v>334125.93899999995</v>
      </c>
      <c r="AJ623" s="5">
        <f>+(K623*15.35+L623*26.02)*12*30-[3]Лист1!$AQ$346</f>
        <v>8539037.3999999985</v>
      </c>
      <c r="AK623" s="5">
        <f t="shared" si="146"/>
        <v>9486269.3399999999</v>
      </c>
      <c r="AL623" s="177">
        <f t="shared" si="148"/>
        <v>0</v>
      </c>
      <c r="AM623" s="62"/>
      <c r="AN623" s="30"/>
      <c r="AO623" s="30">
        <v>0</v>
      </c>
      <c r="AP623" s="30"/>
      <c r="AQ623" s="30"/>
      <c r="AR623" s="30"/>
      <c r="AS623" s="62"/>
      <c r="AT623" s="30">
        <v>0</v>
      </c>
      <c r="AU623" s="30">
        <v>0</v>
      </c>
      <c r="AV623" s="30">
        <v>0</v>
      </c>
      <c r="AW623" s="30">
        <v>9486269.3399999999</v>
      </c>
      <c r="AX623" s="30">
        <v>0</v>
      </c>
      <c r="AY623" s="30"/>
      <c r="AZ623" s="30"/>
      <c r="BA623" s="148"/>
      <c r="BB623" s="149">
        <f t="shared" si="147"/>
        <v>1</v>
      </c>
    </row>
    <row r="624" spans="1:54" ht="15.75" hidden="1">
      <c r="A624" s="10">
        <f t="shared" si="140"/>
        <v>603</v>
      </c>
      <c r="B624" s="12">
        <f t="shared" si="141"/>
        <v>143</v>
      </c>
      <c r="C624" s="12" t="s">
        <v>185</v>
      </c>
      <c r="D624" s="12" t="s">
        <v>479</v>
      </c>
      <c r="E624" s="120">
        <v>1977</v>
      </c>
      <c r="F624" s="120">
        <v>2013</v>
      </c>
      <c r="G624" s="120" t="s">
        <v>3</v>
      </c>
      <c r="H624" s="120">
        <v>9</v>
      </c>
      <c r="I624" s="120">
        <v>1</v>
      </c>
      <c r="J624" s="30">
        <v>2366.89</v>
      </c>
      <c r="K624" s="30">
        <v>1904.8</v>
      </c>
      <c r="L624" s="30">
        <v>41.8</v>
      </c>
      <c r="M624" s="121">
        <v>59</v>
      </c>
      <c r="N624" s="28">
        <f t="shared" si="143"/>
        <v>17001494.140000001</v>
      </c>
      <c r="O624" s="30"/>
      <c r="P624" s="30">
        <f t="shared" si="144"/>
        <v>6318609.46</v>
      </c>
      <c r="Q624" s="160"/>
      <c r="R624" s="145">
        <v>6318609.46</v>
      </c>
      <c r="S624" s="30"/>
      <c r="T624" s="31"/>
      <c r="U624" s="31"/>
      <c r="V624" s="146">
        <f t="shared" si="142"/>
        <v>1515838.82</v>
      </c>
      <c r="W624" s="145">
        <v>1515838.82</v>
      </c>
      <c r="X624" s="145"/>
      <c r="Y624" s="146">
        <f t="shared" si="145"/>
        <v>7909133.2800000003</v>
      </c>
      <c r="Z624" s="145">
        <v>7909133.2800000003</v>
      </c>
      <c r="AA624" s="145"/>
      <c r="AB624" s="146">
        <f t="shared" si="149"/>
        <v>1257912.58</v>
      </c>
      <c r="AC624" s="147"/>
      <c r="AD624" s="160">
        <v>1257912.58</v>
      </c>
      <c r="AE624" s="30">
        <v>9884.3203175609106</v>
      </c>
      <c r="AF624" s="30">
        <v>1335.2830200640001</v>
      </c>
      <c r="AG624" s="33">
        <v>2024</v>
      </c>
      <c r="AH624" s="18"/>
      <c r="AI624" s="5">
        <f>+(K624*15.35+L624*26.02)*12*0.85</f>
        <v>309328.42320000002</v>
      </c>
      <c r="AJ624" s="5">
        <f>+(K624*15.35+L624*26.02)*12*30-[3]Лист1!$AQ$347</f>
        <v>7603756.5599999996</v>
      </c>
      <c r="AK624" s="5">
        <f t="shared" si="146"/>
        <v>17001494.140000001</v>
      </c>
      <c r="AL624" s="177">
        <f t="shared" si="148"/>
        <v>0</v>
      </c>
      <c r="AM624" s="62">
        <v>2591376.4300000002</v>
      </c>
      <c r="AN624" s="30"/>
      <c r="AO624" s="30"/>
      <c r="AP624" s="30"/>
      <c r="AQ624" s="30"/>
      <c r="AR624" s="30"/>
      <c r="AS624" s="62"/>
      <c r="AT624" s="30">
        <v>0</v>
      </c>
      <c r="AU624" s="30">
        <v>0</v>
      </c>
      <c r="AV624" s="30">
        <v>0</v>
      </c>
      <c r="AW624" s="30">
        <v>14410117.710000001</v>
      </c>
      <c r="AX624" s="30">
        <v>0</v>
      </c>
      <c r="AY624" s="30"/>
      <c r="AZ624" s="30"/>
      <c r="BA624" s="148"/>
      <c r="BB624" s="149">
        <f t="shared" si="147"/>
        <v>2</v>
      </c>
    </row>
    <row r="625" spans="1:54" ht="15.75" hidden="1">
      <c r="A625" s="10">
        <f t="shared" si="140"/>
        <v>604</v>
      </c>
      <c r="B625" s="12">
        <f t="shared" si="141"/>
        <v>144</v>
      </c>
      <c r="C625" s="12" t="s">
        <v>185</v>
      </c>
      <c r="D625" s="12" t="s">
        <v>329</v>
      </c>
      <c r="E625" s="120">
        <v>1973</v>
      </c>
      <c r="F625" s="120">
        <v>2013</v>
      </c>
      <c r="G625" s="120" t="s">
        <v>3</v>
      </c>
      <c r="H625" s="120">
        <v>5</v>
      </c>
      <c r="I625" s="120">
        <v>8</v>
      </c>
      <c r="J625" s="30">
        <v>6624.9</v>
      </c>
      <c r="K625" s="30">
        <v>5826</v>
      </c>
      <c r="L625" s="30">
        <v>239.3</v>
      </c>
      <c r="M625" s="121">
        <v>272</v>
      </c>
      <c r="N625" s="28">
        <f t="shared" si="143"/>
        <v>30628868.710000001</v>
      </c>
      <c r="O625" s="30"/>
      <c r="P625" s="30">
        <f t="shared" si="144"/>
        <v>13570659.35</v>
      </c>
      <c r="Q625" s="154">
        <v>13570659.35</v>
      </c>
      <c r="R625" s="145"/>
      <c r="S625" s="30"/>
      <c r="T625" s="31"/>
      <c r="U625" s="31"/>
      <c r="V625" s="146">
        <f t="shared" si="142"/>
        <v>1159274.78</v>
      </c>
      <c r="W625" s="145">
        <v>1159274.78</v>
      </c>
      <c r="X625" s="145"/>
      <c r="Y625" s="146">
        <f t="shared" si="145"/>
        <v>12900965.210000001</v>
      </c>
      <c r="Z625" s="145">
        <v>12900965.210000001</v>
      </c>
      <c r="AA625" s="145"/>
      <c r="AB625" s="146">
        <f t="shared" si="149"/>
        <v>2997969.37</v>
      </c>
      <c r="AC625" s="147"/>
      <c r="AD625" s="145">
        <v>2997969.37</v>
      </c>
      <c r="AE625" s="30">
        <v>13987.9459760831</v>
      </c>
      <c r="AF625" s="30">
        <v>1337.2830200640001</v>
      </c>
      <c r="AG625" s="33">
        <v>2024</v>
      </c>
      <c r="AH625" s="18"/>
      <c r="AI625" s="5">
        <f>+(K625*11.55+L625*23.1)*12*0.85</f>
        <v>742744.92599999998</v>
      </c>
      <c r="AJ625" s="5">
        <f>+(K625*11.55+L625*23.1)*12*30-[3]Лист1!$AQ$348</f>
        <v>25975063.5</v>
      </c>
      <c r="AK625" s="5">
        <f t="shared" si="146"/>
        <v>30628868.710000001</v>
      </c>
      <c r="AL625" s="177">
        <f t="shared" si="148"/>
        <v>0</v>
      </c>
      <c r="AM625" s="62"/>
      <c r="AN625" s="30"/>
      <c r="AO625" s="30">
        <v>649174.99</v>
      </c>
      <c r="AP625" s="30"/>
      <c r="AQ625" s="30"/>
      <c r="AR625" s="30"/>
      <c r="AS625" s="62"/>
      <c r="AT625" s="30">
        <v>0</v>
      </c>
      <c r="AU625" s="30">
        <v>0</v>
      </c>
      <c r="AV625" s="30">
        <v>0</v>
      </c>
      <c r="AW625" s="30">
        <v>29979693.719999999</v>
      </c>
      <c r="AX625" s="30"/>
      <c r="AY625" s="153"/>
      <c r="AZ625" s="30"/>
      <c r="BA625" s="148"/>
      <c r="BB625" s="149">
        <f t="shared" si="147"/>
        <v>2</v>
      </c>
    </row>
    <row r="626" spans="1:54" ht="15.75" hidden="1">
      <c r="A626" s="10">
        <f t="shared" si="140"/>
        <v>605</v>
      </c>
      <c r="B626" s="12">
        <f t="shared" si="141"/>
        <v>145</v>
      </c>
      <c r="C626" s="12" t="s">
        <v>185</v>
      </c>
      <c r="D626" s="12" t="s">
        <v>482</v>
      </c>
      <c r="E626" s="120">
        <v>1995</v>
      </c>
      <c r="F626" s="120">
        <v>2013</v>
      </c>
      <c r="G626" s="120" t="s">
        <v>3</v>
      </c>
      <c r="H626" s="120">
        <v>4</v>
      </c>
      <c r="I626" s="120">
        <v>3</v>
      </c>
      <c r="J626" s="30">
        <v>1839</v>
      </c>
      <c r="K626" s="30">
        <v>1773.6</v>
      </c>
      <c r="L626" s="30">
        <v>0</v>
      </c>
      <c r="M626" s="121">
        <v>81</v>
      </c>
      <c r="N626" s="28">
        <f t="shared" si="143"/>
        <v>5455796.5999999996</v>
      </c>
      <c r="O626" s="30"/>
      <c r="P626" s="30">
        <f t="shared" si="144"/>
        <v>373182.64</v>
      </c>
      <c r="Q626" s="154">
        <v>373182.64</v>
      </c>
      <c r="R626" s="145"/>
      <c r="S626" s="30"/>
      <c r="T626" s="31"/>
      <c r="U626" s="31"/>
      <c r="V626" s="146">
        <f t="shared" si="142"/>
        <v>934046.26</v>
      </c>
      <c r="W626" s="145">
        <v>934046.26</v>
      </c>
      <c r="X626" s="145"/>
      <c r="Y626" s="146">
        <f t="shared" si="145"/>
        <v>3905187.82</v>
      </c>
      <c r="Z626" s="145">
        <v>3905187.82</v>
      </c>
      <c r="AA626" s="145"/>
      <c r="AB626" s="146">
        <f t="shared" si="149"/>
        <v>243379.88</v>
      </c>
      <c r="AC626" s="147"/>
      <c r="AD626" s="145">
        <v>243379.88</v>
      </c>
      <c r="AE626" s="30">
        <v>6733.3702283360999</v>
      </c>
      <c r="AF626" s="30">
        <v>1342.2830200640001</v>
      </c>
      <c r="AG626" s="33">
        <v>2024</v>
      </c>
      <c r="AH626" s="98">
        <v>590587.34</v>
      </c>
      <c r="AI626" s="5">
        <f>+(K626*11.55+L626*23.1)*12*0.85</f>
        <v>208947.81600000002</v>
      </c>
      <c r="AJ626" s="5">
        <f>+(K626*11.55+L626*23.1)*12*30</f>
        <v>7374628.8000000007</v>
      </c>
      <c r="AK626" s="5">
        <f t="shared" si="146"/>
        <v>5455796.5999999996</v>
      </c>
      <c r="AL626" s="177">
        <f t="shared" si="148"/>
        <v>0</v>
      </c>
      <c r="AM626" s="62">
        <v>4023823.57</v>
      </c>
      <c r="AN626" s="30"/>
      <c r="AO626" s="30">
        <v>1431973.03</v>
      </c>
      <c r="AP626" s="30"/>
      <c r="AQ626" s="30">
        <v>0</v>
      </c>
      <c r="AR626" s="30"/>
      <c r="AS626" s="62"/>
      <c r="AT626" s="30">
        <v>0</v>
      </c>
      <c r="AU626" s="30"/>
      <c r="AV626" s="30"/>
      <c r="AW626" s="30"/>
      <c r="AX626" s="30">
        <v>0</v>
      </c>
      <c r="AY626" s="30"/>
      <c r="AZ626" s="30"/>
      <c r="BA626" s="148"/>
      <c r="BB626" s="149">
        <f t="shared" si="147"/>
        <v>2</v>
      </c>
    </row>
    <row r="627" spans="1:54" ht="15.75" hidden="1">
      <c r="A627" s="10">
        <f t="shared" si="140"/>
        <v>606</v>
      </c>
      <c r="B627" s="12">
        <f t="shared" si="141"/>
        <v>146</v>
      </c>
      <c r="C627" s="12" t="s">
        <v>484</v>
      </c>
      <c r="D627" s="19" t="s">
        <v>485</v>
      </c>
      <c r="E627" s="189" t="s">
        <v>486</v>
      </c>
      <c r="F627" s="189"/>
      <c r="G627" s="189" t="s">
        <v>487</v>
      </c>
      <c r="H627" s="189" t="s">
        <v>27</v>
      </c>
      <c r="I627" s="189" t="s">
        <v>183</v>
      </c>
      <c r="J627" s="19">
        <v>1154.8</v>
      </c>
      <c r="K627" s="19">
        <v>1069.2</v>
      </c>
      <c r="L627" s="19">
        <v>0</v>
      </c>
      <c r="M627" s="22">
        <v>52</v>
      </c>
      <c r="N627" s="28">
        <f t="shared" si="143"/>
        <v>8778997.0399999991</v>
      </c>
      <c r="O627" s="19"/>
      <c r="P627" s="30">
        <f t="shared" si="144"/>
        <v>6337698.5199999996</v>
      </c>
      <c r="Q627" s="154">
        <v>4239654.92</v>
      </c>
      <c r="R627" s="145">
        <v>2098043.6</v>
      </c>
      <c r="S627" s="190">
        <v>750000</v>
      </c>
      <c r="T627" s="144">
        <v>750000</v>
      </c>
      <c r="U627" s="144"/>
      <c r="V627" s="146">
        <f t="shared" si="142"/>
        <v>277721.31</v>
      </c>
      <c r="W627" s="191">
        <v>277721.31</v>
      </c>
      <c r="X627" s="191"/>
      <c r="Y627" s="146">
        <f t="shared" si="145"/>
        <v>806256.5</v>
      </c>
      <c r="Z627" s="144">
        <v>806256.5</v>
      </c>
      <c r="AA627" s="144"/>
      <c r="AB627" s="146">
        <f t="shared" si="149"/>
        <v>607320.71</v>
      </c>
      <c r="AC627" s="147"/>
      <c r="AD627" s="145">
        <v>607320.71</v>
      </c>
      <c r="AE627" s="30">
        <v>11976.991230391201</v>
      </c>
      <c r="AF627" s="30">
        <v>11976.991230391201</v>
      </c>
      <c r="AG627" s="33">
        <v>2024</v>
      </c>
      <c r="AH627" s="1">
        <v>367919.13</v>
      </c>
      <c r="AI627" s="5">
        <v>81357.566399999996</v>
      </c>
      <c r="AJ627" s="5">
        <v>1347192</v>
      </c>
      <c r="AK627" s="5">
        <f t="shared" si="146"/>
        <v>8778997.0399999991</v>
      </c>
      <c r="AL627" s="177">
        <f t="shared" si="148"/>
        <v>0</v>
      </c>
      <c r="AM627" s="62"/>
      <c r="AN627" s="30"/>
      <c r="AO627" s="30"/>
      <c r="AP627" s="30"/>
      <c r="AQ627" s="30"/>
      <c r="AR627" s="30"/>
      <c r="AS627" s="62"/>
      <c r="AT627" s="30"/>
      <c r="AU627" s="30"/>
      <c r="AV627" s="30"/>
      <c r="AW627" s="30">
        <v>8778997.0399999991</v>
      </c>
      <c r="AX627" s="30"/>
      <c r="AY627" s="30"/>
      <c r="AZ627" s="153"/>
      <c r="BA627" s="148"/>
      <c r="BB627" s="149">
        <f t="shared" si="147"/>
        <v>1</v>
      </c>
    </row>
    <row r="628" spans="1:54" ht="15.75" hidden="1">
      <c r="A628" s="10">
        <f t="shared" si="140"/>
        <v>607</v>
      </c>
      <c r="B628" s="12">
        <f t="shared" si="141"/>
        <v>147</v>
      </c>
      <c r="C628" s="12" t="s">
        <v>22</v>
      </c>
      <c r="D628" s="12" t="s">
        <v>489</v>
      </c>
      <c r="E628" s="120">
        <v>1964</v>
      </c>
      <c r="F628" s="120">
        <v>1964</v>
      </c>
      <c r="G628" s="120" t="s">
        <v>3</v>
      </c>
      <c r="H628" s="120">
        <v>2</v>
      </c>
      <c r="I628" s="120">
        <v>2</v>
      </c>
      <c r="J628" s="30">
        <v>660.09</v>
      </c>
      <c r="K628" s="30">
        <v>608.58000000000004</v>
      </c>
      <c r="L628" s="30">
        <v>0</v>
      </c>
      <c r="M628" s="121">
        <v>32</v>
      </c>
      <c r="N628" s="28">
        <f t="shared" si="143"/>
        <v>356593.42</v>
      </c>
      <c r="O628" s="30"/>
      <c r="P628" s="30">
        <f t="shared" si="144"/>
        <v>0</v>
      </c>
      <c r="Q628" s="143"/>
      <c r="R628" s="31"/>
      <c r="S628" s="30"/>
      <c r="T628" s="31"/>
      <c r="U628" s="31"/>
      <c r="V628" s="146">
        <f t="shared" si="142"/>
        <v>142800.10999999999</v>
      </c>
      <c r="W628" s="145">
        <v>142800.10999999999</v>
      </c>
      <c r="X628" s="145"/>
      <c r="Y628" s="146">
        <f t="shared" si="145"/>
        <v>213793.31</v>
      </c>
      <c r="Z628" s="145">
        <v>213793.31</v>
      </c>
      <c r="AA628" s="145"/>
      <c r="AB628" s="146">
        <f t="shared" si="149"/>
        <v>0</v>
      </c>
      <c r="AC628" s="147"/>
      <c r="AD628" s="147"/>
      <c r="AE628" s="30">
        <v>1019.39562469244</v>
      </c>
      <c r="AF628" s="30">
        <v>1345.2830200640001</v>
      </c>
      <c r="AG628" s="33">
        <v>2024</v>
      </c>
      <c r="AH628" s="98">
        <v>71103.3</v>
      </c>
      <c r="AI628" s="5">
        <f>+(K628*11.55+L628*23.1)*12*0.85</f>
        <v>71696.809800000003</v>
      </c>
      <c r="AJ628" s="5">
        <f>+(K628*11.55+L628*23.1)*12*30</f>
        <v>2530475.64</v>
      </c>
      <c r="AK628" s="5">
        <f t="shared" si="146"/>
        <v>356593.42</v>
      </c>
      <c r="AL628" s="177">
        <f t="shared" si="148"/>
        <v>0</v>
      </c>
      <c r="AM628" s="62"/>
      <c r="AN628" s="30"/>
      <c r="AO628" s="30">
        <v>356593.42</v>
      </c>
      <c r="AP628" s="30"/>
      <c r="AQ628" s="30"/>
      <c r="AR628" s="30"/>
      <c r="AS628" s="62"/>
      <c r="AT628" s="30">
        <v>0</v>
      </c>
      <c r="AU628" s="30">
        <v>0</v>
      </c>
      <c r="AV628" s="30">
        <v>0</v>
      </c>
      <c r="AW628" s="30">
        <v>0</v>
      </c>
      <c r="AX628" s="30">
        <v>0</v>
      </c>
      <c r="AY628" s="30"/>
      <c r="AZ628" s="30"/>
      <c r="BA628" s="148"/>
      <c r="BB628" s="149">
        <f t="shared" si="147"/>
        <v>1</v>
      </c>
    </row>
    <row r="629" spans="1:54" ht="15.75" hidden="1">
      <c r="A629" s="10">
        <f t="shared" ref="A629:A660" si="150">A628+1</f>
        <v>608</v>
      </c>
      <c r="B629" s="12">
        <f t="shared" si="141"/>
        <v>148</v>
      </c>
      <c r="C629" s="12" t="s">
        <v>82</v>
      </c>
      <c r="D629" s="12" t="s">
        <v>491</v>
      </c>
      <c r="E629" s="120">
        <v>1981</v>
      </c>
      <c r="F629" s="120">
        <v>2010</v>
      </c>
      <c r="G629" s="120" t="s">
        <v>3</v>
      </c>
      <c r="H629" s="120">
        <v>2</v>
      </c>
      <c r="I629" s="120">
        <v>2</v>
      </c>
      <c r="J629" s="30">
        <v>774.6</v>
      </c>
      <c r="K629" s="30">
        <v>714.53</v>
      </c>
      <c r="L629" s="30">
        <v>0</v>
      </c>
      <c r="M629" s="121">
        <v>28</v>
      </c>
      <c r="N629" s="28">
        <f t="shared" si="143"/>
        <v>930962.33</v>
      </c>
      <c r="O629" s="30"/>
      <c r="P629" s="30">
        <f t="shared" si="144"/>
        <v>0</v>
      </c>
      <c r="Q629" s="154"/>
      <c r="R629" s="145"/>
      <c r="S629" s="30"/>
      <c r="T629" s="31"/>
      <c r="U629" s="31"/>
      <c r="V629" s="146">
        <f t="shared" si="142"/>
        <v>172955.23</v>
      </c>
      <c r="W629" s="145">
        <v>172955.23</v>
      </c>
      <c r="X629" s="145"/>
      <c r="Y629" s="146">
        <f t="shared" si="145"/>
        <v>758007.1</v>
      </c>
      <c r="Z629" s="145">
        <v>758007.1</v>
      </c>
      <c r="AA629" s="145"/>
      <c r="AB629" s="146">
        <f t="shared" si="149"/>
        <v>0</v>
      </c>
      <c r="AC629" s="147"/>
      <c r="AD629" s="147"/>
      <c r="AE629" s="30">
        <v>5821.4066959223201</v>
      </c>
      <c r="AF629" s="30">
        <v>1346.2830200640001</v>
      </c>
      <c r="AG629" s="33">
        <v>2024</v>
      </c>
      <c r="AH629" s="98">
        <v>468381.67</v>
      </c>
      <c r="AI629" s="5">
        <f>+(K629*10.5+L629*21)*12*0.85</f>
        <v>76526.163</v>
      </c>
      <c r="AJ629" s="5">
        <f>+(K629*11.55+L629*23.1)*12*30</f>
        <v>2971015.74</v>
      </c>
      <c r="AK629" s="5">
        <f t="shared" si="146"/>
        <v>930962.33</v>
      </c>
      <c r="AL629" s="177">
        <f t="shared" si="148"/>
        <v>0</v>
      </c>
      <c r="AM629" s="62"/>
      <c r="AN629" s="30">
        <v>0</v>
      </c>
      <c r="AO629" s="30">
        <v>639862.65</v>
      </c>
      <c r="AP629" s="30">
        <v>291099.68</v>
      </c>
      <c r="AQ629" s="30">
        <v>0</v>
      </c>
      <c r="AR629" s="30"/>
      <c r="AS629" s="62"/>
      <c r="AT629" s="30">
        <v>0</v>
      </c>
      <c r="AU629" s="30">
        <v>0</v>
      </c>
      <c r="AV629" s="30">
        <v>0</v>
      </c>
      <c r="AW629" s="30">
        <v>0</v>
      </c>
      <c r="AX629" s="30">
        <v>0</v>
      </c>
      <c r="AY629" s="30"/>
      <c r="AZ629" s="30"/>
      <c r="BA629" s="148"/>
      <c r="BB629" s="149">
        <f t="shared" si="147"/>
        <v>2</v>
      </c>
    </row>
    <row r="630" spans="1:54" ht="15.75" hidden="1">
      <c r="A630" s="10">
        <f t="shared" si="150"/>
        <v>609</v>
      </c>
      <c r="B630" s="12">
        <f t="shared" si="141"/>
        <v>149</v>
      </c>
      <c r="C630" s="12" t="s">
        <v>82</v>
      </c>
      <c r="D630" s="12" t="s">
        <v>343</v>
      </c>
      <c r="E630" s="120">
        <v>1983</v>
      </c>
      <c r="F630" s="120">
        <v>1983</v>
      </c>
      <c r="G630" s="120" t="s">
        <v>3</v>
      </c>
      <c r="H630" s="120">
        <v>2</v>
      </c>
      <c r="I630" s="120">
        <v>2</v>
      </c>
      <c r="J630" s="30">
        <v>910.77</v>
      </c>
      <c r="K630" s="30">
        <v>841.26</v>
      </c>
      <c r="L630" s="30">
        <v>0</v>
      </c>
      <c r="M630" s="121">
        <v>34</v>
      </c>
      <c r="N630" s="28">
        <f t="shared" si="143"/>
        <v>592995.98</v>
      </c>
      <c r="O630" s="30"/>
      <c r="P630" s="30">
        <f t="shared" si="144"/>
        <v>46576.83</v>
      </c>
      <c r="Q630" s="154">
        <v>46576.83</v>
      </c>
      <c r="R630" s="145"/>
      <c r="S630" s="30"/>
      <c r="T630" s="31"/>
      <c r="U630" s="31"/>
      <c r="V630" s="146">
        <f t="shared" si="142"/>
        <v>187044.89</v>
      </c>
      <c r="W630" s="145">
        <v>187044.89</v>
      </c>
      <c r="X630" s="145"/>
      <c r="Y630" s="146">
        <f t="shared" si="145"/>
        <v>359374.26</v>
      </c>
      <c r="Z630" s="145">
        <v>359374.26</v>
      </c>
      <c r="AA630" s="145"/>
      <c r="AB630" s="146">
        <f t="shared" si="149"/>
        <v>0</v>
      </c>
      <c r="AC630" s="147"/>
      <c r="AD630" s="147"/>
      <c r="AE630" s="30">
        <v>1019.39562469244</v>
      </c>
      <c r="AF630" s="30">
        <v>1347.2830200640001</v>
      </c>
      <c r="AG630" s="33">
        <v>2024</v>
      </c>
      <c r="AH630" s="18"/>
      <c r="AI630" s="5">
        <f>+(K630*11.55+L630*23.1)*12*0.85</f>
        <v>99108.840599999996</v>
      </c>
      <c r="AJ630" s="5">
        <f>+(K630*11.55+L630*23.1)*12*30-[3]Лист1!$AQ$11</f>
        <v>2070662.72</v>
      </c>
      <c r="AK630" s="5">
        <f t="shared" si="146"/>
        <v>592995.98</v>
      </c>
      <c r="AL630" s="177">
        <f t="shared" si="148"/>
        <v>0</v>
      </c>
      <c r="AM630" s="62"/>
      <c r="AN630" s="30"/>
      <c r="AO630" s="30">
        <v>592995.98</v>
      </c>
      <c r="AP630" s="30"/>
      <c r="AQ630" s="30">
        <v>0</v>
      </c>
      <c r="AR630" s="30"/>
      <c r="AS630" s="62"/>
      <c r="AT630" s="30">
        <v>0</v>
      </c>
      <c r="AU630" s="30">
        <v>0</v>
      </c>
      <c r="AV630" s="30">
        <v>0</v>
      </c>
      <c r="AW630" s="30">
        <v>0</v>
      </c>
      <c r="AX630" s="30">
        <v>0</v>
      </c>
      <c r="AY630" s="30"/>
      <c r="AZ630" s="30"/>
      <c r="BA630" s="148"/>
      <c r="BB630" s="149">
        <f t="shared" si="147"/>
        <v>1</v>
      </c>
    </row>
    <row r="631" spans="1:54" ht="15.75" hidden="1">
      <c r="A631" s="10">
        <f t="shared" si="150"/>
        <v>610</v>
      </c>
      <c r="B631" s="12">
        <f t="shared" ref="B631:B662" si="151">B630+1</f>
        <v>150</v>
      </c>
      <c r="C631" s="14" t="s">
        <v>82</v>
      </c>
      <c r="D631" s="14" t="s">
        <v>85</v>
      </c>
      <c r="E631" s="15">
        <v>1985</v>
      </c>
      <c r="F631" s="15">
        <v>2009</v>
      </c>
      <c r="G631" s="15" t="s">
        <v>3</v>
      </c>
      <c r="H631" s="15">
        <v>2</v>
      </c>
      <c r="I631" s="15">
        <v>3</v>
      </c>
      <c r="J631" s="19">
        <v>1493.5</v>
      </c>
      <c r="K631" s="19">
        <v>1376.8</v>
      </c>
      <c r="L631" s="19">
        <v>0</v>
      </c>
      <c r="M631" s="22">
        <v>60</v>
      </c>
      <c r="N631" s="28">
        <f t="shared" si="143"/>
        <v>994275.92999999993</v>
      </c>
      <c r="O631" s="19"/>
      <c r="P631" s="30">
        <f t="shared" si="144"/>
        <v>192419.64</v>
      </c>
      <c r="Q631" s="192">
        <v>192419.64</v>
      </c>
      <c r="R631" s="145"/>
      <c r="S631" s="30"/>
      <c r="T631" s="31"/>
      <c r="U631" s="31"/>
      <c r="V631" s="146">
        <f t="shared" si="142"/>
        <v>102623.82</v>
      </c>
      <c r="W631" s="145">
        <v>102623.82</v>
      </c>
      <c r="X631" s="145"/>
      <c r="Y631" s="146">
        <f t="shared" si="145"/>
        <v>699232.47</v>
      </c>
      <c r="Z631" s="145">
        <v>699232.47</v>
      </c>
      <c r="AA631" s="145"/>
      <c r="AB631" s="146">
        <f t="shared" si="149"/>
        <v>0</v>
      </c>
      <c r="AC631" s="147"/>
      <c r="AD631" s="147"/>
      <c r="AE631" s="30">
        <v>7465.9600014526404</v>
      </c>
      <c r="AF631" s="30">
        <v>1355.2830200640001</v>
      </c>
      <c r="AG631" s="33">
        <v>2024</v>
      </c>
      <c r="AH631" s="98">
        <v>707700.33</v>
      </c>
      <c r="AI631" s="5">
        <f>+(K631*10+L631*20)*12*0.85</f>
        <v>140433.60000000001</v>
      </c>
      <c r="AJ631" s="5">
        <f>+(K631*11.55+L631*23.1)*12*30</f>
        <v>5724734.4000000004</v>
      </c>
      <c r="AK631" s="5">
        <f t="shared" si="146"/>
        <v>994275.92999999993</v>
      </c>
      <c r="AL631" s="146">
        <f t="shared" si="148"/>
        <v>0</v>
      </c>
      <c r="AM631" s="62"/>
      <c r="AN631" s="30"/>
      <c r="AO631" s="30">
        <v>994275.93</v>
      </c>
      <c r="AP631" s="30"/>
      <c r="AQ631" s="30">
        <v>0</v>
      </c>
      <c r="AR631" s="30"/>
      <c r="AS631" s="62"/>
      <c r="AT631" s="30">
        <v>0</v>
      </c>
      <c r="AU631" s="30">
        <v>0</v>
      </c>
      <c r="AV631" s="30">
        <v>0</v>
      </c>
      <c r="AW631" s="30">
        <v>0</v>
      </c>
      <c r="AX631" s="30">
        <v>0</v>
      </c>
      <c r="AY631" s="153"/>
      <c r="AZ631" s="153"/>
      <c r="BA631" s="148"/>
      <c r="BB631" s="149">
        <f t="shared" si="147"/>
        <v>1</v>
      </c>
    </row>
    <row r="632" spans="1:54" ht="15.75" hidden="1">
      <c r="A632" s="10">
        <f t="shared" si="150"/>
        <v>611</v>
      </c>
      <c r="B632" s="12">
        <f t="shared" si="151"/>
        <v>151</v>
      </c>
      <c r="C632" s="12" t="s">
        <v>496</v>
      </c>
      <c r="D632" s="12" t="s">
        <v>497</v>
      </c>
      <c r="E632" s="120">
        <v>1989</v>
      </c>
      <c r="F632" s="120">
        <v>1989</v>
      </c>
      <c r="G632" s="120" t="s">
        <v>3</v>
      </c>
      <c r="H632" s="120">
        <v>2</v>
      </c>
      <c r="I632" s="120">
        <v>1</v>
      </c>
      <c r="J632" s="30">
        <v>390.65</v>
      </c>
      <c r="K632" s="30">
        <v>349.25</v>
      </c>
      <c r="L632" s="30">
        <v>0</v>
      </c>
      <c r="M632" s="121">
        <v>20</v>
      </c>
      <c r="N632" s="28">
        <f t="shared" si="143"/>
        <v>781118.17999999993</v>
      </c>
      <c r="O632" s="30"/>
      <c r="P632" s="30">
        <f t="shared" si="144"/>
        <v>88416.049999999988</v>
      </c>
      <c r="Q632" s="160">
        <f>188438.36-100022.31</f>
        <v>88416.049999999988</v>
      </c>
      <c r="R632" s="145"/>
      <c r="S632" s="30"/>
      <c r="T632" s="31"/>
      <c r="U632" s="31"/>
      <c r="V632" s="146">
        <f t="shared" si="142"/>
        <v>99574.29</v>
      </c>
      <c r="W632" s="145">
        <v>99574.29</v>
      </c>
      <c r="X632" s="145"/>
      <c r="Y632" s="146">
        <f t="shared" si="145"/>
        <v>493105.53</v>
      </c>
      <c r="Z632" s="145">
        <v>493105.53</v>
      </c>
      <c r="AA632" s="145"/>
      <c r="AB632" s="146">
        <f t="shared" si="149"/>
        <v>100022.31</v>
      </c>
      <c r="AC632" s="145"/>
      <c r="AD632" s="160">
        <v>100022.31</v>
      </c>
      <c r="AE632" s="30">
        <v>8878.9492219121803</v>
      </c>
      <c r="AF632" s="30">
        <v>1359.2830200640001</v>
      </c>
      <c r="AG632" s="33">
        <v>2024</v>
      </c>
      <c r="AH632" s="98"/>
      <c r="AI632" s="5">
        <f>+(K632*11.55+L632*23.1)*12*0.85</f>
        <v>41145.142500000002</v>
      </c>
      <c r="AJ632" s="5">
        <f>+(K632*11.55+L632*23.1)*12*30-[3]Лист1!$AQ$13</f>
        <v>1121478.6299999999</v>
      </c>
      <c r="AK632" s="5">
        <f t="shared" si="146"/>
        <v>781118.17999999993</v>
      </c>
      <c r="AL632" s="177">
        <f t="shared" si="148"/>
        <v>0</v>
      </c>
      <c r="AM632" s="62"/>
      <c r="AN632" s="30">
        <v>176147.11</v>
      </c>
      <c r="AO632" s="30">
        <v>322870.37</v>
      </c>
      <c r="AP632" s="30">
        <v>282100.7</v>
      </c>
      <c r="AQ632" s="30">
        <v>0</v>
      </c>
      <c r="AR632" s="30"/>
      <c r="AS632" s="62"/>
      <c r="AT632" s="30">
        <v>0</v>
      </c>
      <c r="AU632" s="30">
        <v>0</v>
      </c>
      <c r="AV632" s="30">
        <v>0</v>
      </c>
      <c r="AW632" s="30">
        <v>0</v>
      </c>
      <c r="AX632" s="30">
        <v>0</v>
      </c>
      <c r="AY632" s="153"/>
      <c r="AZ632" s="153"/>
      <c r="BA632" s="148"/>
      <c r="BB632" s="149">
        <f t="shared" si="147"/>
        <v>3</v>
      </c>
    </row>
    <row r="633" spans="1:54" ht="15.75" hidden="1">
      <c r="A633" s="10">
        <f t="shared" si="150"/>
        <v>612</v>
      </c>
      <c r="B633" s="12">
        <f t="shared" si="151"/>
        <v>152</v>
      </c>
      <c r="C633" s="12" t="s">
        <v>496</v>
      </c>
      <c r="D633" s="12" t="s">
        <v>499</v>
      </c>
      <c r="E633" s="120">
        <v>1989</v>
      </c>
      <c r="F633" s="120">
        <v>1989</v>
      </c>
      <c r="G633" s="120" t="s">
        <v>3</v>
      </c>
      <c r="H633" s="120">
        <v>5</v>
      </c>
      <c r="I633" s="120">
        <v>2</v>
      </c>
      <c r="J633" s="30">
        <v>1113.04</v>
      </c>
      <c r="K633" s="30">
        <v>865.12</v>
      </c>
      <c r="L633" s="30">
        <v>0</v>
      </c>
      <c r="M633" s="121">
        <v>32</v>
      </c>
      <c r="N633" s="28">
        <f t="shared" si="143"/>
        <v>739321.72</v>
      </c>
      <c r="O633" s="30"/>
      <c r="P633" s="30">
        <f t="shared" si="144"/>
        <v>0</v>
      </c>
      <c r="Q633" s="143"/>
      <c r="R633" s="31"/>
      <c r="S633" s="30"/>
      <c r="T633" s="31"/>
      <c r="U633" s="31"/>
      <c r="V633" s="146">
        <f t="shared" si="142"/>
        <v>143531.74</v>
      </c>
      <c r="W633" s="145">
        <v>143531.74</v>
      </c>
      <c r="X633" s="145"/>
      <c r="Y633" s="146">
        <f t="shared" si="145"/>
        <v>595789.98</v>
      </c>
      <c r="Z633" s="145">
        <v>595789.98</v>
      </c>
      <c r="AA633" s="145"/>
      <c r="AB633" s="146">
        <f t="shared" si="149"/>
        <v>0</v>
      </c>
      <c r="AC633" s="147"/>
      <c r="AD633" s="147"/>
      <c r="AE633" s="30">
        <v>4445.0045154572399</v>
      </c>
      <c r="AF633" s="30">
        <v>1360.2830200640001</v>
      </c>
      <c r="AG633" s="33">
        <v>2024</v>
      </c>
      <c r="AH633" s="98">
        <v>507033.1</v>
      </c>
      <c r="AI633" s="5">
        <f>+(K633*10.5+L633*21)*12*0.85</f>
        <v>92654.351999999999</v>
      </c>
      <c r="AJ633" s="5">
        <f>+(K633*11.55+L633*23.1)*12*30</f>
        <v>3597168.9600000004</v>
      </c>
      <c r="AK633" s="5">
        <f t="shared" si="146"/>
        <v>739321.72</v>
      </c>
      <c r="AL633" s="177">
        <f t="shared" si="148"/>
        <v>0</v>
      </c>
      <c r="AM633" s="62"/>
      <c r="AN633" s="30">
        <v>739321.72</v>
      </c>
      <c r="AO633" s="30">
        <v>0</v>
      </c>
      <c r="AP633" s="30">
        <v>0</v>
      </c>
      <c r="AQ633" s="30">
        <v>0</v>
      </c>
      <c r="AR633" s="30"/>
      <c r="AS633" s="62"/>
      <c r="AT633" s="30">
        <v>0</v>
      </c>
      <c r="AU633" s="30"/>
      <c r="AV633" s="30">
        <v>0</v>
      </c>
      <c r="AW633" s="30">
        <v>0</v>
      </c>
      <c r="AX633" s="30">
        <v>0</v>
      </c>
      <c r="AY633" s="153"/>
      <c r="AZ633" s="153"/>
      <c r="BA633" s="148"/>
      <c r="BB633" s="149">
        <f t="shared" si="147"/>
        <v>1</v>
      </c>
    </row>
    <row r="634" spans="1:54" ht="15.75" hidden="1">
      <c r="A634" s="10">
        <f t="shared" si="150"/>
        <v>613</v>
      </c>
      <c r="B634" s="12">
        <f t="shared" si="151"/>
        <v>153</v>
      </c>
      <c r="C634" s="12" t="s">
        <v>87</v>
      </c>
      <c r="D634" s="12" t="s">
        <v>501</v>
      </c>
      <c r="E634" s="120">
        <v>1961</v>
      </c>
      <c r="F634" s="120">
        <v>2009</v>
      </c>
      <c r="G634" s="120" t="s">
        <v>3</v>
      </c>
      <c r="H634" s="120">
        <v>2</v>
      </c>
      <c r="I634" s="120">
        <v>2</v>
      </c>
      <c r="J634" s="30">
        <v>1068.6199999999999</v>
      </c>
      <c r="K634" s="30">
        <v>637.97</v>
      </c>
      <c r="L634" s="30">
        <v>254.2</v>
      </c>
      <c r="M634" s="121">
        <v>30</v>
      </c>
      <c r="N634" s="28">
        <f t="shared" si="143"/>
        <v>341993.54000000004</v>
      </c>
      <c r="O634" s="30"/>
      <c r="P634" s="30">
        <f t="shared" si="144"/>
        <v>0</v>
      </c>
      <c r="Q634" s="143"/>
      <c r="R634" s="31"/>
      <c r="S634" s="30"/>
      <c r="T634" s="31"/>
      <c r="U634" s="31"/>
      <c r="V634" s="146">
        <f t="shared" si="142"/>
        <v>161022.22</v>
      </c>
      <c r="W634" s="145">
        <v>161022.22</v>
      </c>
      <c r="X634" s="145"/>
      <c r="Y634" s="146">
        <f t="shared" si="145"/>
        <v>180971.32</v>
      </c>
      <c r="Z634" s="145">
        <v>180971.32</v>
      </c>
      <c r="AA634" s="145"/>
      <c r="AB634" s="146">
        <f t="shared" si="149"/>
        <v>0</v>
      </c>
      <c r="AC634" s="147"/>
      <c r="AD634" s="147"/>
      <c r="AE634" s="30">
        <v>1174.28669391319</v>
      </c>
      <c r="AF634" s="30">
        <v>1349.2830200640001</v>
      </c>
      <c r="AG634" s="33">
        <v>2024</v>
      </c>
      <c r="AI634" s="5">
        <f>+(K634*11.55+L634*23.1)*12*0.85</f>
        <v>135053.84970000002</v>
      </c>
      <c r="AJ634" s="5">
        <f>+(K634*11.55+L634*23.1)*12*30-[3]Лист1!$AQ$16</f>
        <v>3888616.0000000009</v>
      </c>
      <c r="AK634" s="5">
        <f t="shared" si="146"/>
        <v>341993.54000000004</v>
      </c>
      <c r="AL634" s="177">
        <f t="shared" si="148"/>
        <v>0</v>
      </c>
      <c r="AM634" s="62">
        <v>0</v>
      </c>
      <c r="AN634" s="30">
        <v>0</v>
      </c>
      <c r="AO634" s="30">
        <v>341993.54</v>
      </c>
      <c r="AP634" s="30">
        <v>0</v>
      </c>
      <c r="AQ634" s="30">
        <v>0</v>
      </c>
      <c r="AR634" s="30"/>
      <c r="AS634" s="62"/>
      <c r="AT634" s="30">
        <v>0</v>
      </c>
      <c r="AU634" s="30">
        <v>0</v>
      </c>
      <c r="AV634" s="30">
        <v>0</v>
      </c>
      <c r="AW634" s="30">
        <v>0</v>
      </c>
      <c r="AX634" s="30">
        <v>0</v>
      </c>
      <c r="AY634" s="30"/>
      <c r="AZ634" s="30"/>
      <c r="BA634" s="148"/>
      <c r="BB634" s="149">
        <f t="shared" si="147"/>
        <v>1</v>
      </c>
    </row>
    <row r="635" spans="1:54" ht="15.75" hidden="1">
      <c r="A635" s="10">
        <f t="shared" si="150"/>
        <v>614</v>
      </c>
      <c r="B635" s="12">
        <f t="shared" si="151"/>
        <v>154</v>
      </c>
      <c r="C635" s="12" t="s">
        <v>87</v>
      </c>
      <c r="D635" s="12" t="s">
        <v>502</v>
      </c>
      <c r="E635" s="120">
        <v>1964</v>
      </c>
      <c r="F635" s="120">
        <v>2009</v>
      </c>
      <c r="G635" s="120" t="s">
        <v>3</v>
      </c>
      <c r="H635" s="120">
        <v>2</v>
      </c>
      <c r="I635" s="120">
        <v>2</v>
      </c>
      <c r="J635" s="30">
        <v>814.22</v>
      </c>
      <c r="K635" s="30">
        <v>596</v>
      </c>
      <c r="L635" s="30">
        <v>218.22</v>
      </c>
      <c r="M635" s="121">
        <v>23</v>
      </c>
      <c r="N635" s="28">
        <f t="shared" si="143"/>
        <v>438775.95999999996</v>
      </c>
      <c r="O635" s="30"/>
      <c r="P635" s="30">
        <f t="shared" si="144"/>
        <v>0</v>
      </c>
      <c r="Q635" s="143"/>
      <c r="R635" s="31"/>
      <c r="S635" s="30"/>
      <c r="T635" s="31"/>
      <c r="U635" s="31"/>
      <c r="V635" s="146">
        <f t="shared" si="142"/>
        <v>174798.85</v>
      </c>
      <c r="W635" s="145">
        <v>174798.85</v>
      </c>
      <c r="X635" s="145"/>
      <c r="Y635" s="146">
        <f t="shared" si="145"/>
        <v>263977.11</v>
      </c>
      <c r="Z635" s="145">
        <v>263977.11</v>
      </c>
      <c r="AA635" s="145"/>
      <c r="AB635" s="146">
        <f t="shared" si="149"/>
        <v>0</v>
      </c>
      <c r="AC635" s="147"/>
      <c r="AD635" s="147"/>
      <c r="AE635" s="30">
        <v>1147.1554883420299</v>
      </c>
      <c r="AF635" s="30">
        <v>1350.2830200640001</v>
      </c>
      <c r="AG635" s="33">
        <v>2024</v>
      </c>
      <c r="AI635" s="5">
        <f>+(K635*11.55+L635*23.1)*12*0.85</f>
        <v>121631.7564</v>
      </c>
      <c r="AJ635" s="5">
        <f>+(K635*11.55+L635*23.1)*12*30-[3]Лист1!$AQ$17</f>
        <v>4031038.8100000005</v>
      </c>
      <c r="AK635" s="5">
        <f t="shared" si="146"/>
        <v>438775.95999999996</v>
      </c>
      <c r="AL635" s="177">
        <f t="shared" si="148"/>
        <v>0</v>
      </c>
      <c r="AM635" s="62">
        <v>0</v>
      </c>
      <c r="AN635" s="30">
        <v>0</v>
      </c>
      <c r="AO635" s="30">
        <v>438775.96</v>
      </c>
      <c r="AP635" s="30">
        <v>0</v>
      </c>
      <c r="AQ635" s="30">
        <v>0</v>
      </c>
      <c r="AR635" s="30"/>
      <c r="AS635" s="62"/>
      <c r="AT635" s="30">
        <v>0</v>
      </c>
      <c r="AU635" s="30">
        <v>0</v>
      </c>
      <c r="AV635" s="30">
        <v>0</v>
      </c>
      <c r="AW635" s="30">
        <v>0</v>
      </c>
      <c r="AX635" s="30">
        <v>0</v>
      </c>
      <c r="AY635" s="30"/>
      <c r="AZ635" s="30"/>
      <c r="BA635" s="148"/>
      <c r="BB635" s="149">
        <f t="shared" si="147"/>
        <v>1</v>
      </c>
    </row>
    <row r="636" spans="1:54" ht="15.75" hidden="1">
      <c r="A636" s="10">
        <f t="shared" si="150"/>
        <v>615</v>
      </c>
      <c r="B636" s="12">
        <f t="shared" si="151"/>
        <v>155</v>
      </c>
      <c r="C636" s="12" t="s">
        <v>87</v>
      </c>
      <c r="D636" s="12" t="s">
        <v>94</v>
      </c>
      <c r="E636" s="120">
        <v>1984</v>
      </c>
      <c r="F636" s="120">
        <v>2009</v>
      </c>
      <c r="G636" s="120" t="s">
        <v>3</v>
      </c>
      <c r="H636" s="120">
        <v>2</v>
      </c>
      <c r="I636" s="120">
        <v>2</v>
      </c>
      <c r="J636" s="30">
        <v>1164.7</v>
      </c>
      <c r="K636" s="30">
        <v>745.9</v>
      </c>
      <c r="L636" s="30">
        <v>304.10000000000002</v>
      </c>
      <c r="M636" s="121">
        <v>37</v>
      </c>
      <c r="N636" s="28">
        <f t="shared" si="143"/>
        <v>1652583.59</v>
      </c>
      <c r="O636" s="30"/>
      <c r="P636" s="30">
        <f t="shared" si="144"/>
        <v>484864.94</v>
      </c>
      <c r="Q636" s="154">
        <v>484864.94</v>
      </c>
      <c r="R636" s="145"/>
      <c r="S636" s="30"/>
      <c r="T636" s="31"/>
      <c r="U636" s="31"/>
      <c r="V636" s="146">
        <f t="shared" si="142"/>
        <v>115647.13</v>
      </c>
      <c r="W636" s="145">
        <v>115647.13</v>
      </c>
      <c r="X636" s="145"/>
      <c r="Y636" s="146">
        <f t="shared" si="145"/>
        <v>1052071.52</v>
      </c>
      <c r="Z636" s="145">
        <v>1052071.52</v>
      </c>
      <c r="AA636" s="145"/>
      <c r="AB636" s="146">
        <f t="shared" si="149"/>
        <v>0</v>
      </c>
      <c r="AC636" s="147"/>
      <c r="AD636" s="147"/>
      <c r="AE636" s="30">
        <v>6750.0347572676601</v>
      </c>
      <c r="AF636" s="30">
        <v>6750.0347572676601</v>
      </c>
      <c r="AG636" s="33">
        <v>2024</v>
      </c>
      <c r="AH636" s="18" t="e">
        <f>397731.31-#REF!</f>
        <v>#REF!</v>
      </c>
      <c r="AI636" s="5">
        <f>+(K636*10+L636*20)*12*0.85</f>
        <v>138118.19999999998</v>
      </c>
      <c r="AJ636" s="5">
        <f>+(K636*11.55+L636*23.1)*12*30</f>
        <v>5630347.8000000007</v>
      </c>
      <c r="AK636" s="5">
        <f t="shared" si="146"/>
        <v>1652583.59</v>
      </c>
      <c r="AL636" s="146">
        <f t="shared" si="148"/>
        <v>0</v>
      </c>
      <c r="AM636" s="62">
        <v>1652583.59</v>
      </c>
      <c r="AN636" s="30"/>
      <c r="AO636" s="30"/>
      <c r="AP636" s="30"/>
      <c r="AQ636" s="30">
        <v>0</v>
      </c>
      <c r="AR636" s="30"/>
      <c r="AS636" s="62"/>
      <c r="AT636" s="30">
        <v>0</v>
      </c>
      <c r="AU636" s="30"/>
      <c r="AV636" s="30">
        <v>0</v>
      </c>
      <c r="AW636" s="30">
        <v>0</v>
      </c>
      <c r="AX636" s="30">
        <v>0</v>
      </c>
      <c r="AY636" s="153"/>
      <c r="AZ636" s="153"/>
      <c r="BA636" s="148"/>
      <c r="BB636" s="149">
        <f t="shared" si="147"/>
        <v>1</v>
      </c>
    </row>
    <row r="637" spans="1:54" ht="15.75" hidden="1">
      <c r="A637" s="10">
        <f t="shared" si="150"/>
        <v>616</v>
      </c>
      <c r="B637" s="12">
        <f t="shared" si="151"/>
        <v>156</v>
      </c>
      <c r="C637" s="12" t="s">
        <v>87</v>
      </c>
      <c r="D637" s="12" t="s">
        <v>504</v>
      </c>
      <c r="E637" s="120">
        <v>1969</v>
      </c>
      <c r="F637" s="120">
        <v>1969</v>
      </c>
      <c r="G637" s="120" t="s">
        <v>3</v>
      </c>
      <c r="H637" s="120">
        <v>2</v>
      </c>
      <c r="I637" s="120">
        <v>2</v>
      </c>
      <c r="J637" s="30">
        <v>842.59</v>
      </c>
      <c r="K637" s="30">
        <v>626.4</v>
      </c>
      <c r="L637" s="30">
        <v>216.19</v>
      </c>
      <c r="M637" s="121">
        <v>30</v>
      </c>
      <c r="N637" s="28">
        <f t="shared" si="143"/>
        <v>432298.63</v>
      </c>
      <c r="O637" s="30"/>
      <c r="P637" s="30">
        <f t="shared" si="144"/>
        <v>0</v>
      </c>
      <c r="Q637" s="143"/>
      <c r="R637" s="31"/>
      <c r="S637" s="30"/>
      <c r="T637" s="31"/>
      <c r="U637" s="31"/>
      <c r="V637" s="146">
        <f t="shared" ref="V637:V668" si="152">W637+X637</f>
        <v>195852.44</v>
      </c>
      <c r="W637" s="145">
        <v>195852.44</v>
      </c>
      <c r="X637" s="145"/>
      <c r="Y637" s="146">
        <f t="shared" si="145"/>
        <v>236446.19</v>
      </c>
      <c r="Z637" s="145">
        <v>236446.19</v>
      </c>
      <c r="AA637" s="145"/>
      <c r="AB637" s="146">
        <f t="shared" si="149"/>
        <v>0</v>
      </c>
      <c r="AC637" s="147"/>
      <c r="AD637" s="147"/>
      <c r="AE637" s="30">
        <v>1129.51325702398</v>
      </c>
      <c r="AF637" s="30">
        <v>1351.2830200640001</v>
      </c>
      <c r="AG637" s="33">
        <v>2024</v>
      </c>
      <c r="AI637" s="5">
        <f t="shared" ref="AI637:AI642" si="153">+(K637*11.55+L637*23.1)*12*0.85</f>
        <v>124734.87179999999</v>
      </c>
      <c r="AJ637" s="5">
        <f>+(K637*11.55+L637*23.1)*12*30-[3]Лист1!$AQ$19</f>
        <v>3391337.4200000004</v>
      </c>
      <c r="AK637" s="5">
        <f t="shared" si="146"/>
        <v>432298.63</v>
      </c>
      <c r="AL637" s="177">
        <f t="shared" si="148"/>
        <v>0</v>
      </c>
      <c r="AM637" s="62">
        <v>0</v>
      </c>
      <c r="AN637" s="30">
        <v>0</v>
      </c>
      <c r="AO637" s="30">
        <v>432298.63</v>
      </c>
      <c r="AP637" s="30">
        <v>0</v>
      </c>
      <c r="AQ637" s="30">
        <v>0</v>
      </c>
      <c r="AR637" s="30"/>
      <c r="AS637" s="62"/>
      <c r="AT637" s="30">
        <v>0</v>
      </c>
      <c r="AU637" s="30">
        <v>0</v>
      </c>
      <c r="AV637" s="30">
        <v>0</v>
      </c>
      <c r="AW637" s="30">
        <v>0</v>
      </c>
      <c r="AX637" s="30">
        <v>0</v>
      </c>
      <c r="AY637" s="30"/>
      <c r="AZ637" s="30"/>
      <c r="BA637" s="148"/>
      <c r="BB637" s="149">
        <f t="shared" si="147"/>
        <v>1</v>
      </c>
    </row>
    <row r="638" spans="1:54" ht="15.75" hidden="1">
      <c r="A638" s="10">
        <f t="shared" si="150"/>
        <v>617</v>
      </c>
      <c r="B638" s="12">
        <f t="shared" si="151"/>
        <v>157</v>
      </c>
      <c r="C638" s="12" t="s">
        <v>87</v>
      </c>
      <c r="D638" s="12" t="s">
        <v>505</v>
      </c>
      <c r="E638" s="120">
        <v>1963</v>
      </c>
      <c r="F638" s="120">
        <v>2008</v>
      </c>
      <c r="G638" s="120" t="s">
        <v>3</v>
      </c>
      <c r="H638" s="120">
        <v>2</v>
      </c>
      <c r="I638" s="120">
        <v>2</v>
      </c>
      <c r="J638" s="30">
        <v>815.23</v>
      </c>
      <c r="K638" s="30">
        <v>621.87</v>
      </c>
      <c r="L638" s="30">
        <v>0</v>
      </c>
      <c r="M638" s="121">
        <v>50</v>
      </c>
      <c r="N638" s="28">
        <f t="shared" si="143"/>
        <v>2297434.79</v>
      </c>
      <c r="O638" s="30"/>
      <c r="P638" s="30">
        <f t="shared" si="144"/>
        <v>0</v>
      </c>
      <c r="Q638" s="143"/>
      <c r="R638" s="31"/>
      <c r="S638" s="30"/>
      <c r="T638" s="31"/>
      <c r="U638" s="31"/>
      <c r="V638" s="146">
        <f t="shared" si="152"/>
        <v>359794.98</v>
      </c>
      <c r="W638" s="145">
        <v>359794.98</v>
      </c>
      <c r="X638" s="145"/>
      <c r="Y638" s="146">
        <f t="shared" si="145"/>
        <v>1724832.58</v>
      </c>
      <c r="Z638" s="145">
        <v>1724832.58</v>
      </c>
      <c r="AA638" s="145"/>
      <c r="AB638" s="146">
        <f t="shared" si="149"/>
        <v>212807.23</v>
      </c>
      <c r="AC638" s="147"/>
      <c r="AD638" s="145">
        <v>212807.23</v>
      </c>
      <c r="AE638" s="30">
        <v>3425.4975134669598</v>
      </c>
      <c r="AF638" s="30">
        <v>1352.2830200640001</v>
      </c>
      <c r="AG638" s="33">
        <v>2024</v>
      </c>
      <c r="AH638" s="98"/>
      <c r="AI638" s="5">
        <f t="shared" si="153"/>
        <v>73262.504700000005</v>
      </c>
      <c r="AJ638" s="5">
        <f>+(K638*11.55+L638*23.1)*12*30-[3]Лист1!$AP$20</f>
        <v>1611494.73</v>
      </c>
      <c r="AK638" s="5">
        <f t="shared" si="146"/>
        <v>2297434.79</v>
      </c>
      <c r="AL638" s="177">
        <f t="shared" si="148"/>
        <v>0</v>
      </c>
      <c r="AM638" s="62">
        <v>0</v>
      </c>
      <c r="AN638" s="30">
        <v>0</v>
      </c>
      <c r="AO638" s="30"/>
      <c r="AP638" s="30">
        <v>0</v>
      </c>
      <c r="AQ638" s="30">
        <v>0</v>
      </c>
      <c r="AR638" s="30"/>
      <c r="AS638" s="62"/>
      <c r="AT638" s="30">
        <v>0</v>
      </c>
      <c r="AU638" s="30">
        <v>0</v>
      </c>
      <c r="AV638" s="30">
        <v>0</v>
      </c>
      <c r="AW638" s="30">
        <v>0</v>
      </c>
      <c r="AX638" s="30">
        <v>2297434.79</v>
      </c>
      <c r="AY638" s="30"/>
      <c r="AZ638" s="30"/>
      <c r="BA638" s="148"/>
      <c r="BB638" s="149">
        <f t="shared" si="147"/>
        <v>1</v>
      </c>
    </row>
    <row r="639" spans="1:54" ht="15.75" hidden="1">
      <c r="A639" s="10">
        <f t="shared" si="150"/>
        <v>618</v>
      </c>
      <c r="B639" s="12">
        <f t="shared" si="151"/>
        <v>158</v>
      </c>
      <c r="C639" s="12" t="s">
        <v>87</v>
      </c>
      <c r="D639" s="12" t="s">
        <v>506</v>
      </c>
      <c r="E639" s="120">
        <v>1971</v>
      </c>
      <c r="F639" s="120">
        <v>2009</v>
      </c>
      <c r="G639" s="120" t="s">
        <v>3</v>
      </c>
      <c r="H639" s="120">
        <v>4</v>
      </c>
      <c r="I639" s="120">
        <v>4</v>
      </c>
      <c r="J639" s="30">
        <v>3316.04</v>
      </c>
      <c r="K639" s="30">
        <v>2384.75</v>
      </c>
      <c r="L639" s="30">
        <v>776.54</v>
      </c>
      <c r="M639" s="121">
        <v>114</v>
      </c>
      <c r="N639" s="28">
        <f t="shared" si="143"/>
        <v>2013106.51</v>
      </c>
      <c r="O639" s="30"/>
      <c r="P639" s="30">
        <f t="shared" si="144"/>
        <v>0</v>
      </c>
      <c r="Q639" s="143"/>
      <c r="R639" s="31"/>
      <c r="S639" s="30"/>
      <c r="T639" s="31"/>
      <c r="U639" s="31"/>
      <c r="V639" s="146">
        <f t="shared" si="152"/>
        <v>2013106.51</v>
      </c>
      <c r="W639" s="145">
        <v>2013106.51</v>
      </c>
      <c r="X639" s="145"/>
      <c r="Y639" s="146">
        <f t="shared" si="145"/>
        <v>0</v>
      </c>
      <c r="Z639" s="145"/>
      <c r="AA639" s="145"/>
      <c r="AB639" s="146">
        <f t="shared" si="149"/>
        <v>0</v>
      </c>
      <c r="AC639" s="147"/>
      <c r="AD639" s="147"/>
      <c r="AE639" s="30">
        <v>1309.56648633892</v>
      </c>
      <c r="AF639" s="30">
        <v>1353.2830200640001</v>
      </c>
      <c r="AG639" s="33">
        <v>2024</v>
      </c>
      <c r="AH639" s="98"/>
      <c r="AI639" s="5">
        <f t="shared" si="153"/>
        <v>463915.75229999999</v>
      </c>
      <c r="AJ639" s="5">
        <f>+(K639*11.55+L639*23.1)*12*30-[3]Лист1!$AQ$21</f>
        <v>14022568.850000001</v>
      </c>
      <c r="AK639" s="5">
        <f t="shared" si="146"/>
        <v>2013106.51</v>
      </c>
      <c r="AL639" s="177">
        <f t="shared" si="148"/>
        <v>0</v>
      </c>
      <c r="AM639" s="62">
        <v>0</v>
      </c>
      <c r="AN639" s="30">
        <v>0</v>
      </c>
      <c r="AO639" s="30">
        <v>2013106.51</v>
      </c>
      <c r="AP639" s="30">
        <v>0</v>
      </c>
      <c r="AQ639" s="30">
        <v>0</v>
      </c>
      <c r="AR639" s="30"/>
      <c r="AS639" s="62"/>
      <c r="AT639" s="30">
        <v>0</v>
      </c>
      <c r="AU639" s="30">
        <v>0</v>
      </c>
      <c r="AV639" s="30">
        <v>0</v>
      </c>
      <c r="AW639" s="30">
        <v>0</v>
      </c>
      <c r="AX639" s="30">
        <v>0</v>
      </c>
      <c r="AY639" s="30"/>
      <c r="AZ639" s="30"/>
      <c r="BA639" s="156"/>
      <c r="BB639" s="149">
        <f t="shared" si="147"/>
        <v>1</v>
      </c>
    </row>
    <row r="640" spans="1:54" ht="15.75" hidden="1">
      <c r="A640" s="10">
        <f t="shared" si="150"/>
        <v>619</v>
      </c>
      <c r="B640" s="12">
        <f t="shared" si="151"/>
        <v>159</v>
      </c>
      <c r="C640" s="12" t="s">
        <v>87</v>
      </c>
      <c r="D640" s="12" t="s">
        <v>507</v>
      </c>
      <c r="E640" s="120">
        <v>1962</v>
      </c>
      <c r="F640" s="120">
        <v>2003</v>
      </c>
      <c r="G640" s="120" t="s">
        <v>3</v>
      </c>
      <c r="H640" s="120">
        <v>2</v>
      </c>
      <c r="I640" s="120">
        <v>2</v>
      </c>
      <c r="J640" s="30">
        <v>1001.33</v>
      </c>
      <c r="K640" s="30">
        <v>596.02</v>
      </c>
      <c r="L640" s="30">
        <v>0</v>
      </c>
      <c r="M640" s="121">
        <v>24</v>
      </c>
      <c r="N640" s="28">
        <f t="shared" si="143"/>
        <v>426037.94</v>
      </c>
      <c r="O640" s="30"/>
      <c r="P640" s="30">
        <f t="shared" si="144"/>
        <v>0</v>
      </c>
      <c r="Q640" s="143"/>
      <c r="R640" s="31"/>
      <c r="S640" s="30"/>
      <c r="T640" s="31"/>
      <c r="U640" s="31"/>
      <c r="V640" s="146">
        <f t="shared" si="152"/>
        <v>157058.32</v>
      </c>
      <c r="W640" s="145">
        <v>157058.32</v>
      </c>
      <c r="X640" s="145"/>
      <c r="Y640" s="146">
        <f t="shared" si="145"/>
        <v>268979.62</v>
      </c>
      <c r="Z640" s="145">
        <v>268979.62</v>
      </c>
      <c r="AA640" s="145"/>
      <c r="AB640" s="146">
        <f t="shared" si="149"/>
        <v>0</v>
      </c>
      <c r="AC640" s="147"/>
      <c r="AD640" s="147"/>
      <c r="AE640" s="30">
        <v>839.70508100003406</v>
      </c>
      <c r="AF640" s="30">
        <v>1355.2830200640001</v>
      </c>
      <c r="AG640" s="33">
        <v>2024</v>
      </c>
      <c r="AI640" s="5">
        <f t="shared" si="153"/>
        <v>70217.116200000004</v>
      </c>
      <c r="AJ640" s="5">
        <f>+(K640*11.55+L640*23.1)*12*30-[3]Лист1!$AQ$22</f>
        <v>1339944.29</v>
      </c>
      <c r="AK640" s="5">
        <f t="shared" si="146"/>
        <v>426037.94</v>
      </c>
      <c r="AL640" s="177">
        <f t="shared" si="148"/>
        <v>0</v>
      </c>
      <c r="AM640" s="62">
        <v>0</v>
      </c>
      <c r="AN640" s="30">
        <v>0</v>
      </c>
      <c r="AO640" s="30">
        <v>426037.94</v>
      </c>
      <c r="AP640" s="30">
        <v>0</v>
      </c>
      <c r="AQ640" s="30">
        <v>0</v>
      </c>
      <c r="AR640" s="30"/>
      <c r="AS640" s="62"/>
      <c r="AT640" s="30">
        <v>0</v>
      </c>
      <c r="AU640" s="30">
        <v>0</v>
      </c>
      <c r="AV640" s="30">
        <v>0</v>
      </c>
      <c r="AW640" s="30">
        <v>0</v>
      </c>
      <c r="AX640" s="30">
        <v>0</v>
      </c>
      <c r="AY640" s="30"/>
      <c r="AZ640" s="30"/>
      <c r="BA640" s="148"/>
      <c r="BB640" s="149">
        <f t="shared" si="147"/>
        <v>1</v>
      </c>
    </row>
    <row r="641" spans="1:54" ht="15.75" hidden="1">
      <c r="A641" s="10">
        <f t="shared" si="150"/>
        <v>620</v>
      </c>
      <c r="B641" s="12">
        <f t="shared" si="151"/>
        <v>160</v>
      </c>
      <c r="C641" s="12" t="s">
        <v>87</v>
      </c>
      <c r="D641" s="12" t="s">
        <v>508</v>
      </c>
      <c r="E641" s="120">
        <v>1962</v>
      </c>
      <c r="F641" s="120">
        <v>2004</v>
      </c>
      <c r="G641" s="120" t="s">
        <v>3</v>
      </c>
      <c r="H641" s="120">
        <v>2</v>
      </c>
      <c r="I641" s="120">
        <v>2</v>
      </c>
      <c r="J641" s="30">
        <v>1037.76</v>
      </c>
      <c r="K641" s="30">
        <v>623.46</v>
      </c>
      <c r="L641" s="30">
        <v>0</v>
      </c>
      <c r="M641" s="121">
        <v>19</v>
      </c>
      <c r="N641" s="28">
        <f t="shared" si="143"/>
        <v>337207.15</v>
      </c>
      <c r="O641" s="30"/>
      <c r="P641" s="30">
        <f t="shared" si="144"/>
        <v>0</v>
      </c>
      <c r="Q641" s="143"/>
      <c r="R641" s="31"/>
      <c r="S641" s="30"/>
      <c r="T641" s="31"/>
      <c r="U641" s="31"/>
      <c r="V641" s="146">
        <f t="shared" si="152"/>
        <v>153627.75</v>
      </c>
      <c r="W641" s="145">
        <v>153627.75</v>
      </c>
      <c r="X641" s="145"/>
      <c r="Y641" s="146">
        <f t="shared" si="145"/>
        <v>183579.4</v>
      </c>
      <c r="Z641" s="145">
        <v>183579.4</v>
      </c>
      <c r="AA641" s="145"/>
      <c r="AB641" s="146">
        <f t="shared" si="149"/>
        <v>0</v>
      </c>
      <c r="AC641" s="147"/>
      <c r="AD641" s="147"/>
      <c r="AE641" s="30">
        <v>839.70508100003406</v>
      </c>
      <c r="AF641" s="30">
        <v>1356.2830200640001</v>
      </c>
      <c r="AG641" s="33">
        <v>2024</v>
      </c>
      <c r="AI641" s="5">
        <f t="shared" si="153"/>
        <v>73449.822600000014</v>
      </c>
      <c r="AJ641" s="5">
        <f>+(K641*11.55+L641*23.1)*12*30-[3]Лист1!$AQ$23</f>
        <v>1879715.9500000002</v>
      </c>
      <c r="AK641" s="5">
        <f t="shared" si="146"/>
        <v>337207.15</v>
      </c>
      <c r="AL641" s="177">
        <f t="shared" si="148"/>
        <v>0</v>
      </c>
      <c r="AM641" s="62">
        <v>0</v>
      </c>
      <c r="AN641" s="30">
        <v>0</v>
      </c>
      <c r="AO641" s="30">
        <v>337207.15</v>
      </c>
      <c r="AP641" s="30">
        <v>0</v>
      </c>
      <c r="AQ641" s="30">
        <v>0</v>
      </c>
      <c r="AR641" s="30"/>
      <c r="AS641" s="62"/>
      <c r="AT641" s="30">
        <v>0</v>
      </c>
      <c r="AU641" s="30">
        <v>0</v>
      </c>
      <c r="AV641" s="30">
        <v>0</v>
      </c>
      <c r="AW641" s="30">
        <v>0</v>
      </c>
      <c r="AX641" s="30">
        <v>0</v>
      </c>
      <c r="AY641" s="30"/>
      <c r="AZ641" s="30"/>
      <c r="BA641" s="148"/>
      <c r="BB641" s="149">
        <f t="shared" si="147"/>
        <v>1</v>
      </c>
    </row>
    <row r="642" spans="1:54" ht="15.75" hidden="1">
      <c r="A642" s="10">
        <f t="shared" si="150"/>
        <v>621</v>
      </c>
      <c r="B642" s="12">
        <f t="shared" si="151"/>
        <v>161</v>
      </c>
      <c r="C642" s="12" t="s">
        <v>87</v>
      </c>
      <c r="D642" s="12" t="s">
        <v>509</v>
      </c>
      <c r="E642" s="120">
        <v>1961</v>
      </c>
      <c r="F642" s="120">
        <v>2004</v>
      </c>
      <c r="G642" s="120" t="s">
        <v>3</v>
      </c>
      <c r="H642" s="120">
        <v>2</v>
      </c>
      <c r="I642" s="120">
        <v>2</v>
      </c>
      <c r="J642" s="30">
        <v>1023.9</v>
      </c>
      <c r="K642" s="30">
        <v>621.22</v>
      </c>
      <c r="L642" s="30">
        <v>0</v>
      </c>
      <c r="M642" s="121">
        <v>19</v>
      </c>
      <c r="N642" s="28">
        <f t="shared" si="143"/>
        <v>472025.63</v>
      </c>
      <c r="O642" s="30"/>
      <c r="P642" s="30">
        <f t="shared" si="144"/>
        <v>0</v>
      </c>
      <c r="Q642" s="143"/>
      <c r="R642" s="31"/>
      <c r="S642" s="30"/>
      <c r="T642" s="31"/>
      <c r="U642" s="31"/>
      <c r="V642" s="146">
        <f t="shared" si="152"/>
        <v>218338.99</v>
      </c>
      <c r="W642" s="145">
        <v>218338.99</v>
      </c>
      <c r="X642" s="145"/>
      <c r="Y642" s="146">
        <f t="shared" si="145"/>
        <v>253686.64</v>
      </c>
      <c r="Z642" s="145">
        <v>253686.64</v>
      </c>
      <c r="AA642" s="145"/>
      <c r="AB642" s="146">
        <f t="shared" si="149"/>
        <v>0</v>
      </c>
      <c r="AC642" s="147"/>
      <c r="AD642" s="147"/>
      <c r="AE642" s="30">
        <v>839.70508100003406</v>
      </c>
      <c r="AF642" s="30">
        <v>1357.2830200640001</v>
      </c>
      <c r="AG642" s="33">
        <v>2024</v>
      </c>
      <c r="AI642" s="5">
        <f t="shared" si="153"/>
        <v>73185.928199999995</v>
      </c>
      <c r="AJ642" s="5">
        <f>+(K642*11.55+L642*23.1)*12*30-[3]Лист1!$AQ$24</f>
        <v>1501091.8000000003</v>
      </c>
      <c r="AK642" s="5">
        <f t="shared" si="146"/>
        <v>472025.63</v>
      </c>
      <c r="AL642" s="177">
        <f t="shared" si="148"/>
        <v>0</v>
      </c>
      <c r="AM642" s="62">
        <v>0</v>
      </c>
      <c r="AN642" s="30">
        <v>0</v>
      </c>
      <c r="AO642" s="30">
        <v>472025.63</v>
      </c>
      <c r="AP642" s="30">
        <v>0</v>
      </c>
      <c r="AQ642" s="30">
        <v>0</v>
      </c>
      <c r="AR642" s="30"/>
      <c r="AS642" s="62"/>
      <c r="AT642" s="30">
        <v>0</v>
      </c>
      <c r="AU642" s="30">
        <v>0</v>
      </c>
      <c r="AV642" s="30">
        <v>0</v>
      </c>
      <c r="AW642" s="30">
        <v>0</v>
      </c>
      <c r="AX642" s="30">
        <v>0</v>
      </c>
      <c r="AY642" s="30"/>
      <c r="AZ642" s="30"/>
      <c r="BA642" s="148"/>
      <c r="BB642" s="149">
        <f t="shared" si="147"/>
        <v>1</v>
      </c>
    </row>
    <row r="643" spans="1:54" ht="15.75" hidden="1">
      <c r="A643" s="10">
        <f t="shared" si="150"/>
        <v>622</v>
      </c>
      <c r="B643" s="12">
        <f t="shared" si="151"/>
        <v>162</v>
      </c>
      <c r="C643" s="12" t="s">
        <v>104</v>
      </c>
      <c r="D643" s="12" t="s">
        <v>511</v>
      </c>
      <c r="E643" s="120">
        <v>1980</v>
      </c>
      <c r="F643" s="120">
        <v>2000</v>
      </c>
      <c r="G643" s="120" t="s">
        <v>3</v>
      </c>
      <c r="H643" s="120">
        <v>4</v>
      </c>
      <c r="I643" s="120">
        <v>2</v>
      </c>
      <c r="J643" s="30">
        <v>1287.7</v>
      </c>
      <c r="K643" s="30">
        <v>1277.9000000000001</v>
      </c>
      <c r="L643" s="30">
        <v>0</v>
      </c>
      <c r="M643" s="121">
        <v>40</v>
      </c>
      <c r="N643" s="28">
        <f t="shared" si="143"/>
        <v>4711950.83</v>
      </c>
      <c r="O643" s="30"/>
      <c r="P643" s="30">
        <f t="shared" si="144"/>
        <v>3047218.77</v>
      </c>
      <c r="Q643" s="143">
        <v>3047218.77</v>
      </c>
      <c r="R643" s="31"/>
      <c r="S643" s="30"/>
      <c r="T643" s="31"/>
      <c r="U643" s="31"/>
      <c r="V643" s="146">
        <f t="shared" si="152"/>
        <v>114904.46</v>
      </c>
      <c r="W643" s="145">
        <v>114904.46</v>
      </c>
      <c r="X643" s="145"/>
      <c r="Y643" s="146">
        <f t="shared" si="145"/>
        <v>1078632.52</v>
      </c>
      <c r="Z643" s="145">
        <v>1078632.52</v>
      </c>
      <c r="AA643" s="145"/>
      <c r="AB643" s="146">
        <f t="shared" si="149"/>
        <v>471195.08</v>
      </c>
      <c r="AC643" s="147"/>
      <c r="AD643" s="145">
        <v>471195.08</v>
      </c>
      <c r="AE643" s="30">
        <v>3157.7186882372698</v>
      </c>
      <c r="AF643" s="30">
        <v>3157.7186882372698</v>
      </c>
      <c r="AG643" s="33">
        <v>2024</v>
      </c>
      <c r="AH643" s="1">
        <v>585442.07999999996</v>
      </c>
      <c r="AI643" s="5">
        <f>+(K643*10+L643*20)*12*0.85</f>
        <v>130345.8</v>
      </c>
      <c r="AJ643" s="5">
        <f t="shared" ref="AJ643:AJ648" si="154">+(K643*11.55+L643*23.1)*12*30</f>
        <v>5313508.2000000011</v>
      </c>
      <c r="AK643" s="5">
        <f t="shared" si="146"/>
        <v>4711950.83</v>
      </c>
      <c r="AL643" s="146">
        <f t="shared" si="148"/>
        <v>0</v>
      </c>
      <c r="AM643" s="62">
        <v>4711950.83</v>
      </c>
      <c r="AN643" s="30"/>
      <c r="AO643" s="30"/>
      <c r="AP643" s="30"/>
      <c r="AQ643" s="30">
        <v>0</v>
      </c>
      <c r="AR643" s="30"/>
      <c r="AS643" s="62"/>
      <c r="AT643" s="30">
        <v>0</v>
      </c>
      <c r="AU643" s="30">
        <v>0</v>
      </c>
      <c r="AV643" s="30">
        <v>0</v>
      </c>
      <c r="AW643" s="30">
        <v>0</v>
      </c>
      <c r="AX643" s="30">
        <v>0</v>
      </c>
      <c r="AY643" s="30"/>
      <c r="AZ643" s="30"/>
      <c r="BA643" s="148"/>
      <c r="BB643" s="149">
        <f t="shared" si="147"/>
        <v>1</v>
      </c>
    </row>
    <row r="644" spans="1:54" ht="15.75" hidden="1">
      <c r="A644" s="10">
        <f t="shared" si="150"/>
        <v>623</v>
      </c>
      <c r="B644" s="12">
        <f t="shared" si="151"/>
        <v>163</v>
      </c>
      <c r="C644" s="101" t="s">
        <v>104</v>
      </c>
      <c r="D644" s="101" t="s">
        <v>513</v>
      </c>
      <c r="E644" s="102">
        <v>1993</v>
      </c>
      <c r="F644" s="102">
        <v>2013</v>
      </c>
      <c r="G644" s="102" t="s">
        <v>3</v>
      </c>
      <c r="H644" s="102">
        <v>5</v>
      </c>
      <c r="I644" s="102">
        <v>4</v>
      </c>
      <c r="J644" s="62">
        <v>3395.5</v>
      </c>
      <c r="K644" s="62">
        <v>2227.23</v>
      </c>
      <c r="L644" s="62">
        <v>0</v>
      </c>
      <c r="M644" s="103">
        <v>37</v>
      </c>
      <c r="N644" s="28">
        <f t="shared" si="143"/>
        <v>2252096.81</v>
      </c>
      <c r="O644" s="62"/>
      <c r="P644" s="30">
        <f t="shared" si="144"/>
        <v>0</v>
      </c>
      <c r="Q644" s="143"/>
      <c r="R644" s="31"/>
      <c r="S644" s="30"/>
      <c r="T644" s="31"/>
      <c r="U644" s="31"/>
      <c r="V644" s="146">
        <f t="shared" si="152"/>
        <v>600253.38</v>
      </c>
      <c r="W644" s="145">
        <v>600253.38</v>
      </c>
      <c r="X644" s="145"/>
      <c r="Y644" s="146">
        <f t="shared" si="145"/>
        <v>1651843.43</v>
      </c>
      <c r="Z644" s="145">
        <v>1651843.43</v>
      </c>
      <c r="AA644" s="145"/>
      <c r="AB644" s="146">
        <f t="shared" si="149"/>
        <v>0</v>
      </c>
      <c r="AC644" s="147"/>
      <c r="AD644" s="147"/>
      <c r="AE644" s="62">
        <v>2851.0892429610399</v>
      </c>
      <c r="AF644" s="62">
        <v>2851.0892429610399</v>
      </c>
      <c r="AG644" s="33">
        <v>2024</v>
      </c>
      <c r="AH644" s="1">
        <v>77200.679999999993</v>
      </c>
      <c r="AI644" s="5">
        <f>+(K644*11.55+L644*23.1)*12*0.85</f>
        <v>262389.96630000003</v>
      </c>
      <c r="AJ644" s="5">
        <f t="shared" si="154"/>
        <v>9260822.3400000017</v>
      </c>
      <c r="AK644" s="5">
        <f t="shared" si="146"/>
        <v>2252096.81</v>
      </c>
      <c r="AL644" s="146">
        <f t="shared" si="148"/>
        <v>0</v>
      </c>
      <c r="AM644" s="62">
        <v>0</v>
      </c>
      <c r="AN644" s="30">
        <v>0</v>
      </c>
      <c r="AO644" s="30">
        <v>2252096.81</v>
      </c>
      <c r="AP644" s="30"/>
      <c r="AQ644" s="30">
        <v>0</v>
      </c>
      <c r="AR644" s="30"/>
      <c r="AS644" s="62"/>
      <c r="AT644" s="30">
        <v>0</v>
      </c>
      <c r="AU644" s="30">
        <v>0</v>
      </c>
      <c r="AV644" s="30">
        <v>0</v>
      </c>
      <c r="AW644" s="30">
        <v>0</v>
      </c>
      <c r="AX644" s="30">
        <v>0</v>
      </c>
      <c r="AY644" s="30"/>
      <c r="AZ644" s="30"/>
      <c r="BA644" s="148"/>
      <c r="BB644" s="149">
        <f t="shared" si="147"/>
        <v>1</v>
      </c>
    </row>
    <row r="645" spans="1:54" ht="15.75" hidden="1">
      <c r="A645" s="10">
        <f t="shared" si="150"/>
        <v>624</v>
      </c>
      <c r="B645" s="12">
        <f t="shared" si="151"/>
        <v>164</v>
      </c>
      <c r="C645" s="101" t="s">
        <v>104</v>
      </c>
      <c r="D645" s="101" t="s">
        <v>514</v>
      </c>
      <c r="E645" s="102">
        <v>1971</v>
      </c>
      <c r="F645" s="102">
        <v>2013</v>
      </c>
      <c r="G645" s="102" t="s">
        <v>3</v>
      </c>
      <c r="H645" s="102">
        <v>3</v>
      </c>
      <c r="I645" s="102">
        <v>1</v>
      </c>
      <c r="J645" s="62">
        <v>536</v>
      </c>
      <c r="K645" s="62">
        <v>489.9</v>
      </c>
      <c r="L645" s="62">
        <v>0</v>
      </c>
      <c r="M645" s="103">
        <v>16</v>
      </c>
      <c r="N645" s="28">
        <f t="shared" si="143"/>
        <v>887392.74</v>
      </c>
      <c r="O645" s="62"/>
      <c r="P645" s="30">
        <f t="shared" si="144"/>
        <v>767049.14</v>
      </c>
      <c r="Q645" s="154"/>
      <c r="R645" s="145">
        <v>767049.14</v>
      </c>
      <c r="S645" s="30"/>
      <c r="T645" s="31"/>
      <c r="U645" s="31"/>
      <c r="V645" s="146">
        <f t="shared" si="152"/>
        <v>37182.6</v>
      </c>
      <c r="W645" s="145">
        <v>37182.6</v>
      </c>
      <c r="X645" s="145"/>
      <c r="Y645" s="146">
        <f t="shared" si="145"/>
        <v>83161</v>
      </c>
      <c r="Z645" s="145">
        <v>83161</v>
      </c>
      <c r="AA645" s="145"/>
      <c r="AB645" s="146">
        <f t="shared" si="149"/>
        <v>0</v>
      </c>
      <c r="AC645" s="147"/>
      <c r="AD645" s="147"/>
      <c r="AE645" s="62">
        <v>1472.9562124405099</v>
      </c>
      <c r="AF645" s="62">
        <v>1472.9562124405099</v>
      </c>
      <c r="AG645" s="33">
        <v>2024</v>
      </c>
      <c r="AH645" s="1">
        <v>126164.38</v>
      </c>
      <c r="AI645" s="5">
        <f>+(K645*10+L645*20)*12*0.85</f>
        <v>49969.799999999996</v>
      </c>
      <c r="AJ645" s="5">
        <f t="shared" si="154"/>
        <v>2037004.2</v>
      </c>
      <c r="AK645" s="5">
        <f t="shared" si="146"/>
        <v>887392.74</v>
      </c>
      <c r="AL645" s="146">
        <f t="shared" si="148"/>
        <v>0</v>
      </c>
      <c r="AM645" s="62">
        <v>0</v>
      </c>
      <c r="AN645" s="30">
        <v>0</v>
      </c>
      <c r="AO645" s="30">
        <v>887392.74</v>
      </c>
      <c r="AP645" s="30">
        <v>0</v>
      </c>
      <c r="AQ645" s="30">
        <v>0</v>
      </c>
      <c r="AR645" s="30"/>
      <c r="AS645" s="62"/>
      <c r="AT645" s="30">
        <v>0</v>
      </c>
      <c r="AU645" s="30">
        <v>0</v>
      </c>
      <c r="AV645" s="30">
        <v>0</v>
      </c>
      <c r="AW645" s="30">
        <v>0</v>
      </c>
      <c r="AX645" s="30">
        <v>0</v>
      </c>
      <c r="AY645" s="30"/>
      <c r="AZ645" s="30"/>
      <c r="BA645" s="148"/>
      <c r="BB645" s="149">
        <f t="shared" si="147"/>
        <v>1</v>
      </c>
    </row>
    <row r="646" spans="1:54" ht="15.75" hidden="1">
      <c r="A646" s="10">
        <f t="shared" si="150"/>
        <v>625</v>
      </c>
      <c r="B646" s="12">
        <f t="shared" si="151"/>
        <v>165</v>
      </c>
      <c r="C646" s="12" t="s">
        <v>104</v>
      </c>
      <c r="D646" s="12" t="s">
        <v>515</v>
      </c>
      <c r="E646" s="120">
        <v>1967</v>
      </c>
      <c r="F646" s="120">
        <v>2013</v>
      </c>
      <c r="G646" s="120" t="s">
        <v>3</v>
      </c>
      <c r="H646" s="120">
        <v>3</v>
      </c>
      <c r="I646" s="120">
        <v>2</v>
      </c>
      <c r="J646" s="30">
        <v>1043.9000000000001</v>
      </c>
      <c r="K646" s="30">
        <v>633.5</v>
      </c>
      <c r="L646" s="30">
        <v>326.8</v>
      </c>
      <c r="M646" s="121">
        <v>24</v>
      </c>
      <c r="N646" s="28">
        <f t="shared" si="143"/>
        <v>1097208.8900000001</v>
      </c>
      <c r="O646" s="30"/>
      <c r="P646" s="30">
        <f t="shared" si="144"/>
        <v>164325.01999999999</v>
      </c>
      <c r="Q646" s="154"/>
      <c r="R646" s="145">
        <v>164325.01999999999</v>
      </c>
      <c r="S646" s="30"/>
      <c r="T646" s="31"/>
      <c r="U646" s="31"/>
      <c r="V646" s="146">
        <f t="shared" si="152"/>
        <v>721179.51</v>
      </c>
      <c r="W646" s="145">
        <v>721179.51</v>
      </c>
      <c r="X646" s="145"/>
      <c r="Y646" s="146">
        <f t="shared" si="145"/>
        <v>211704.36</v>
      </c>
      <c r="Z646" s="145">
        <v>211704.36</v>
      </c>
      <c r="AA646" s="145"/>
      <c r="AB646" s="146">
        <f t="shared" si="149"/>
        <v>0</v>
      </c>
      <c r="AC646" s="147"/>
      <c r="AD646" s="147"/>
      <c r="AE646" s="30">
        <v>987.78819247890601</v>
      </c>
      <c r="AF646" s="30">
        <v>987.78819247890601</v>
      </c>
      <c r="AG646" s="33">
        <v>2024</v>
      </c>
      <c r="AH646" s="1">
        <v>589895.31000000006</v>
      </c>
      <c r="AI646" s="5">
        <f>+(K646*10+L646*20)*12*0.85</f>
        <v>131284.19999999998</v>
      </c>
      <c r="AJ646" s="5">
        <f t="shared" si="154"/>
        <v>5351761.8</v>
      </c>
      <c r="AK646" s="5">
        <f t="shared" si="146"/>
        <v>1097208.8900000001</v>
      </c>
      <c r="AL646" s="146">
        <f t="shared" si="148"/>
        <v>0</v>
      </c>
      <c r="AM646" s="62">
        <v>0</v>
      </c>
      <c r="AN646" s="30">
        <v>0</v>
      </c>
      <c r="AO646" s="30">
        <v>1097208.8899999999</v>
      </c>
      <c r="AP646" s="30">
        <v>0</v>
      </c>
      <c r="AQ646" s="30">
        <v>0</v>
      </c>
      <c r="AR646" s="30"/>
      <c r="AS646" s="62"/>
      <c r="AT646" s="30">
        <v>0</v>
      </c>
      <c r="AU646" s="30">
        <v>0</v>
      </c>
      <c r="AV646" s="30">
        <v>0</v>
      </c>
      <c r="AW646" s="30">
        <v>0</v>
      </c>
      <c r="AX646" s="30">
        <v>0</v>
      </c>
      <c r="AY646" s="30"/>
      <c r="AZ646" s="30"/>
      <c r="BA646" s="148"/>
      <c r="BB646" s="149">
        <f t="shared" si="147"/>
        <v>1</v>
      </c>
    </row>
    <row r="647" spans="1:54" ht="15.75" hidden="1">
      <c r="A647" s="10">
        <f t="shared" si="150"/>
        <v>626</v>
      </c>
      <c r="B647" s="12">
        <f t="shared" si="151"/>
        <v>166</v>
      </c>
      <c r="C647" s="12" t="s">
        <v>104</v>
      </c>
      <c r="D647" s="12" t="s">
        <v>517</v>
      </c>
      <c r="E647" s="120">
        <v>1990</v>
      </c>
      <c r="F647" s="120">
        <v>2012</v>
      </c>
      <c r="G647" s="120" t="s">
        <v>3</v>
      </c>
      <c r="H647" s="120">
        <v>5</v>
      </c>
      <c r="I647" s="120">
        <v>4</v>
      </c>
      <c r="J647" s="30">
        <v>3306.7</v>
      </c>
      <c r="K647" s="30">
        <v>2787.1</v>
      </c>
      <c r="L647" s="30">
        <v>0</v>
      </c>
      <c r="M647" s="121">
        <v>110</v>
      </c>
      <c r="N647" s="28">
        <f t="shared" si="143"/>
        <v>6459939.3799999999</v>
      </c>
      <c r="O647" s="30"/>
      <c r="P647" s="30">
        <f t="shared" si="144"/>
        <v>0</v>
      </c>
      <c r="Q647" s="198"/>
      <c r="R647" s="199"/>
      <c r="S647" s="30"/>
      <c r="T647" s="31"/>
      <c r="U647" s="31"/>
      <c r="V647" s="146">
        <f t="shared" si="152"/>
        <v>744887.38</v>
      </c>
      <c r="W647" s="145">
        <v>744887.38</v>
      </c>
      <c r="X647" s="145"/>
      <c r="Y647" s="146">
        <f t="shared" si="145"/>
        <v>5715052</v>
      </c>
      <c r="Z647" s="145">
        <v>5715052</v>
      </c>
      <c r="AA647" s="145"/>
      <c r="AB647" s="146">
        <f t="shared" si="149"/>
        <v>0</v>
      </c>
      <c r="AC647" s="147"/>
      <c r="AD647" s="147"/>
      <c r="AE647" s="30">
        <v>7568.1764471154002</v>
      </c>
      <c r="AF647" s="30">
        <v>7568.1764471154002</v>
      </c>
      <c r="AG647" s="33">
        <v>2024</v>
      </c>
      <c r="AH647" s="5">
        <f>+[3]Лист1!$BC$32</f>
        <v>646471.06999999995</v>
      </c>
      <c r="AI647" s="5">
        <f>+(K647*11.55+L647*23.1)*12*0.85</f>
        <v>328348.25099999999</v>
      </c>
      <c r="AJ647" s="5">
        <f t="shared" si="154"/>
        <v>11588761.800000001</v>
      </c>
      <c r="AK647" s="5">
        <f t="shared" si="146"/>
        <v>6459939.3799999999</v>
      </c>
      <c r="AL647" s="146">
        <f t="shared" si="148"/>
        <v>0</v>
      </c>
      <c r="AM647" s="62">
        <v>0</v>
      </c>
      <c r="AN647" s="30">
        <v>0</v>
      </c>
      <c r="AO647" s="30">
        <v>0</v>
      </c>
      <c r="AP647" s="30">
        <v>0</v>
      </c>
      <c r="AQ647" s="30">
        <v>0</v>
      </c>
      <c r="AR647" s="30"/>
      <c r="AS647" s="62"/>
      <c r="AT647" s="30">
        <v>0</v>
      </c>
      <c r="AU647" s="30">
        <v>6459939.3799999999</v>
      </c>
      <c r="AV647" s="30">
        <v>0</v>
      </c>
      <c r="AW647" s="30">
        <v>0</v>
      </c>
      <c r="AX647" s="30">
        <v>0</v>
      </c>
      <c r="AY647" s="30"/>
      <c r="AZ647" s="30"/>
      <c r="BA647" s="148"/>
      <c r="BB647" s="149">
        <f t="shared" si="147"/>
        <v>1</v>
      </c>
    </row>
    <row r="648" spans="1:54" ht="15.75" hidden="1">
      <c r="A648" s="10">
        <f t="shared" si="150"/>
        <v>627</v>
      </c>
      <c r="B648" s="12">
        <f t="shared" si="151"/>
        <v>167</v>
      </c>
      <c r="C648" s="12" t="s">
        <v>104</v>
      </c>
      <c r="D648" s="12" t="s">
        <v>518</v>
      </c>
      <c r="E648" s="120">
        <v>1970</v>
      </c>
      <c r="F648" s="120">
        <v>2013</v>
      </c>
      <c r="G648" s="120" t="s">
        <v>3</v>
      </c>
      <c r="H648" s="120">
        <v>3</v>
      </c>
      <c r="I648" s="120">
        <v>2</v>
      </c>
      <c r="J648" s="30">
        <v>1053.5</v>
      </c>
      <c r="K648" s="30">
        <v>637.79999999999995</v>
      </c>
      <c r="L648" s="30">
        <v>0</v>
      </c>
      <c r="M648" s="121">
        <v>23</v>
      </c>
      <c r="N648" s="28">
        <f t="shared" si="143"/>
        <v>1247379.54</v>
      </c>
      <c r="O648" s="30"/>
      <c r="P648" s="30">
        <f t="shared" si="144"/>
        <v>311514.43</v>
      </c>
      <c r="Q648" s="143"/>
      <c r="R648" s="31">
        <v>311514.43</v>
      </c>
      <c r="S648" s="30"/>
      <c r="T648" s="31"/>
      <c r="U648" s="31"/>
      <c r="V648" s="146">
        <f t="shared" si="152"/>
        <v>204100.88</v>
      </c>
      <c r="W648" s="145">
        <v>204100.88</v>
      </c>
      <c r="X648" s="145"/>
      <c r="Y648" s="146">
        <f t="shared" si="145"/>
        <v>731764.23</v>
      </c>
      <c r="Z648" s="145">
        <v>731764.23</v>
      </c>
      <c r="AA648" s="145"/>
      <c r="AB648" s="146">
        <f t="shared" si="149"/>
        <v>0</v>
      </c>
      <c r="AC648" s="147"/>
      <c r="AD648" s="147"/>
      <c r="AE648" s="30">
        <v>1491.8017034933</v>
      </c>
      <c r="AF648" s="30">
        <v>1491.8017034933</v>
      </c>
      <c r="AG648" s="33">
        <v>2024</v>
      </c>
      <c r="AH648" s="1">
        <v>262986.55</v>
      </c>
      <c r="AI648" s="5">
        <f>+(K648*10+L648*20)*12*0.85</f>
        <v>65055.6</v>
      </c>
      <c r="AJ648" s="5">
        <f t="shared" si="154"/>
        <v>2651972.4</v>
      </c>
      <c r="AK648" s="5">
        <f t="shared" si="146"/>
        <v>1247379.54</v>
      </c>
      <c r="AL648" s="146">
        <f t="shared" si="148"/>
        <v>0</v>
      </c>
      <c r="AM648" s="62"/>
      <c r="AN648" s="30"/>
      <c r="AO648" s="30">
        <v>1247379.54</v>
      </c>
      <c r="AP648" s="30">
        <v>0</v>
      </c>
      <c r="AQ648" s="30">
        <v>0</v>
      </c>
      <c r="AR648" s="30"/>
      <c r="AS648" s="62"/>
      <c r="AT648" s="30">
        <v>0</v>
      </c>
      <c r="AU648" s="30">
        <v>0</v>
      </c>
      <c r="AV648" s="30">
        <v>0</v>
      </c>
      <c r="AW648" s="30"/>
      <c r="AX648" s="30">
        <v>0</v>
      </c>
      <c r="AY648" s="30"/>
      <c r="AZ648" s="30"/>
      <c r="BA648" s="148"/>
      <c r="BB648" s="149">
        <f t="shared" si="147"/>
        <v>1</v>
      </c>
    </row>
    <row r="649" spans="1:54" ht="15.75" hidden="1">
      <c r="A649" s="10">
        <f t="shared" si="150"/>
        <v>628</v>
      </c>
      <c r="B649" s="12">
        <f t="shared" si="151"/>
        <v>168</v>
      </c>
      <c r="C649" s="101" t="s">
        <v>104</v>
      </c>
      <c r="D649" s="101" t="s">
        <v>521</v>
      </c>
      <c r="E649" s="102">
        <v>1965</v>
      </c>
      <c r="F649" s="102">
        <v>2006</v>
      </c>
      <c r="G649" s="102" t="s">
        <v>3</v>
      </c>
      <c r="H649" s="102">
        <v>3</v>
      </c>
      <c r="I649" s="102">
        <v>2</v>
      </c>
      <c r="J649" s="62">
        <v>1034.0999999999999</v>
      </c>
      <c r="K649" s="62">
        <v>959.8</v>
      </c>
      <c r="L649" s="62">
        <v>0</v>
      </c>
      <c r="M649" s="103">
        <v>25</v>
      </c>
      <c r="N649" s="28">
        <f t="shared" si="143"/>
        <v>3161258.83</v>
      </c>
      <c r="O649" s="62"/>
      <c r="P649" s="30">
        <f t="shared" si="144"/>
        <v>2072446.98</v>
      </c>
      <c r="Q649" s="154"/>
      <c r="R649" s="145">
        <v>2072446.98</v>
      </c>
      <c r="S649" s="30"/>
      <c r="T649" s="31"/>
      <c r="U649" s="31"/>
      <c r="V649" s="146">
        <f t="shared" si="152"/>
        <v>270902.37</v>
      </c>
      <c r="W649" s="145">
        <v>270902.37</v>
      </c>
      <c r="X649" s="145"/>
      <c r="Y649" s="146">
        <f t="shared" si="145"/>
        <v>817909.48</v>
      </c>
      <c r="Z649" s="145">
        <v>817909.48</v>
      </c>
      <c r="AA649" s="145"/>
      <c r="AB649" s="146">
        <f t="shared" si="149"/>
        <v>0</v>
      </c>
      <c r="AC649" s="147"/>
      <c r="AD649" s="147"/>
      <c r="AE649" s="62">
        <v>7746.6906716509002</v>
      </c>
      <c r="AF649" s="62">
        <v>7746.6906716509002</v>
      </c>
      <c r="AG649" s="33">
        <v>2024</v>
      </c>
      <c r="AI649" s="5">
        <f>+(K649*11.55+L649*23.1)*12*0.85</f>
        <v>113074.038</v>
      </c>
      <c r="AJ649" s="5">
        <f>+(K649*11.55+L649*23.1)*12*30-[3]Лист1!$AQ$34</f>
        <v>3236252.96</v>
      </c>
      <c r="AK649" s="5">
        <f t="shared" si="146"/>
        <v>3161258.83</v>
      </c>
      <c r="AL649" s="146">
        <f t="shared" si="148"/>
        <v>0</v>
      </c>
      <c r="AM649" s="62"/>
      <c r="AN649" s="30"/>
      <c r="AO649" s="30"/>
      <c r="AP649" s="30">
        <v>0</v>
      </c>
      <c r="AQ649" s="30">
        <v>0</v>
      </c>
      <c r="AR649" s="30"/>
      <c r="AS649" s="62"/>
      <c r="AT649" s="30">
        <v>0</v>
      </c>
      <c r="AU649" s="30">
        <v>3161258.83</v>
      </c>
      <c r="AV649" s="30">
        <v>0</v>
      </c>
      <c r="AW649" s="30"/>
      <c r="AX649" s="30">
        <v>0</v>
      </c>
      <c r="AY649" s="30"/>
      <c r="AZ649" s="30"/>
      <c r="BA649" s="148"/>
      <c r="BB649" s="149">
        <f t="shared" si="147"/>
        <v>1</v>
      </c>
    </row>
    <row r="650" spans="1:54" ht="15.75" hidden="1">
      <c r="A650" s="10">
        <f t="shared" si="150"/>
        <v>629</v>
      </c>
      <c r="B650" s="12">
        <f t="shared" si="151"/>
        <v>169</v>
      </c>
      <c r="C650" s="101" t="s">
        <v>104</v>
      </c>
      <c r="D650" s="101" t="s">
        <v>110</v>
      </c>
      <c r="E650" s="102">
        <v>1983</v>
      </c>
      <c r="F650" s="102">
        <v>2013</v>
      </c>
      <c r="G650" s="102" t="s">
        <v>3</v>
      </c>
      <c r="H650" s="102">
        <v>5</v>
      </c>
      <c r="I650" s="102">
        <v>4</v>
      </c>
      <c r="J650" s="62">
        <v>3317.4</v>
      </c>
      <c r="K650" s="62">
        <v>2427.1</v>
      </c>
      <c r="L650" s="62">
        <v>0</v>
      </c>
      <c r="M650" s="103">
        <v>71</v>
      </c>
      <c r="N650" s="28">
        <f t="shared" si="143"/>
        <v>2425802.77</v>
      </c>
      <c r="O650" s="62"/>
      <c r="P650" s="30">
        <f t="shared" si="144"/>
        <v>0</v>
      </c>
      <c r="Q650" s="154"/>
      <c r="R650" s="145"/>
      <c r="S650" s="30"/>
      <c r="T650" s="31"/>
      <c r="U650" s="31"/>
      <c r="V650" s="146">
        <f t="shared" si="152"/>
        <v>226216.11</v>
      </c>
      <c r="W650" s="145">
        <v>226216.11</v>
      </c>
      <c r="X650" s="145"/>
      <c r="Y650" s="146">
        <f t="shared" si="145"/>
        <v>2199586.66</v>
      </c>
      <c r="Z650" s="145">
        <v>2199586.66</v>
      </c>
      <c r="AA650" s="145"/>
      <c r="AB650" s="146">
        <f t="shared" si="149"/>
        <v>0</v>
      </c>
      <c r="AC650" s="147"/>
      <c r="AD650" s="147"/>
      <c r="AE650" s="62">
        <v>1644.3863048123101</v>
      </c>
      <c r="AF650" s="62">
        <v>1644.3863048123101</v>
      </c>
      <c r="AG650" s="33">
        <v>2024</v>
      </c>
      <c r="AH650" s="18">
        <f>701008.17</f>
        <v>701008.17</v>
      </c>
      <c r="AI650" s="5">
        <f>+(K650*10+L650*20)*12*0.85</f>
        <v>247564.19999999998</v>
      </c>
      <c r="AJ650" s="5">
        <f>+(K650*11.55+L650*23.1)*12*30</f>
        <v>10091881.800000001</v>
      </c>
      <c r="AK650" s="5">
        <f t="shared" si="146"/>
        <v>2425802.77</v>
      </c>
      <c r="AL650" s="146">
        <f t="shared" si="148"/>
        <v>0</v>
      </c>
      <c r="AM650" s="62">
        <v>0</v>
      </c>
      <c r="AN650" s="30">
        <v>0</v>
      </c>
      <c r="AO650" s="30">
        <v>2425802.77</v>
      </c>
      <c r="AP650" s="30"/>
      <c r="AQ650" s="30">
        <v>0</v>
      </c>
      <c r="AR650" s="30"/>
      <c r="AS650" s="62"/>
      <c r="AT650" s="30">
        <v>0</v>
      </c>
      <c r="AU650" s="30">
        <v>0</v>
      </c>
      <c r="AV650" s="30">
        <v>0</v>
      </c>
      <c r="AW650" s="30">
        <v>0</v>
      </c>
      <c r="AX650" s="30">
        <v>0</v>
      </c>
      <c r="AY650" s="30"/>
      <c r="AZ650" s="30"/>
      <c r="BA650" s="148"/>
      <c r="BB650" s="149">
        <f t="shared" si="147"/>
        <v>1</v>
      </c>
    </row>
    <row r="651" spans="1:54" ht="15.75" hidden="1">
      <c r="A651" s="10">
        <f t="shared" si="150"/>
        <v>630</v>
      </c>
      <c r="B651" s="12">
        <f t="shared" si="151"/>
        <v>170</v>
      </c>
      <c r="C651" s="12" t="s">
        <v>104</v>
      </c>
      <c r="D651" s="12" t="s">
        <v>523</v>
      </c>
      <c r="E651" s="120">
        <v>1982</v>
      </c>
      <c r="F651" s="120">
        <v>2013</v>
      </c>
      <c r="G651" s="120" t="s">
        <v>3</v>
      </c>
      <c r="H651" s="120">
        <v>5</v>
      </c>
      <c r="I651" s="120">
        <v>4</v>
      </c>
      <c r="J651" s="30">
        <v>3426.4</v>
      </c>
      <c r="K651" s="30">
        <v>2421.6999999999998</v>
      </c>
      <c r="L651" s="30">
        <v>483.1</v>
      </c>
      <c r="M651" s="121">
        <v>77</v>
      </c>
      <c r="N651" s="28">
        <f t="shared" si="143"/>
        <v>2477308.4900000002</v>
      </c>
      <c r="O651" s="30"/>
      <c r="P651" s="30">
        <f t="shared" si="144"/>
        <v>0</v>
      </c>
      <c r="Q651" s="143"/>
      <c r="R651" s="31"/>
      <c r="S651" s="30"/>
      <c r="T651" s="31"/>
      <c r="U651" s="31"/>
      <c r="V651" s="146">
        <f t="shared" si="152"/>
        <v>1583472.99</v>
      </c>
      <c r="W651" s="145">
        <v>1583472.99</v>
      </c>
      <c r="X651" s="145"/>
      <c r="Y651" s="146">
        <f t="shared" si="145"/>
        <v>893835.5</v>
      </c>
      <c r="Z651" s="145">
        <v>893835.5</v>
      </c>
      <c r="AA651" s="145"/>
      <c r="AB651" s="146">
        <f t="shared" si="149"/>
        <v>0</v>
      </c>
      <c r="AC651" s="147"/>
      <c r="AD651" s="147"/>
      <c r="AE651" s="30">
        <v>1236.76803007372</v>
      </c>
      <c r="AF651" s="30">
        <v>1236.76803007372</v>
      </c>
      <c r="AG651" s="33">
        <v>2024</v>
      </c>
      <c r="AH651" s="1">
        <v>1309402.75</v>
      </c>
      <c r="AI651" s="5">
        <f>+(K651*10+L651*20)*12*0.85</f>
        <v>345565.8</v>
      </c>
      <c r="AJ651" s="5">
        <f>+(K651*11.55+L651*23.1)*12*30</f>
        <v>14086888.199999999</v>
      </c>
      <c r="AK651" s="5">
        <f t="shared" si="146"/>
        <v>2477308.4900000002</v>
      </c>
      <c r="AL651" s="146">
        <f t="shared" si="148"/>
        <v>0</v>
      </c>
      <c r="AM651" s="62">
        <v>0</v>
      </c>
      <c r="AN651" s="30">
        <v>0</v>
      </c>
      <c r="AO651" s="30">
        <v>2477308.4900000002</v>
      </c>
      <c r="AP651" s="30">
        <v>0</v>
      </c>
      <c r="AQ651" s="30">
        <v>0</v>
      </c>
      <c r="AR651" s="30"/>
      <c r="AS651" s="62"/>
      <c r="AT651" s="30">
        <v>0</v>
      </c>
      <c r="AU651" s="30">
        <v>0</v>
      </c>
      <c r="AV651" s="30">
        <v>0</v>
      </c>
      <c r="AW651" s="30">
        <v>0</v>
      </c>
      <c r="AX651" s="30">
        <v>0</v>
      </c>
      <c r="AY651" s="30"/>
      <c r="AZ651" s="30"/>
      <c r="BA651" s="148"/>
      <c r="BB651" s="149">
        <f t="shared" si="147"/>
        <v>1</v>
      </c>
    </row>
    <row r="652" spans="1:54" ht="15.75" hidden="1">
      <c r="A652" s="10">
        <f t="shared" si="150"/>
        <v>631</v>
      </c>
      <c r="B652" s="12">
        <f t="shared" si="151"/>
        <v>171</v>
      </c>
      <c r="C652" s="12" t="s">
        <v>355</v>
      </c>
      <c r="D652" s="12" t="s">
        <v>524</v>
      </c>
      <c r="E652" s="120">
        <v>1972</v>
      </c>
      <c r="F652" s="120">
        <v>2013</v>
      </c>
      <c r="G652" s="120" t="s">
        <v>3</v>
      </c>
      <c r="H652" s="120">
        <v>4</v>
      </c>
      <c r="I652" s="120">
        <v>1</v>
      </c>
      <c r="J652" s="30">
        <v>1401</v>
      </c>
      <c r="K652" s="30">
        <v>1155.5999999999999</v>
      </c>
      <c r="L652" s="30">
        <v>81.099999999999994</v>
      </c>
      <c r="M652" s="121">
        <v>60</v>
      </c>
      <c r="N652" s="28">
        <f t="shared" si="143"/>
        <v>1437591.45</v>
      </c>
      <c r="O652" s="30"/>
      <c r="P652" s="30">
        <f t="shared" si="144"/>
        <v>12859.56</v>
      </c>
      <c r="Q652" s="154">
        <v>12859.56</v>
      </c>
      <c r="R652" s="145"/>
      <c r="S652" s="30"/>
      <c r="T652" s="31"/>
      <c r="U652" s="31"/>
      <c r="V652" s="146">
        <f t="shared" si="152"/>
        <v>236152.16</v>
      </c>
      <c r="W652" s="145">
        <v>236152.16</v>
      </c>
      <c r="X652" s="145"/>
      <c r="Y652" s="146">
        <f t="shared" si="145"/>
        <v>1052200.79</v>
      </c>
      <c r="Z652" s="145">
        <v>1052200.79</v>
      </c>
      <c r="AA652" s="145"/>
      <c r="AB652" s="146">
        <f t="shared" si="149"/>
        <v>136378.94</v>
      </c>
      <c r="AC652" s="147"/>
      <c r="AD652" s="31">
        <v>136378.94</v>
      </c>
      <c r="AE652" s="30">
        <v>5399.2726339057099</v>
      </c>
      <c r="AF652" s="30">
        <v>1363.2830200640001</v>
      </c>
      <c r="AG652" s="33">
        <v>2024</v>
      </c>
      <c r="AH652" s="98">
        <v>590250.21</v>
      </c>
      <c r="AI652" s="5">
        <f>+(K652*11.55+L652*23.1)*12*0.85</f>
        <v>155250.01800000001</v>
      </c>
      <c r="AJ652" s="5">
        <f>+(K652*11.55+L652*23.1)*12*30</f>
        <v>5479412.4000000004</v>
      </c>
      <c r="AK652" s="5">
        <f t="shared" si="146"/>
        <v>1437591.45</v>
      </c>
      <c r="AL652" s="177">
        <f t="shared" si="148"/>
        <v>0</v>
      </c>
      <c r="AM652" s="62">
        <v>0</v>
      </c>
      <c r="AN652" s="30">
        <v>0</v>
      </c>
      <c r="AO652" s="30">
        <v>1349826.58</v>
      </c>
      <c r="AP652" s="30">
        <v>0</v>
      </c>
      <c r="AQ652" s="30">
        <v>0</v>
      </c>
      <c r="AR652" s="30"/>
      <c r="AS652" s="62"/>
      <c r="AT652" s="30">
        <v>0</v>
      </c>
      <c r="AU652" s="30">
        <v>0</v>
      </c>
      <c r="AV652" s="30"/>
      <c r="AW652" s="30">
        <v>0</v>
      </c>
      <c r="AX652" s="30">
        <v>87764.87</v>
      </c>
      <c r="AY652" s="30"/>
      <c r="AZ652" s="30"/>
      <c r="BA652" s="148"/>
      <c r="BB652" s="149">
        <f t="shared" si="147"/>
        <v>2</v>
      </c>
    </row>
    <row r="653" spans="1:54" ht="15.75" hidden="1">
      <c r="A653" s="10">
        <f t="shared" si="150"/>
        <v>632</v>
      </c>
      <c r="B653" s="12">
        <f t="shared" si="151"/>
        <v>172</v>
      </c>
      <c r="C653" s="101" t="s">
        <v>355</v>
      </c>
      <c r="D653" s="101" t="s">
        <v>526</v>
      </c>
      <c r="E653" s="102">
        <v>1975</v>
      </c>
      <c r="F653" s="102">
        <v>1975</v>
      </c>
      <c r="G653" s="102" t="s">
        <v>3</v>
      </c>
      <c r="H653" s="102">
        <v>5</v>
      </c>
      <c r="I653" s="102">
        <v>5</v>
      </c>
      <c r="J653" s="62">
        <v>3670.4</v>
      </c>
      <c r="K653" s="62">
        <v>2958</v>
      </c>
      <c r="L653" s="62">
        <v>417.2</v>
      </c>
      <c r="M653" s="103">
        <v>116</v>
      </c>
      <c r="N653" s="28">
        <f t="shared" si="143"/>
        <v>22620358.73</v>
      </c>
      <c r="O653" s="62"/>
      <c r="P653" s="30">
        <f t="shared" si="144"/>
        <v>14612939.529999999</v>
      </c>
      <c r="Q653" s="143">
        <v>14612939.529999999</v>
      </c>
      <c r="R653" s="31"/>
      <c r="S653" s="30"/>
      <c r="T653" s="31"/>
      <c r="U653" s="31"/>
      <c r="V653" s="146">
        <f t="shared" si="152"/>
        <v>1000927.4</v>
      </c>
      <c r="W653" s="145">
        <v>1000927.4</v>
      </c>
      <c r="X653" s="145"/>
      <c r="Y653" s="146">
        <f t="shared" si="145"/>
        <v>7006491.7999999998</v>
      </c>
      <c r="Z653" s="145">
        <v>7006491.7999999998</v>
      </c>
      <c r="AA653" s="145"/>
      <c r="AB653" s="146">
        <f t="shared" ref="AB653:AB684" si="155">AC653+AD653</f>
        <v>0</v>
      </c>
      <c r="AC653" s="147"/>
      <c r="AD653" s="147"/>
      <c r="AE653" s="30">
        <v>17616.2217731655</v>
      </c>
      <c r="AF653" s="30">
        <v>1375.2830200640001</v>
      </c>
      <c r="AG653" s="33">
        <v>2024</v>
      </c>
      <c r="AH653" s="98">
        <v>1791489.77</v>
      </c>
      <c r="AI653" s="5">
        <f>+(K653*10.5+L653*21)*12*0.85</f>
        <v>406166.04</v>
      </c>
      <c r="AJ653" s="5">
        <f>+(K653*11.55+L653*23.1)*12*30</f>
        <v>15768799.200000001</v>
      </c>
      <c r="AK653" s="5">
        <f t="shared" si="146"/>
        <v>22620358.73</v>
      </c>
      <c r="AL653" s="177">
        <f t="shared" si="148"/>
        <v>0</v>
      </c>
      <c r="AM653" s="62"/>
      <c r="AN653" s="30">
        <v>4985424.9000000004</v>
      </c>
      <c r="AO653" s="30"/>
      <c r="AP653" s="30">
        <v>1839863.46</v>
      </c>
      <c r="AQ653" s="30">
        <v>0</v>
      </c>
      <c r="AR653" s="30"/>
      <c r="AS653" s="62"/>
      <c r="AT653" s="30">
        <v>0</v>
      </c>
      <c r="AU653" s="30">
        <v>15795070.369999999</v>
      </c>
      <c r="AV653" s="30">
        <v>0</v>
      </c>
      <c r="AW653" s="30"/>
      <c r="AX653" s="30"/>
      <c r="AY653" s="30"/>
      <c r="AZ653" s="30"/>
      <c r="BA653" s="148"/>
      <c r="BB653" s="149">
        <f t="shared" si="147"/>
        <v>3</v>
      </c>
    </row>
    <row r="654" spans="1:54" ht="15.75" hidden="1">
      <c r="A654" s="10">
        <f t="shared" si="150"/>
        <v>633</v>
      </c>
      <c r="B654" s="12">
        <f t="shared" si="151"/>
        <v>173</v>
      </c>
      <c r="C654" s="12" t="s">
        <v>355</v>
      </c>
      <c r="D654" s="12" t="s">
        <v>358</v>
      </c>
      <c r="E654" s="120">
        <v>1969</v>
      </c>
      <c r="F654" s="120">
        <v>1969</v>
      </c>
      <c r="G654" s="120" t="s">
        <v>3</v>
      </c>
      <c r="H654" s="120">
        <v>4</v>
      </c>
      <c r="I654" s="120">
        <v>4</v>
      </c>
      <c r="J654" s="30">
        <v>1301.0999999999999</v>
      </c>
      <c r="K654" s="30">
        <v>1206.0999999999999</v>
      </c>
      <c r="L654" s="30">
        <v>0</v>
      </c>
      <c r="M654" s="121">
        <v>55</v>
      </c>
      <c r="N654" s="28">
        <f t="shared" si="143"/>
        <v>11157588.459999999</v>
      </c>
      <c r="O654" s="30"/>
      <c r="P654" s="30">
        <f t="shared" si="144"/>
        <v>7070817.0999999996</v>
      </c>
      <c r="Q654" s="143">
        <v>5150138.43</v>
      </c>
      <c r="R654" s="31">
        <v>1920678.67</v>
      </c>
      <c r="S654" s="30"/>
      <c r="T654" s="31"/>
      <c r="U654" s="31"/>
      <c r="V654" s="146">
        <f t="shared" si="152"/>
        <v>71045.320000000007</v>
      </c>
      <c r="W654" s="145">
        <v>71045.320000000007</v>
      </c>
      <c r="X654" s="145"/>
      <c r="Y654" s="146">
        <f t="shared" si="145"/>
        <v>2899967.19</v>
      </c>
      <c r="Z654" s="145">
        <v>2899967.19</v>
      </c>
      <c r="AA654" s="145"/>
      <c r="AB654" s="146">
        <f t="shared" si="155"/>
        <v>1115758.8500000001</v>
      </c>
      <c r="AC654" s="147"/>
      <c r="AD654" s="145">
        <v>1115758.8500000001</v>
      </c>
      <c r="AE654" s="30">
        <v>6767.5078687261102</v>
      </c>
      <c r="AF654" s="30">
        <v>1365.2830200640001</v>
      </c>
      <c r="AG654" s="33">
        <v>2024</v>
      </c>
      <c r="AH654" s="18"/>
      <c r="AI654" s="5">
        <f>+(K654*11.55+L654*23.1)*12*0.85</f>
        <v>142090.641</v>
      </c>
      <c r="AJ654" s="5">
        <f>+(K654*11.55+L654*23.1)*12*30-[3]Лист1!$AQ$49</f>
        <v>4293576.01</v>
      </c>
      <c r="AK654" s="5">
        <f t="shared" si="146"/>
        <v>11157588.459999999</v>
      </c>
      <c r="AL654" s="177">
        <f t="shared" si="148"/>
        <v>0</v>
      </c>
      <c r="AM654" s="62"/>
      <c r="AN654" s="30"/>
      <c r="AO654" s="30"/>
      <c r="AP654" s="30"/>
      <c r="AQ654" s="30"/>
      <c r="AR654" s="30"/>
      <c r="AS654" s="62"/>
      <c r="AT654" s="30">
        <v>0</v>
      </c>
      <c r="AU654" s="30">
        <v>11157588.460000001</v>
      </c>
      <c r="AV654" s="30">
        <v>0</v>
      </c>
      <c r="AW654" s="30"/>
      <c r="AX654" s="30"/>
      <c r="AY654" s="30"/>
      <c r="AZ654" s="30"/>
      <c r="BA654" s="148"/>
      <c r="BB654" s="149">
        <f t="shared" si="147"/>
        <v>1</v>
      </c>
    </row>
    <row r="655" spans="1:54" ht="15.75" hidden="1">
      <c r="A655" s="10">
        <f t="shared" si="150"/>
        <v>634</v>
      </c>
      <c r="B655" s="12">
        <f t="shared" si="151"/>
        <v>174</v>
      </c>
      <c r="C655" s="12" t="s">
        <v>355</v>
      </c>
      <c r="D655" s="12" t="s">
        <v>529</v>
      </c>
      <c r="E655" s="120">
        <v>1970</v>
      </c>
      <c r="F655" s="120">
        <v>1970</v>
      </c>
      <c r="G655" s="120" t="s">
        <v>3</v>
      </c>
      <c r="H655" s="120">
        <v>4</v>
      </c>
      <c r="I655" s="120">
        <v>4</v>
      </c>
      <c r="J655" s="30">
        <v>1365.1</v>
      </c>
      <c r="K655" s="30">
        <v>1195.1600000000001</v>
      </c>
      <c r="L655" s="30">
        <v>66.400000000000006</v>
      </c>
      <c r="M655" s="121">
        <v>42</v>
      </c>
      <c r="N655" s="28">
        <f t="shared" si="143"/>
        <v>3750729.1100000003</v>
      </c>
      <c r="O655" s="30"/>
      <c r="P655" s="30">
        <f t="shared" si="144"/>
        <v>3129920.79</v>
      </c>
      <c r="Q655" s="143">
        <v>3129920.79</v>
      </c>
      <c r="R655" s="31"/>
      <c r="S655" s="30"/>
      <c r="T655" s="31"/>
      <c r="U655" s="31"/>
      <c r="V655" s="146">
        <f t="shared" si="152"/>
        <v>142224.51999999999</v>
      </c>
      <c r="W655" s="31">
        <v>142224.51999999999</v>
      </c>
      <c r="X655" s="31"/>
      <c r="Y655" s="146">
        <f t="shared" si="145"/>
        <v>103510.89</v>
      </c>
      <c r="Z655" s="145">
        <v>103510.89</v>
      </c>
      <c r="AA655" s="145"/>
      <c r="AB655" s="146">
        <f t="shared" si="155"/>
        <v>375072.91</v>
      </c>
      <c r="AC655" s="147"/>
      <c r="AD655" s="145">
        <v>375072.91</v>
      </c>
      <c r="AE655" s="30">
        <v>5482.3001045112296</v>
      </c>
      <c r="AF655" s="30">
        <v>1366.2830200640001</v>
      </c>
      <c r="AG655" s="33">
        <v>2024</v>
      </c>
      <c r="AH655" s="18"/>
      <c r="AI655" s="5">
        <f>+(K655*11.55+L655*23.1)*12*0.85</f>
        <v>156446.9676</v>
      </c>
      <c r="AJ655" s="5">
        <f>+(K655*11.55+L655*23.1)*12*30-[3]Лист1!$AQ$50</f>
        <v>867665.13000000082</v>
      </c>
      <c r="AK655" s="5">
        <f t="shared" si="146"/>
        <v>3750729.1100000003</v>
      </c>
      <c r="AL655" s="177">
        <f t="shared" si="148"/>
        <v>0</v>
      </c>
      <c r="AM655" s="62">
        <v>3750729.11</v>
      </c>
      <c r="AN655" s="30"/>
      <c r="AO655" s="30"/>
      <c r="AP655" s="30"/>
      <c r="AQ655" s="30">
        <v>0</v>
      </c>
      <c r="AR655" s="30"/>
      <c r="AS655" s="62"/>
      <c r="AT655" s="30">
        <v>0</v>
      </c>
      <c r="AU655" s="30"/>
      <c r="AV655" s="30">
        <v>0</v>
      </c>
      <c r="AW655" s="30"/>
      <c r="AX655" s="30"/>
      <c r="AY655" s="30"/>
      <c r="AZ655" s="30"/>
      <c r="BA655" s="148"/>
      <c r="BB655" s="149">
        <f t="shared" si="147"/>
        <v>1</v>
      </c>
    </row>
    <row r="656" spans="1:54" ht="15.75" hidden="1">
      <c r="A656" s="10">
        <f t="shared" si="150"/>
        <v>635</v>
      </c>
      <c r="B656" s="12">
        <f t="shared" si="151"/>
        <v>175</v>
      </c>
      <c r="C656" s="12" t="s">
        <v>355</v>
      </c>
      <c r="D656" s="12" t="s">
        <v>530</v>
      </c>
      <c r="E656" s="120">
        <v>1965</v>
      </c>
      <c r="F656" s="120">
        <v>1965</v>
      </c>
      <c r="G656" s="120" t="s">
        <v>3</v>
      </c>
      <c r="H656" s="120">
        <v>3</v>
      </c>
      <c r="I656" s="120">
        <v>2</v>
      </c>
      <c r="J656" s="30">
        <v>987.3</v>
      </c>
      <c r="K656" s="30">
        <v>918.1</v>
      </c>
      <c r="L656" s="30">
        <v>68.099999999999994</v>
      </c>
      <c r="M656" s="121">
        <v>38</v>
      </c>
      <c r="N656" s="28">
        <f t="shared" si="143"/>
        <v>7999221.25</v>
      </c>
      <c r="O656" s="30"/>
      <c r="P656" s="30">
        <f t="shared" si="144"/>
        <v>5649300.79</v>
      </c>
      <c r="Q656" s="154">
        <v>5649300.79</v>
      </c>
      <c r="R656" s="145"/>
      <c r="S656" s="30"/>
      <c r="T656" s="31"/>
      <c r="U656" s="31"/>
      <c r="V656" s="146">
        <f t="shared" si="152"/>
        <v>159552.44</v>
      </c>
      <c r="W656" s="145">
        <v>159552.44</v>
      </c>
      <c r="X656" s="145"/>
      <c r="Y656" s="146">
        <f t="shared" si="145"/>
        <v>1230461.47</v>
      </c>
      <c r="Z656" s="145">
        <v>1230461.47</v>
      </c>
      <c r="AA656" s="145"/>
      <c r="AB656" s="146">
        <f t="shared" si="155"/>
        <v>959906.55</v>
      </c>
      <c r="AC656" s="147"/>
      <c r="AD656" s="145">
        <v>959906.55</v>
      </c>
      <c r="AE656" s="30">
        <v>9623.1242732556402</v>
      </c>
      <c r="AF656" s="30">
        <v>1367.2830200640001</v>
      </c>
      <c r="AG656" s="33">
        <v>2024</v>
      </c>
      <c r="AH656" s="98">
        <f>403863.49-V341</f>
        <v>-112915.53000000003</v>
      </c>
      <c r="AI656" s="5">
        <f>+(K656*10.5+L656*21)*12*0.85</f>
        <v>112915.53000000001</v>
      </c>
      <c r="AJ656" s="5">
        <f>+(K656*11.55+L656*23.1)*12*30</f>
        <v>4383779.4000000004</v>
      </c>
      <c r="AK656" s="5">
        <f t="shared" si="146"/>
        <v>7999221.25</v>
      </c>
      <c r="AL656" s="177">
        <f t="shared" si="148"/>
        <v>0</v>
      </c>
      <c r="AM656" s="62"/>
      <c r="AN656" s="30"/>
      <c r="AO656" s="30"/>
      <c r="AP656" s="30"/>
      <c r="AQ656" s="30">
        <v>0</v>
      </c>
      <c r="AR656" s="30"/>
      <c r="AS656" s="62"/>
      <c r="AT656" s="30">
        <v>0</v>
      </c>
      <c r="AU656" s="30"/>
      <c r="AV656" s="30">
        <v>0</v>
      </c>
      <c r="AW656" s="30">
        <v>7999221.25</v>
      </c>
      <c r="AX656" s="30"/>
      <c r="AY656" s="30"/>
      <c r="AZ656" s="30"/>
      <c r="BA656" s="148"/>
      <c r="BB656" s="149">
        <f t="shared" si="147"/>
        <v>1</v>
      </c>
    </row>
    <row r="657" spans="1:54" ht="15.75" hidden="1">
      <c r="A657" s="10">
        <f t="shared" si="150"/>
        <v>636</v>
      </c>
      <c r="B657" s="12">
        <f t="shared" si="151"/>
        <v>176</v>
      </c>
      <c r="C657" s="12" t="s">
        <v>355</v>
      </c>
      <c r="D657" s="12" t="s">
        <v>533</v>
      </c>
      <c r="E657" s="120">
        <v>1964</v>
      </c>
      <c r="F657" s="120">
        <v>1964</v>
      </c>
      <c r="G657" s="120" t="s">
        <v>3</v>
      </c>
      <c r="H657" s="120">
        <v>3</v>
      </c>
      <c r="I657" s="120">
        <v>1</v>
      </c>
      <c r="J657" s="30">
        <v>998.5</v>
      </c>
      <c r="K657" s="30">
        <v>928.6</v>
      </c>
      <c r="L657" s="30">
        <v>69.900000000000006</v>
      </c>
      <c r="M657" s="121">
        <v>43</v>
      </c>
      <c r="N657" s="28">
        <f t="shared" si="143"/>
        <v>8347771.7000000002</v>
      </c>
      <c r="O657" s="30"/>
      <c r="P657" s="30">
        <f t="shared" si="144"/>
        <v>6293742.0700000003</v>
      </c>
      <c r="Q657" s="154">
        <v>6293742.0700000003</v>
      </c>
      <c r="R657" s="145"/>
      <c r="S657" s="30"/>
      <c r="T657" s="31"/>
      <c r="U657" s="31"/>
      <c r="V657" s="146">
        <f t="shared" si="152"/>
        <v>87691.42</v>
      </c>
      <c r="W657" s="145">
        <v>87691.42</v>
      </c>
      <c r="X657" s="145"/>
      <c r="Y657" s="146">
        <f t="shared" si="145"/>
        <v>964605.61</v>
      </c>
      <c r="Z657" s="145">
        <v>964605.61</v>
      </c>
      <c r="AA657" s="145"/>
      <c r="AB657" s="146">
        <f t="shared" si="155"/>
        <v>1001732.6</v>
      </c>
      <c r="AC657" s="147"/>
      <c r="AD657" s="145">
        <v>1001732.6</v>
      </c>
      <c r="AE657" s="30">
        <v>9594.9323512190404</v>
      </c>
      <c r="AF657" s="30">
        <v>1368.2830200640001</v>
      </c>
      <c r="AG657" s="33">
        <v>2024</v>
      </c>
      <c r="AH657" s="98">
        <f>483296.11-V342</f>
        <v>-114425.64000000001</v>
      </c>
      <c r="AI657" s="5">
        <f>+(K657*10.5+L657*21)*12*0.85</f>
        <v>114425.64000000001</v>
      </c>
      <c r="AJ657" s="5">
        <f>+(K657*11.55+L657*23.1)*12*30</f>
        <v>4442407.2</v>
      </c>
      <c r="AK657" s="5">
        <f t="shared" si="146"/>
        <v>8347771.7000000002</v>
      </c>
      <c r="AL657" s="177">
        <f t="shared" si="148"/>
        <v>0</v>
      </c>
      <c r="AM657" s="62"/>
      <c r="AN657" s="30"/>
      <c r="AO657" s="30"/>
      <c r="AP657" s="30"/>
      <c r="AQ657" s="30">
        <v>0</v>
      </c>
      <c r="AR657" s="30"/>
      <c r="AS657" s="62"/>
      <c r="AT657" s="30">
        <v>0</v>
      </c>
      <c r="AU657" s="30"/>
      <c r="AV657" s="30">
        <v>0</v>
      </c>
      <c r="AW657" s="30">
        <v>8347771.7000000002</v>
      </c>
      <c r="AX657" s="30"/>
      <c r="AY657" s="30"/>
      <c r="AZ657" s="30"/>
      <c r="BA657" s="148"/>
      <c r="BB657" s="149">
        <f t="shared" si="147"/>
        <v>1</v>
      </c>
    </row>
    <row r="658" spans="1:54" ht="15.75" hidden="1">
      <c r="A658" s="10">
        <f t="shared" si="150"/>
        <v>637</v>
      </c>
      <c r="B658" s="12">
        <f t="shared" si="151"/>
        <v>177</v>
      </c>
      <c r="C658" s="12" t="s">
        <v>355</v>
      </c>
      <c r="D658" s="12" t="s">
        <v>535</v>
      </c>
      <c r="E658" s="120">
        <v>1977</v>
      </c>
      <c r="F658" s="120">
        <v>1977</v>
      </c>
      <c r="G658" s="120" t="s">
        <v>3</v>
      </c>
      <c r="H658" s="120">
        <v>4</v>
      </c>
      <c r="I658" s="120">
        <v>1</v>
      </c>
      <c r="J658" s="30">
        <v>1491.2</v>
      </c>
      <c r="K658" s="30">
        <v>1247.2</v>
      </c>
      <c r="L658" s="30">
        <v>130.5</v>
      </c>
      <c r="M658" s="121">
        <v>31</v>
      </c>
      <c r="N658" s="28">
        <f t="shared" si="143"/>
        <v>18936926.609999999</v>
      </c>
      <c r="O658" s="30"/>
      <c r="P658" s="30">
        <f t="shared" si="144"/>
        <v>9857878.7799999993</v>
      </c>
      <c r="Q658" s="154">
        <v>9857878.7799999993</v>
      </c>
      <c r="R658" s="145"/>
      <c r="S658" s="30"/>
      <c r="T658" s="31"/>
      <c r="U658" s="31"/>
      <c r="V658" s="146">
        <f t="shared" si="152"/>
        <v>703673.06</v>
      </c>
      <c r="W658" s="145">
        <v>703673.06</v>
      </c>
      <c r="X658" s="145"/>
      <c r="Y658" s="146">
        <f t="shared" si="145"/>
        <v>6972661.9400000004</v>
      </c>
      <c r="Z658" s="145">
        <v>6972661.9400000004</v>
      </c>
      <c r="AA658" s="145"/>
      <c r="AB658" s="146">
        <f t="shared" si="155"/>
        <v>1402712.83</v>
      </c>
      <c r="AC658" s="147"/>
      <c r="AD658" s="145">
        <v>1402712.83</v>
      </c>
      <c r="AE658" s="30">
        <v>15485.3380153853</v>
      </c>
      <c r="AF658" s="30">
        <v>1377.2830200640001</v>
      </c>
      <c r="AG658" s="33">
        <v>2024</v>
      </c>
      <c r="AH658" s="98" t="e">
        <f>549697.6-#REF!</f>
        <v>#REF!</v>
      </c>
      <c r="AI658" s="5">
        <f>+(K658*10.5+L658*21)*12*0.85</f>
        <v>161528.22</v>
      </c>
      <c r="AJ658" s="5">
        <f>+(K658*11.55+L658*23.1)*12*30</f>
        <v>6271095.6000000006</v>
      </c>
      <c r="AK658" s="5">
        <f t="shared" si="146"/>
        <v>18936926.609999999</v>
      </c>
      <c r="AL658" s="177">
        <f t="shared" si="148"/>
        <v>0</v>
      </c>
      <c r="AM658" s="62">
        <v>4930681.49</v>
      </c>
      <c r="AN658" s="30">
        <v>2500963.5099999998</v>
      </c>
      <c r="AO658" s="30">
        <v>1299925.6399999999</v>
      </c>
      <c r="AP658" s="30">
        <v>946486.4</v>
      </c>
      <c r="AQ658" s="30">
        <v>0</v>
      </c>
      <c r="AR658" s="30"/>
      <c r="AS658" s="62"/>
      <c r="AT658" s="30">
        <v>0</v>
      </c>
      <c r="AU658" s="30">
        <v>8641835.7400000002</v>
      </c>
      <c r="AV658" s="30"/>
      <c r="AW658" s="30"/>
      <c r="AX658" s="30">
        <v>617033.82999999996</v>
      </c>
      <c r="AY658" s="30"/>
      <c r="AZ658" s="30"/>
      <c r="BA658" s="148"/>
      <c r="BB658" s="149">
        <f t="shared" si="147"/>
        <v>6</v>
      </c>
    </row>
    <row r="659" spans="1:54" ht="15.75" hidden="1">
      <c r="A659" s="10">
        <f t="shared" si="150"/>
        <v>638</v>
      </c>
      <c r="B659" s="12">
        <f t="shared" si="151"/>
        <v>178</v>
      </c>
      <c r="C659" s="12" t="s">
        <v>355</v>
      </c>
      <c r="D659" s="12" t="s">
        <v>537</v>
      </c>
      <c r="E659" s="120">
        <v>1979</v>
      </c>
      <c r="F659" s="120">
        <v>1979</v>
      </c>
      <c r="G659" s="120" t="s">
        <v>3</v>
      </c>
      <c r="H659" s="120">
        <v>5</v>
      </c>
      <c r="I659" s="120">
        <v>4</v>
      </c>
      <c r="J659" s="30">
        <v>3568.8</v>
      </c>
      <c r="K659" s="30">
        <v>2956.3</v>
      </c>
      <c r="L659" s="30">
        <v>398.4</v>
      </c>
      <c r="M659" s="121">
        <v>89</v>
      </c>
      <c r="N659" s="28">
        <f t="shared" si="143"/>
        <v>24133734.93</v>
      </c>
      <c r="O659" s="30"/>
      <c r="P659" s="30">
        <f t="shared" si="144"/>
        <v>7010637.04</v>
      </c>
      <c r="Q659" s="154">
        <v>7010637.04</v>
      </c>
      <c r="R659" s="145"/>
      <c r="S659" s="30"/>
      <c r="T659" s="31"/>
      <c r="U659" s="31"/>
      <c r="V659" s="146">
        <f t="shared" si="152"/>
        <v>2046209.08</v>
      </c>
      <c r="W659" s="145">
        <v>2046209.08</v>
      </c>
      <c r="X659" s="145"/>
      <c r="Y659" s="146">
        <f t="shared" si="145"/>
        <v>14186718</v>
      </c>
      <c r="Z659" s="145">
        <v>14186718</v>
      </c>
      <c r="AA659" s="145"/>
      <c r="AB659" s="146">
        <f t="shared" si="155"/>
        <v>890170.81</v>
      </c>
      <c r="AC659" s="147"/>
      <c r="AD659" s="145">
        <v>890170.81</v>
      </c>
      <c r="AE659" s="30">
        <v>15637.8507161458</v>
      </c>
      <c r="AF659" s="30">
        <v>1378.2830200640001</v>
      </c>
      <c r="AG659" s="33">
        <v>2024</v>
      </c>
      <c r="AH659" s="98">
        <v>1644252.07</v>
      </c>
      <c r="AI659" s="5">
        <f>+(K659*10.5+L659*21)*12*0.85</f>
        <v>401957.01</v>
      </c>
      <c r="AJ659" s="5">
        <f>+(K659*11.55+L659*23.1)*12*30</f>
        <v>15605389.800000003</v>
      </c>
      <c r="AK659" s="5">
        <f t="shared" si="146"/>
        <v>24133734.93</v>
      </c>
      <c r="AL659" s="177">
        <f t="shared" si="148"/>
        <v>0</v>
      </c>
      <c r="AM659" s="62">
        <v>6570890.96</v>
      </c>
      <c r="AN659" s="30">
        <v>4107289.9</v>
      </c>
      <c r="AO659" s="30">
        <v>2761050.92</v>
      </c>
      <c r="AP659" s="30">
        <v>1607542.18</v>
      </c>
      <c r="AQ659" s="30">
        <v>0</v>
      </c>
      <c r="AR659" s="30"/>
      <c r="AS659" s="62"/>
      <c r="AT659" s="30">
        <v>0</v>
      </c>
      <c r="AU659" s="30">
        <v>8901708.0800000001</v>
      </c>
      <c r="AV659" s="30"/>
      <c r="AW659" s="30"/>
      <c r="AX659" s="30">
        <v>185252.89</v>
      </c>
      <c r="AY659" s="30"/>
      <c r="AZ659" s="30"/>
      <c r="BA659" s="148"/>
      <c r="BB659" s="149">
        <f t="shared" si="147"/>
        <v>6</v>
      </c>
    </row>
    <row r="660" spans="1:54" ht="15.75" hidden="1">
      <c r="A660" s="10">
        <f t="shared" si="150"/>
        <v>639</v>
      </c>
      <c r="B660" s="12">
        <f t="shared" si="151"/>
        <v>179</v>
      </c>
      <c r="C660" s="12" t="s">
        <v>355</v>
      </c>
      <c r="D660" s="12" t="s">
        <v>538</v>
      </c>
      <c r="E660" s="120">
        <v>1967</v>
      </c>
      <c r="F660" s="120">
        <v>1967</v>
      </c>
      <c r="G660" s="120" t="s">
        <v>3</v>
      </c>
      <c r="H660" s="120">
        <v>3</v>
      </c>
      <c r="I660" s="120">
        <v>2</v>
      </c>
      <c r="J660" s="30">
        <v>994.3</v>
      </c>
      <c r="K660" s="30">
        <v>775.2</v>
      </c>
      <c r="L660" s="30">
        <v>168.7</v>
      </c>
      <c r="M660" s="121">
        <v>26</v>
      </c>
      <c r="N660" s="28">
        <f t="shared" si="143"/>
        <v>1288380.8999999999</v>
      </c>
      <c r="O660" s="30"/>
      <c r="P660" s="30">
        <f t="shared" si="144"/>
        <v>0</v>
      </c>
      <c r="Q660" s="161"/>
      <c r="R660" s="31"/>
      <c r="S660" s="30"/>
      <c r="T660" s="31"/>
      <c r="U660" s="31"/>
      <c r="V660" s="146">
        <f t="shared" si="152"/>
        <v>131075.41</v>
      </c>
      <c r="W660" s="145">
        <v>131075.41</v>
      </c>
      <c r="X660" s="145"/>
      <c r="Y660" s="146">
        <f t="shared" si="145"/>
        <v>889730.27</v>
      </c>
      <c r="Z660" s="145">
        <v>889730.27</v>
      </c>
      <c r="AA660" s="145"/>
      <c r="AB660" s="146">
        <f t="shared" si="155"/>
        <v>267575.21999999997</v>
      </c>
      <c r="AC660" s="145"/>
      <c r="AD660" s="160">
        <v>267575.21999999997</v>
      </c>
      <c r="AE660" s="30">
        <v>1325.78203196453</v>
      </c>
      <c r="AF660" s="30">
        <v>1325.78203196453</v>
      </c>
      <c r="AG660" s="33">
        <v>2024</v>
      </c>
      <c r="AI660" s="5">
        <f>+(K660*11.55+L660*23.1)*12*0.85</f>
        <v>131075.40600000002</v>
      </c>
      <c r="AJ660" s="5">
        <f>+(K660*11.55+L660*23.1)*12*30-[3]Лист1!$AQ$56</f>
        <v>611387.42000000086</v>
      </c>
      <c r="AK660" s="5">
        <f t="shared" si="146"/>
        <v>1288380.8999999999</v>
      </c>
      <c r="AL660" s="146">
        <f t="shared" si="148"/>
        <v>0</v>
      </c>
      <c r="AM660" s="62"/>
      <c r="AN660" s="30"/>
      <c r="AO660" s="30">
        <v>1288380.8999999999</v>
      </c>
      <c r="AP660" s="30"/>
      <c r="AQ660" s="30">
        <v>0</v>
      </c>
      <c r="AR660" s="30"/>
      <c r="AS660" s="62"/>
      <c r="AT660" s="30">
        <v>0</v>
      </c>
      <c r="AU660" s="30"/>
      <c r="AV660" s="30">
        <v>0</v>
      </c>
      <c r="AW660" s="30"/>
      <c r="AX660" s="30"/>
      <c r="AY660" s="30"/>
      <c r="AZ660" s="30"/>
      <c r="BA660" s="148"/>
      <c r="BB660" s="149">
        <f t="shared" si="147"/>
        <v>1</v>
      </c>
    </row>
    <row r="661" spans="1:54" ht="15.75" hidden="1">
      <c r="A661" s="10">
        <f t="shared" ref="A661:A692" si="156">A660+1</f>
        <v>640</v>
      </c>
      <c r="B661" s="12">
        <f t="shared" si="151"/>
        <v>180</v>
      </c>
      <c r="C661" s="12" t="s">
        <v>355</v>
      </c>
      <c r="D661" s="12" t="s">
        <v>539</v>
      </c>
      <c r="E661" s="120">
        <v>1970</v>
      </c>
      <c r="F661" s="120">
        <v>1970</v>
      </c>
      <c r="G661" s="120" t="s">
        <v>3</v>
      </c>
      <c r="H661" s="120">
        <v>3</v>
      </c>
      <c r="I661" s="120">
        <v>3</v>
      </c>
      <c r="J661" s="30">
        <v>1002.4</v>
      </c>
      <c r="K661" s="30">
        <v>930.4</v>
      </c>
      <c r="L661" s="30">
        <v>71.8</v>
      </c>
      <c r="M661" s="121">
        <v>40</v>
      </c>
      <c r="N661" s="28">
        <f t="shared" si="143"/>
        <v>9828015.8100000005</v>
      </c>
      <c r="O661" s="30"/>
      <c r="P661" s="30">
        <f t="shared" si="144"/>
        <v>8445512.1099999994</v>
      </c>
      <c r="Q661" s="154">
        <v>8445512.1099999994</v>
      </c>
      <c r="R661" s="145"/>
      <c r="S661" s="30"/>
      <c r="T661" s="31"/>
      <c r="U661" s="31"/>
      <c r="V661" s="146">
        <f t="shared" si="152"/>
        <v>203141.8</v>
      </c>
      <c r="W661" s="145">
        <v>203141.8</v>
      </c>
      <c r="X661" s="145"/>
      <c r="Y661" s="146">
        <f t="shared" si="145"/>
        <v>0</v>
      </c>
      <c r="Z661" s="31"/>
      <c r="AA661" s="31"/>
      <c r="AB661" s="146">
        <f t="shared" si="155"/>
        <v>1179361.8999999999</v>
      </c>
      <c r="AC661" s="147"/>
      <c r="AD661" s="145">
        <v>1179361.8999999999</v>
      </c>
      <c r="AE661" s="30">
        <v>8823.1422760816895</v>
      </c>
      <c r="AF661" s="30">
        <v>1370.2830200640001</v>
      </c>
      <c r="AG661" s="33">
        <v>2024</v>
      </c>
      <c r="AH661" s="98">
        <f>503547.06-V345</f>
        <v>-115025.39999999997</v>
      </c>
      <c r="AI661" s="5">
        <f>+(K661*10.5+L661*21)*12*0.85</f>
        <v>115025.39999999997</v>
      </c>
      <c r="AJ661" s="5">
        <f>+(K661*11.55+L661*23.1)*12*30</f>
        <v>4465692.0000000009</v>
      </c>
      <c r="AK661" s="5">
        <f t="shared" si="146"/>
        <v>9828015.8100000005</v>
      </c>
      <c r="AL661" s="177">
        <f t="shared" si="148"/>
        <v>0</v>
      </c>
      <c r="AM661" s="62"/>
      <c r="AN661" s="30"/>
      <c r="AO661" s="30"/>
      <c r="AP661" s="30"/>
      <c r="AQ661" s="30">
        <v>0</v>
      </c>
      <c r="AR661" s="30"/>
      <c r="AS661" s="62"/>
      <c r="AT661" s="30">
        <v>0</v>
      </c>
      <c r="AU661" s="30"/>
      <c r="AV661" s="30">
        <v>0</v>
      </c>
      <c r="AW661" s="30">
        <v>9828015.8100000005</v>
      </c>
      <c r="AX661" s="30"/>
      <c r="AY661" s="30"/>
      <c r="AZ661" s="30"/>
      <c r="BA661" s="148"/>
      <c r="BB661" s="149">
        <f t="shared" si="147"/>
        <v>1</v>
      </c>
    </row>
    <row r="662" spans="1:54" ht="15.75" hidden="1">
      <c r="A662" s="10">
        <f t="shared" si="156"/>
        <v>641</v>
      </c>
      <c r="B662" s="12">
        <f t="shared" si="151"/>
        <v>181</v>
      </c>
      <c r="C662" s="12" t="s">
        <v>116</v>
      </c>
      <c r="D662" s="12" t="s">
        <v>541</v>
      </c>
      <c r="E662" s="120">
        <v>1999</v>
      </c>
      <c r="F662" s="120">
        <v>2006</v>
      </c>
      <c r="G662" s="120" t="s">
        <v>3</v>
      </c>
      <c r="H662" s="120">
        <v>9</v>
      </c>
      <c r="I662" s="120">
        <v>2</v>
      </c>
      <c r="J662" s="30">
        <v>4762.8999999999996</v>
      </c>
      <c r="K662" s="30">
        <v>4203.6000000000004</v>
      </c>
      <c r="L662" s="30">
        <v>0</v>
      </c>
      <c r="M662" s="121">
        <v>167</v>
      </c>
      <c r="N662" s="28">
        <f t="shared" si="143"/>
        <v>6000036.8900000006</v>
      </c>
      <c r="O662" s="30"/>
      <c r="P662" s="30">
        <f t="shared" si="144"/>
        <v>0</v>
      </c>
      <c r="Q662" s="200"/>
      <c r="R662" s="7"/>
      <c r="S662" s="5"/>
      <c r="T662" s="7"/>
      <c r="U662" s="7"/>
      <c r="V662" s="146">
        <f t="shared" si="152"/>
        <v>3356550.77</v>
      </c>
      <c r="W662" s="145">
        <v>3014866.77</v>
      </c>
      <c r="X662" s="145">
        <v>341684</v>
      </c>
      <c r="Y662" s="146">
        <f t="shared" si="145"/>
        <v>2643486.12</v>
      </c>
      <c r="Z662" s="145">
        <v>2643486.12</v>
      </c>
      <c r="AA662" s="145"/>
      <c r="AB662" s="146">
        <f t="shared" si="155"/>
        <v>0</v>
      </c>
      <c r="AC662" s="147"/>
      <c r="AD662" s="147"/>
      <c r="AE662" s="30">
        <v>2032.09154058426</v>
      </c>
      <c r="AF662" s="30">
        <v>1382.2830200640001</v>
      </c>
      <c r="AG662" s="33">
        <v>2024</v>
      </c>
      <c r="AH662" s="98">
        <v>2824228.86</v>
      </c>
      <c r="AI662" s="5">
        <f>+(K662*13.95+L662*23.65)*12*0.85</f>
        <v>598130.24399999995</v>
      </c>
      <c r="AJ662" s="5">
        <f>+(K662*13.95+L662*23.65)*12*30</f>
        <v>21110479.199999999</v>
      </c>
      <c r="AK662" s="5">
        <f t="shared" si="146"/>
        <v>6000036.8900000006</v>
      </c>
      <c r="AL662" s="177">
        <f t="shared" si="148"/>
        <v>0</v>
      </c>
      <c r="AM662" s="62"/>
      <c r="AN662" s="30"/>
      <c r="AO662" s="30"/>
      <c r="AP662" s="30"/>
      <c r="AQ662" s="30"/>
      <c r="AR662" s="30"/>
      <c r="AS662" s="62"/>
      <c r="AT662" s="30">
        <v>5658352.8899999997</v>
      </c>
      <c r="AU662" s="30"/>
      <c r="AV662" s="30"/>
      <c r="AW662" s="30"/>
      <c r="AX662" s="30"/>
      <c r="AY662" s="30">
        <v>256263</v>
      </c>
      <c r="AZ662" s="30">
        <v>85421</v>
      </c>
      <c r="BA662" s="148"/>
      <c r="BB662" s="149">
        <f t="shared" si="147"/>
        <v>1</v>
      </c>
    </row>
    <row r="663" spans="1:54" s="142" customFormat="1" ht="15.75" hidden="1">
      <c r="A663" s="10">
        <f t="shared" si="156"/>
        <v>642</v>
      </c>
      <c r="B663" s="12">
        <f t="shared" ref="B663:B694" si="157">B662+1</f>
        <v>182</v>
      </c>
      <c r="C663" s="12" t="s">
        <v>116</v>
      </c>
      <c r="D663" s="12" t="s">
        <v>542</v>
      </c>
      <c r="E663" s="120" t="s">
        <v>367</v>
      </c>
      <c r="F663" s="120"/>
      <c r="G663" s="120" t="s">
        <v>3</v>
      </c>
      <c r="H663" s="120" t="s">
        <v>174</v>
      </c>
      <c r="I663" s="120" t="s">
        <v>27</v>
      </c>
      <c r="J663" s="30">
        <v>4698.7</v>
      </c>
      <c r="K663" s="30">
        <v>4088</v>
      </c>
      <c r="L663" s="30">
        <v>0</v>
      </c>
      <c r="M663" s="121">
        <v>152</v>
      </c>
      <c r="N663" s="28">
        <f t="shared" si="143"/>
        <v>6498674.3399999999</v>
      </c>
      <c r="O663" s="30">
        <v>0</v>
      </c>
      <c r="P663" s="30">
        <f t="shared" si="144"/>
        <v>0</v>
      </c>
      <c r="Q663" s="160"/>
      <c r="R663" s="31"/>
      <c r="S663" s="30"/>
      <c r="T663" s="31"/>
      <c r="U663" s="31"/>
      <c r="V663" s="146">
        <f t="shared" si="152"/>
        <v>3098270.01</v>
      </c>
      <c r="W663" s="145">
        <v>3098270.01</v>
      </c>
      <c r="X663" s="145"/>
      <c r="Y663" s="146">
        <f t="shared" si="145"/>
        <v>3371670.15</v>
      </c>
      <c r="Z663" s="145">
        <v>3029986.15</v>
      </c>
      <c r="AA663" s="145">
        <v>341684</v>
      </c>
      <c r="AB663" s="146">
        <f t="shared" si="155"/>
        <v>28734.18</v>
      </c>
      <c r="AC663" s="145"/>
      <c r="AD663" s="160">
        <v>28734.18</v>
      </c>
      <c r="AE663" s="30">
        <v>3424.0761005684899</v>
      </c>
      <c r="AF663" s="30">
        <v>1383.2830200640001</v>
      </c>
      <c r="AG663" s="33">
        <v>2024</v>
      </c>
      <c r="AH663" s="157">
        <v>0</v>
      </c>
      <c r="AI663" s="5">
        <f>+(K663*15.35+L663*26.02)*12*0.85</f>
        <v>640058.15999999992</v>
      </c>
      <c r="AJ663" s="5">
        <f>+(K663*15.35+L663*26.02)*12*30-[3]Лист1!$AQ$67</f>
        <v>21522691.129999999</v>
      </c>
      <c r="AK663" s="5">
        <f t="shared" si="146"/>
        <v>6498674.3399999999</v>
      </c>
      <c r="AL663" s="177">
        <f t="shared" si="148"/>
        <v>0</v>
      </c>
      <c r="AM663" s="62"/>
      <c r="AN663" s="30"/>
      <c r="AO663" s="30">
        <v>3308493.9</v>
      </c>
      <c r="AP663" s="30"/>
      <c r="AQ663" s="30"/>
      <c r="AR663" s="30"/>
      <c r="AS663" s="62"/>
      <c r="AT663" s="30">
        <v>2848496.44</v>
      </c>
      <c r="AU663" s="30"/>
      <c r="AV663" s="30"/>
      <c r="AW663" s="30"/>
      <c r="AX663" s="30"/>
      <c r="AY663" s="30">
        <v>256263</v>
      </c>
      <c r="AZ663" s="30">
        <v>85421</v>
      </c>
      <c r="BA663" s="148"/>
      <c r="BB663" s="149">
        <f t="shared" si="147"/>
        <v>2</v>
      </c>
    </row>
    <row r="664" spans="1:54" ht="15.75" hidden="1">
      <c r="A664" s="10">
        <f t="shared" si="156"/>
        <v>643</v>
      </c>
      <c r="B664" s="12">
        <f t="shared" si="157"/>
        <v>183</v>
      </c>
      <c r="C664" s="12" t="s">
        <v>116</v>
      </c>
      <c r="D664" s="12" t="s">
        <v>117</v>
      </c>
      <c r="E664" s="120">
        <v>1994</v>
      </c>
      <c r="F664" s="120">
        <v>2015</v>
      </c>
      <c r="G664" s="120" t="s">
        <v>3</v>
      </c>
      <c r="H664" s="120">
        <v>9</v>
      </c>
      <c r="I664" s="120">
        <v>4</v>
      </c>
      <c r="J664" s="30">
        <v>9059.2999999999993</v>
      </c>
      <c r="K664" s="30">
        <v>7958.2</v>
      </c>
      <c r="L664" s="30">
        <v>49</v>
      </c>
      <c r="M664" s="121">
        <v>376</v>
      </c>
      <c r="N664" s="28">
        <f t="shared" si="143"/>
        <v>40690271.539999999</v>
      </c>
      <c r="O664" s="30"/>
      <c r="P664" s="30">
        <f t="shared" si="144"/>
        <v>5879369.04</v>
      </c>
      <c r="Q664" s="154">
        <v>2099537.16</v>
      </c>
      <c r="R664" s="145">
        <v>3779831.88</v>
      </c>
      <c r="S664" s="30"/>
      <c r="T664" s="31"/>
      <c r="U664" s="31"/>
      <c r="V664" s="146">
        <f t="shared" si="152"/>
        <v>2742111.27</v>
      </c>
      <c r="W664" s="145">
        <v>2742111.27</v>
      </c>
      <c r="X664" s="145"/>
      <c r="Y664" s="146">
        <f t="shared" si="145"/>
        <v>29161800.23</v>
      </c>
      <c r="Z664" s="145">
        <v>28998027.399999999</v>
      </c>
      <c r="AA664" s="145">
        <v>163772.830000002</v>
      </c>
      <c r="AB664" s="146">
        <f t="shared" si="155"/>
        <v>2906991</v>
      </c>
      <c r="AC664" s="147"/>
      <c r="AD664" s="145">
        <v>2906991</v>
      </c>
      <c r="AE664" s="30">
        <v>6396.9618466810898</v>
      </c>
      <c r="AF664" s="30">
        <v>1384.2830200640001</v>
      </c>
      <c r="AG664" s="33">
        <v>2024</v>
      </c>
      <c r="AH664" s="98">
        <f>5650783.47-5939473.29-V349</f>
        <v>-540177.96000000031</v>
      </c>
      <c r="AI664" s="5">
        <f>+(K664*13.95+L664*23.65)*12*0.85</f>
        <v>1144192.548</v>
      </c>
      <c r="AJ664" s="5">
        <f>+(K664*13.95+L664*23.65)*12*30-Y349</f>
        <v>37804530.199999996</v>
      </c>
      <c r="AK664" s="5">
        <f t="shared" si="146"/>
        <v>40690271.539999999</v>
      </c>
      <c r="AL664" s="177">
        <f t="shared" si="148"/>
        <v>0</v>
      </c>
      <c r="AM664" s="62">
        <v>15222037.560000001</v>
      </c>
      <c r="AN664" s="30">
        <v>12234264.949999999</v>
      </c>
      <c r="AO664" s="30"/>
      <c r="AP664" s="30">
        <v>7411843.3200000003</v>
      </c>
      <c r="AQ664" s="30">
        <v>0</v>
      </c>
      <c r="AR664" s="30"/>
      <c r="AS664" s="62"/>
      <c r="AT664" s="30">
        <v>5658352.8799999999</v>
      </c>
      <c r="AU664" s="30">
        <v>0</v>
      </c>
      <c r="AV664" s="30">
        <v>0</v>
      </c>
      <c r="AW664" s="30"/>
      <c r="AX664" s="30">
        <v>0</v>
      </c>
      <c r="AY664" s="30">
        <v>126233.29</v>
      </c>
      <c r="AZ664" s="30">
        <v>37539.54</v>
      </c>
      <c r="BA664" s="148"/>
      <c r="BB664" s="149">
        <f t="shared" si="147"/>
        <v>4</v>
      </c>
    </row>
    <row r="665" spans="1:54" ht="15.75" hidden="1">
      <c r="A665" s="10">
        <f t="shared" si="156"/>
        <v>644</v>
      </c>
      <c r="B665" s="12">
        <f t="shared" si="157"/>
        <v>184</v>
      </c>
      <c r="C665" s="101" t="s">
        <v>116</v>
      </c>
      <c r="D665" s="101" t="s">
        <v>119</v>
      </c>
      <c r="E665" s="102">
        <v>1989</v>
      </c>
      <c r="F665" s="102">
        <v>2014</v>
      </c>
      <c r="G665" s="102" t="s">
        <v>3</v>
      </c>
      <c r="H665" s="102">
        <v>9</v>
      </c>
      <c r="I665" s="102">
        <v>3</v>
      </c>
      <c r="J665" s="62">
        <v>6626.1</v>
      </c>
      <c r="K665" s="62">
        <v>6102.5</v>
      </c>
      <c r="L665" s="62">
        <v>67.8</v>
      </c>
      <c r="M665" s="103">
        <v>265</v>
      </c>
      <c r="N665" s="28">
        <f t="shared" si="143"/>
        <v>14975164.809999999</v>
      </c>
      <c r="O665" s="30"/>
      <c r="P665" s="30">
        <f t="shared" si="144"/>
        <v>0</v>
      </c>
      <c r="Q665" s="160"/>
      <c r="R665" s="145"/>
      <c r="S665" s="30"/>
      <c r="T665" s="31"/>
      <c r="U665" s="31"/>
      <c r="V665" s="146">
        <f t="shared" si="152"/>
        <v>973462.82</v>
      </c>
      <c r="W665" s="145">
        <v>973462.82</v>
      </c>
      <c r="X665" s="145"/>
      <c r="Y665" s="146">
        <f t="shared" si="145"/>
        <v>4793514.88</v>
      </c>
      <c r="Z665" s="145">
        <v>4793514.88</v>
      </c>
      <c r="AA665" s="145"/>
      <c r="AB665" s="146">
        <f t="shared" si="155"/>
        <v>9208187.1099999994</v>
      </c>
      <c r="AC665" s="147"/>
      <c r="AD665" s="163">
        <v>9208187.1099999994</v>
      </c>
      <c r="AE665" s="30">
        <v>3812.0594102356699</v>
      </c>
      <c r="AF665" s="30">
        <v>3812.0594102356699</v>
      </c>
      <c r="AG665" s="33">
        <v>2024</v>
      </c>
      <c r="AH665" s="98"/>
      <c r="AI665" s="5">
        <f>+(K665*15.35+L665*26.02)*12*0.85</f>
        <v>973462.8162</v>
      </c>
      <c r="AJ665" s="5">
        <f>+(K665*15.35+L665*26.02)*12*30-[3]Лист1!$AQ$69</f>
        <v>4793514.8799999952</v>
      </c>
      <c r="AK665" s="5">
        <f t="shared" si="146"/>
        <v>14975164.809999999</v>
      </c>
      <c r="AL665" s="146">
        <f t="shared" si="148"/>
        <v>0</v>
      </c>
      <c r="AM665" s="62">
        <v>14975164.810000001</v>
      </c>
      <c r="AN665" s="30"/>
      <c r="AO665" s="30"/>
      <c r="AP665" s="30"/>
      <c r="AQ665" s="30">
        <v>0</v>
      </c>
      <c r="AR665" s="30"/>
      <c r="AS665" s="62"/>
      <c r="AT665" s="30">
        <v>0</v>
      </c>
      <c r="AU665" s="30"/>
      <c r="AV665" s="30">
        <v>0</v>
      </c>
      <c r="AW665" s="30"/>
      <c r="AX665" s="30"/>
      <c r="AY665" s="30"/>
      <c r="AZ665" s="30"/>
      <c r="BA665" s="148"/>
      <c r="BB665" s="149">
        <f t="shared" si="147"/>
        <v>1</v>
      </c>
    </row>
    <row r="666" spans="1:54" ht="15.75" hidden="1">
      <c r="A666" s="10">
        <f t="shared" si="156"/>
        <v>645</v>
      </c>
      <c r="B666" s="12">
        <f t="shared" si="157"/>
        <v>185</v>
      </c>
      <c r="C666" s="12" t="s">
        <v>116</v>
      </c>
      <c r="D666" s="12" t="s">
        <v>544</v>
      </c>
      <c r="E666" s="120">
        <v>1974</v>
      </c>
      <c r="F666" s="120">
        <v>2004</v>
      </c>
      <c r="G666" s="120" t="s">
        <v>3</v>
      </c>
      <c r="H666" s="120">
        <v>9</v>
      </c>
      <c r="I666" s="120">
        <v>1</v>
      </c>
      <c r="J666" s="30">
        <v>2145.6</v>
      </c>
      <c r="K666" s="30">
        <v>1882.91</v>
      </c>
      <c r="L666" s="30">
        <v>0</v>
      </c>
      <c r="M666" s="121">
        <v>77</v>
      </c>
      <c r="N666" s="28">
        <f t="shared" si="143"/>
        <v>11923021.940000001</v>
      </c>
      <c r="O666" s="30"/>
      <c r="P666" s="30">
        <f t="shared" si="144"/>
        <v>1381245.43</v>
      </c>
      <c r="Q666" s="154">
        <v>1381245.43</v>
      </c>
      <c r="R666" s="145"/>
      <c r="S666" s="30"/>
      <c r="T666" s="31"/>
      <c r="U666" s="31"/>
      <c r="V666" s="146">
        <f t="shared" si="152"/>
        <v>914158.27</v>
      </c>
      <c r="W666" s="145">
        <v>914158.27</v>
      </c>
      <c r="X666" s="145"/>
      <c r="Y666" s="146">
        <f t="shared" si="145"/>
        <v>9627618.2400000002</v>
      </c>
      <c r="Z666" s="145">
        <v>9627618.2400000002</v>
      </c>
      <c r="AA666" s="145"/>
      <c r="AB666" s="146">
        <f t="shared" si="155"/>
        <v>0</v>
      </c>
      <c r="AC666" s="147"/>
      <c r="AD666" s="147"/>
      <c r="AE666" s="30">
        <v>7750.1815300784401</v>
      </c>
      <c r="AF666" s="30">
        <v>7750.1815300784401</v>
      </c>
      <c r="AG666" s="33">
        <v>2024</v>
      </c>
      <c r="AH666" s="1">
        <v>418484.04</v>
      </c>
      <c r="AI666" s="5">
        <f>+(K666*15.35+L666*26.02)*12*0.85</f>
        <v>294807.21869999997</v>
      </c>
      <c r="AJ666" s="5">
        <f>+(K666*15.35+L666*26.02)*12*30</f>
        <v>10404960.66</v>
      </c>
      <c r="AK666" s="5">
        <f t="shared" si="146"/>
        <v>11923021.940000001</v>
      </c>
      <c r="AL666" s="146">
        <f t="shared" si="148"/>
        <v>0</v>
      </c>
      <c r="AM666" s="62">
        <v>5093944.38</v>
      </c>
      <c r="AN666" s="30">
        <v>3116108.31</v>
      </c>
      <c r="AO666" s="30">
        <v>1578977.96</v>
      </c>
      <c r="AP666" s="30">
        <v>2133991.29</v>
      </c>
      <c r="AQ666" s="30">
        <v>0</v>
      </c>
      <c r="AR666" s="30"/>
      <c r="AS666" s="62"/>
      <c r="AT666" s="30">
        <v>0</v>
      </c>
      <c r="AU666" s="30"/>
      <c r="AV666" s="30">
        <v>0</v>
      </c>
      <c r="AW666" s="30">
        <v>0</v>
      </c>
      <c r="AX666" s="30">
        <v>0</v>
      </c>
      <c r="AY666" s="30"/>
      <c r="AZ666" s="30"/>
      <c r="BA666" s="148"/>
      <c r="BB666" s="149">
        <f t="shared" si="147"/>
        <v>4</v>
      </c>
    </row>
    <row r="667" spans="1:54" ht="15.75" hidden="1">
      <c r="A667" s="10">
        <f t="shared" si="156"/>
        <v>646</v>
      </c>
      <c r="B667" s="12">
        <f t="shared" si="157"/>
        <v>186</v>
      </c>
      <c r="C667" s="12" t="s">
        <v>116</v>
      </c>
      <c r="D667" s="12" t="s">
        <v>545</v>
      </c>
      <c r="E667" s="120">
        <v>1974</v>
      </c>
      <c r="F667" s="120">
        <v>2013</v>
      </c>
      <c r="G667" s="120" t="s">
        <v>3</v>
      </c>
      <c r="H667" s="120">
        <v>9</v>
      </c>
      <c r="I667" s="120">
        <v>1</v>
      </c>
      <c r="J667" s="30">
        <v>2145.6</v>
      </c>
      <c r="K667" s="30">
        <v>1951.96</v>
      </c>
      <c r="L667" s="30">
        <v>44</v>
      </c>
      <c r="M667" s="121">
        <v>70</v>
      </c>
      <c r="N667" s="28">
        <f t="shared" si="143"/>
        <v>2750988.65</v>
      </c>
      <c r="O667" s="30"/>
      <c r="P667" s="30">
        <f t="shared" si="144"/>
        <v>0</v>
      </c>
      <c r="Q667" s="143"/>
      <c r="R667" s="31"/>
      <c r="S667" s="30"/>
      <c r="T667" s="31"/>
      <c r="U667" s="31"/>
      <c r="V667" s="146">
        <f t="shared" si="152"/>
        <v>1689336.35</v>
      </c>
      <c r="W667" s="145">
        <v>1689336.35</v>
      </c>
      <c r="X667" s="145"/>
      <c r="Y667" s="146">
        <f t="shared" si="145"/>
        <v>716096.69</v>
      </c>
      <c r="Z667" s="145">
        <v>716096.69</v>
      </c>
      <c r="AA667" s="145"/>
      <c r="AB667" s="146">
        <f t="shared" si="155"/>
        <v>345555.61</v>
      </c>
      <c r="AC667" s="147"/>
      <c r="AD667" s="145">
        <v>345555.61</v>
      </c>
      <c r="AE667" s="30">
        <v>1180.96648496895</v>
      </c>
      <c r="AF667" s="30">
        <v>1385.2830200640001</v>
      </c>
      <c r="AG667" s="33">
        <v>2024</v>
      </c>
      <c r="AH667" s="98">
        <v>0</v>
      </c>
      <c r="AI667" s="5">
        <f>+(K667*15.35+L667*26.02)*12*0.85</f>
        <v>317296.1532</v>
      </c>
      <c r="AJ667" s="5">
        <f>+(K667*15.35+L667*26.02)*12*30-[3]Лист1!$AQ$71</f>
        <v>11011370.119999999</v>
      </c>
      <c r="AK667" s="5">
        <f t="shared" si="146"/>
        <v>2750988.65</v>
      </c>
      <c r="AL667" s="177">
        <f t="shared" si="148"/>
        <v>0</v>
      </c>
      <c r="AM667" s="62">
        <v>0</v>
      </c>
      <c r="AN667" s="30">
        <v>0</v>
      </c>
      <c r="AO667" s="30">
        <v>0</v>
      </c>
      <c r="AP667" s="30">
        <v>0</v>
      </c>
      <c r="AQ667" s="30">
        <v>0</v>
      </c>
      <c r="AR667" s="30"/>
      <c r="AS667" s="62"/>
      <c r="AT667" s="30">
        <v>0</v>
      </c>
      <c r="AU667" s="30">
        <v>2750988.65</v>
      </c>
      <c r="AV667" s="30">
        <v>0</v>
      </c>
      <c r="AW667" s="30">
        <v>0</v>
      </c>
      <c r="AX667" s="30">
        <v>0</v>
      </c>
      <c r="AY667" s="30"/>
      <c r="AZ667" s="30"/>
      <c r="BA667" s="148"/>
      <c r="BB667" s="149">
        <f t="shared" si="147"/>
        <v>1</v>
      </c>
    </row>
    <row r="668" spans="1:54" ht="15.75" hidden="1">
      <c r="A668" s="10">
        <f t="shared" si="156"/>
        <v>647</v>
      </c>
      <c r="B668" s="12">
        <f t="shared" si="157"/>
        <v>187</v>
      </c>
      <c r="C668" s="12" t="s">
        <v>116</v>
      </c>
      <c r="D668" s="12" t="s">
        <v>546</v>
      </c>
      <c r="E668" s="120">
        <v>1973</v>
      </c>
      <c r="F668" s="120">
        <v>2004</v>
      </c>
      <c r="G668" s="120" t="s">
        <v>3</v>
      </c>
      <c r="H668" s="120">
        <v>9</v>
      </c>
      <c r="I668" s="120">
        <v>1</v>
      </c>
      <c r="J668" s="30">
        <v>2255.5</v>
      </c>
      <c r="K668" s="30">
        <v>1988.05</v>
      </c>
      <c r="L668" s="30">
        <v>0</v>
      </c>
      <c r="M668" s="121">
        <v>92</v>
      </c>
      <c r="N668" s="28">
        <f t="shared" si="143"/>
        <v>2948350.34</v>
      </c>
      <c r="O668" s="30"/>
      <c r="P668" s="30">
        <f t="shared" si="144"/>
        <v>0</v>
      </c>
      <c r="Q668" s="143"/>
      <c r="R668" s="31"/>
      <c r="S668" s="30"/>
      <c r="T668" s="31"/>
      <c r="U668" s="31"/>
      <c r="V668" s="146">
        <f t="shared" si="152"/>
        <v>1319011.73</v>
      </c>
      <c r="W668" s="145">
        <v>1319011.73</v>
      </c>
      <c r="X668" s="145"/>
      <c r="Y668" s="146">
        <f t="shared" si="145"/>
        <v>1099496.49</v>
      </c>
      <c r="Z668" s="145">
        <v>1099496.49</v>
      </c>
      <c r="AA668" s="145"/>
      <c r="AB668" s="146">
        <f t="shared" si="155"/>
        <v>529842.12</v>
      </c>
      <c r="AC668" s="147"/>
      <c r="AD668" s="145">
        <v>529842.12</v>
      </c>
      <c r="AE668" s="30">
        <v>1243.1257262141301</v>
      </c>
      <c r="AF668" s="30">
        <v>1243.1257262141301</v>
      </c>
      <c r="AG668" s="33">
        <v>2024</v>
      </c>
      <c r="AH668" s="1">
        <v>0</v>
      </c>
      <c r="AI668" s="5">
        <f>+(K668*15.35+L668*26.02)*12*0.85</f>
        <v>311268.98849999992</v>
      </c>
      <c r="AJ668" s="5">
        <f>+(K668*15.35+L668*26.02)*12*30-[3]Лист1!$AQ$72</f>
        <v>10731614.729999999</v>
      </c>
      <c r="AK668" s="5">
        <f t="shared" si="146"/>
        <v>2948350.34</v>
      </c>
      <c r="AL668" s="146">
        <f t="shared" si="148"/>
        <v>0</v>
      </c>
      <c r="AM668" s="62">
        <v>0</v>
      </c>
      <c r="AN668" s="30">
        <v>0</v>
      </c>
      <c r="AO668" s="30">
        <v>0</v>
      </c>
      <c r="AP668" s="30">
        <v>0</v>
      </c>
      <c r="AQ668" s="30">
        <v>0</v>
      </c>
      <c r="AR668" s="30"/>
      <c r="AS668" s="62"/>
      <c r="AT668" s="30">
        <v>0</v>
      </c>
      <c r="AU668" s="30">
        <v>2948350.34</v>
      </c>
      <c r="AV668" s="30">
        <v>0</v>
      </c>
      <c r="AW668" s="30">
        <v>0</v>
      </c>
      <c r="AX668" s="30">
        <v>0</v>
      </c>
      <c r="AY668" s="30"/>
      <c r="AZ668" s="30"/>
      <c r="BA668" s="148"/>
      <c r="BB668" s="149">
        <f t="shared" si="147"/>
        <v>1</v>
      </c>
    </row>
    <row r="669" spans="1:54" s="188" customFormat="1" ht="15.75" hidden="1">
      <c r="A669" s="10">
        <f t="shared" si="156"/>
        <v>648</v>
      </c>
      <c r="B669" s="12">
        <f t="shared" si="157"/>
        <v>188</v>
      </c>
      <c r="C669" s="12" t="s">
        <v>116</v>
      </c>
      <c r="D669" s="12" t="s">
        <v>548</v>
      </c>
      <c r="E669" s="120">
        <v>1993</v>
      </c>
      <c r="F669" s="120">
        <v>2009</v>
      </c>
      <c r="G669" s="120" t="s">
        <v>3</v>
      </c>
      <c r="H669" s="120">
        <v>9</v>
      </c>
      <c r="I669" s="120">
        <v>1</v>
      </c>
      <c r="J669" s="30">
        <v>2345</v>
      </c>
      <c r="K669" s="30">
        <v>1959.1</v>
      </c>
      <c r="L669" s="30">
        <v>0</v>
      </c>
      <c r="M669" s="121">
        <v>80</v>
      </c>
      <c r="N669" s="28">
        <f t="shared" si="143"/>
        <v>1457623.5499999998</v>
      </c>
      <c r="O669" s="30"/>
      <c r="P669" s="30">
        <f t="shared" si="144"/>
        <v>0</v>
      </c>
      <c r="Q669" s="161"/>
      <c r="R669" s="31"/>
      <c r="S669" s="30"/>
      <c r="T669" s="31"/>
      <c r="U669" s="31"/>
      <c r="V669" s="146">
        <f t="shared" ref="V669:V700" si="158">W669+X669</f>
        <v>751172.9</v>
      </c>
      <c r="W669" s="145">
        <v>751172.9</v>
      </c>
      <c r="X669" s="145"/>
      <c r="Y669" s="146">
        <f t="shared" si="145"/>
        <v>627206.43999999994</v>
      </c>
      <c r="Z669" s="145">
        <v>627206.43999999994</v>
      </c>
      <c r="AA669" s="145"/>
      <c r="AB669" s="146">
        <f t="shared" si="155"/>
        <v>79244.210000000006</v>
      </c>
      <c r="AC669" s="145"/>
      <c r="AD669" s="160">
        <v>79244.210000000006</v>
      </c>
      <c r="AE669" s="30">
        <v>5613.6329056046097</v>
      </c>
      <c r="AF669" s="30">
        <v>1394.2830200640001</v>
      </c>
      <c r="AG669" s="186">
        <v>2024</v>
      </c>
      <c r="AH669" s="201">
        <v>0</v>
      </c>
      <c r="AI669" s="202">
        <f>+(K669*15.35+L669*26.02)*12*0.85</f>
        <v>306736.28699999995</v>
      </c>
      <c r="AJ669" s="202">
        <f>+(K669*15.35+L669*26.02)*12*30-[3]Лист1!$AQ$73</f>
        <v>8694072.7599999998</v>
      </c>
      <c r="AK669" s="202">
        <f t="shared" si="146"/>
        <v>1457623.5499999998</v>
      </c>
      <c r="AL669" s="177">
        <f t="shared" si="148"/>
        <v>0</v>
      </c>
      <c r="AM669" s="62"/>
      <c r="AN669" s="30">
        <v>0</v>
      </c>
      <c r="AO669" s="30">
        <v>1457623.55</v>
      </c>
      <c r="AP669" s="30">
        <v>0</v>
      </c>
      <c r="AQ669" s="30">
        <v>0</v>
      </c>
      <c r="AR669" s="30"/>
      <c r="AS669" s="62"/>
      <c r="AT669" s="30">
        <v>0</v>
      </c>
      <c r="AU669" s="30"/>
      <c r="AV669" s="30">
        <v>0</v>
      </c>
      <c r="AW669" s="30">
        <v>0</v>
      </c>
      <c r="AX669" s="30">
        <v>0</v>
      </c>
      <c r="AY669" s="30"/>
      <c r="AZ669" s="30"/>
      <c r="BA669" s="148"/>
      <c r="BB669" s="149">
        <f t="shared" si="147"/>
        <v>1</v>
      </c>
    </row>
    <row r="670" spans="1:54" ht="15.75" hidden="1">
      <c r="A670" s="10">
        <f t="shared" si="156"/>
        <v>649</v>
      </c>
      <c r="B670" s="12">
        <f t="shared" si="157"/>
        <v>189</v>
      </c>
      <c r="C670" s="12" t="s">
        <v>116</v>
      </c>
      <c r="D670" s="12" t="s">
        <v>550</v>
      </c>
      <c r="E670" s="120">
        <v>1971</v>
      </c>
      <c r="F670" s="120">
        <v>1971</v>
      </c>
      <c r="G670" s="120" t="s">
        <v>3</v>
      </c>
      <c r="H670" s="120">
        <v>4</v>
      </c>
      <c r="I670" s="120">
        <v>2</v>
      </c>
      <c r="J670" s="30">
        <v>1403.6</v>
      </c>
      <c r="K670" s="30">
        <v>1280.0999999999999</v>
      </c>
      <c r="L670" s="30">
        <v>42.7</v>
      </c>
      <c r="M670" s="121">
        <v>67</v>
      </c>
      <c r="N670" s="28">
        <f t="shared" si="143"/>
        <v>4773430.7300000004</v>
      </c>
      <c r="O670" s="30"/>
      <c r="P670" s="30">
        <f t="shared" si="144"/>
        <v>0</v>
      </c>
      <c r="Q670" s="160"/>
      <c r="R670" s="145"/>
      <c r="S670" s="30"/>
      <c r="T670" s="31"/>
      <c r="U670" s="31"/>
      <c r="V670" s="146">
        <f t="shared" si="158"/>
        <v>306736.28999999998</v>
      </c>
      <c r="W670" s="145">
        <v>306736.28999999998</v>
      </c>
      <c r="X670" s="145"/>
      <c r="Y670" s="146">
        <f t="shared" si="145"/>
        <v>3242325.48</v>
      </c>
      <c r="Z670" s="145">
        <v>3242325.48</v>
      </c>
      <c r="AA670" s="145"/>
      <c r="AB670" s="146">
        <f t="shared" si="155"/>
        <v>1224368.96</v>
      </c>
      <c r="AC670" s="147"/>
      <c r="AD670" s="160">
        <v>1224368.96</v>
      </c>
      <c r="AE670" s="30">
        <v>4915.5092874739403</v>
      </c>
      <c r="AF670" s="30">
        <v>1393.2830200640001</v>
      </c>
      <c r="AG670" s="33">
        <v>2024</v>
      </c>
      <c r="AH670" s="18">
        <v>590303.34</v>
      </c>
      <c r="AI670" s="5">
        <f>+(K670*11.55+L670*23.1)*12*0.85</f>
        <v>160869.55500000002</v>
      </c>
      <c r="AJ670" s="5">
        <f>+(K670*11.55+L670*23.1)*12*30</f>
        <v>5677749.0000000009</v>
      </c>
      <c r="AK670" s="5">
        <f t="shared" si="146"/>
        <v>4773430.7300000004</v>
      </c>
      <c r="AL670" s="177">
        <f t="shared" si="148"/>
        <v>0</v>
      </c>
      <c r="AM670" s="62">
        <v>4773430.7300000004</v>
      </c>
      <c r="AN670" s="30"/>
      <c r="AO670" s="30">
        <v>0</v>
      </c>
      <c r="AP670" s="30"/>
      <c r="AQ670" s="30">
        <v>0</v>
      </c>
      <c r="AR670" s="30"/>
      <c r="AS670" s="62"/>
      <c r="AT670" s="30">
        <v>0</v>
      </c>
      <c r="AU670" s="30"/>
      <c r="AV670" s="30"/>
      <c r="AW670" s="30"/>
      <c r="AX670" s="30"/>
      <c r="AY670" s="30"/>
      <c r="AZ670" s="30"/>
      <c r="BA670" s="148"/>
      <c r="BB670" s="149">
        <f t="shared" si="147"/>
        <v>1</v>
      </c>
    </row>
    <row r="671" spans="1:54" ht="15.75" hidden="1">
      <c r="A671" s="10">
        <f t="shared" si="156"/>
        <v>650</v>
      </c>
      <c r="B671" s="12">
        <f t="shared" si="157"/>
        <v>190</v>
      </c>
      <c r="C671" s="12" t="s">
        <v>116</v>
      </c>
      <c r="D671" s="12" t="s">
        <v>552</v>
      </c>
      <c r="E671" s="120">
        <v>1970</v>
      </c>
      <c r="F671" s="120">
        <v>2015</v>
      </c>
      <c r="G671" s="120" t="s">
        <v>3</v>
      </c>
      <c r="H671" s="120">
        <v>4</v>
      </c>
      <c r="I671" s="120">
        <v>2</v>
      </c>
      <c r="J671" s="30">
        <v>1403.6</v>
      </c>
      <c r="K671" s="30">
        <v>1288.25</v>
      </c>
      <c r="L671" s="30">
        <v>0</v>
      </c>
      <c r="M671" s="121">
        <v>53</v>
      </c>
      <c r="N671" s="28">
        <f t="shared" si="143"/>
        <v>1424903.2</v>
      </c>
      <c r="O671" s="30"/>
      <c r="P671" s="30">
        <f t="shared" si="144"/>
        <v>91260.340000000026</v>
      </c>
      <c r="Q671" s="161">
        <f>326524.84-235264.5</f>
        <v>91260.340000000026</v>
      </c>
      <c r="R671" s="31"/>
      <c r="S671" s="30"/>
      <c r="T671" s="31"/>
      <c r="U671" s="31"/>
      <c r="V671" s="146">
        <f t="shared" si="158"/>
        <v>536312.17000000004</v>
      </c>
      <c r="W671" s="145">
        <v>536312.17000000004</v>
      </c>
      <c r="X671" s="145"/>
      <c r="Y671" s="146">
        <f t="shared" si="145"/>
        <v>562066.18999999994</v>
      </c>
      <c r="Z671" s="145">
        <v>562066.18999999994</v>
      </c>
      <c r="AA671" s="145"/>
      <c r="AB671" s="146">
        <f t="shared" si="155"/>
        <v>235264.5</v>
      </c>
      <c r="AC671" s="145"/>
      <c r="AD671" s="160">
        <v>235264.5</v>
      </c>
      <c r="AE671" s="30">
        <v>4457.5530298684298</v>
      </c>
      <c r="AF671" s="30">
        <v>1396.2830200640001</v>
      </c>
      <c r="AG671" s="33">
        <v>2024</v>
      </c>
      <c r="AH671" s="18">
        <v>384543.44</v>
      </c>
      <c r="AI671" s="5">
        <f>+(K671*11.55+L671*23.1)*12*0.85</f>
        <v>151768.73250000001</v>
      </c>
      <c r="AJ671" s="5">
        <f>+(K671*11.55+L671*23.1)*12*30</f>
        <v>5356543.5</v>
      </c>
      <c r="AK671" s="5">
        <f t="shared" si="146"/>
        <v>1424903.2</v>
      </c>
      <c r="AL671" s="177">
        <f t="shared" si="148"/>
        <v>0</v>
      </c>
      <c r="AM671" s="62"/>
      <c r="AN671" s="30"/>
      <c r="AO671" s="30">
        <v>1424903.2</v>
      </c>
      <c r="AP671" s="30"/>
      <c r="AQ671" s="30">
        <v>0</v>
      </c>
      <c r="AR671" s="30"/>
      <c r="AS671" s="62"/>
      <c r="AT671" s="30">
        <v>0</v>
      </c>
      <c r="AU671" s="30"/>
      <c r="AV671" s="30">
        <v>0</v>
      </c>
      <c r="AW671" s="30">
        <v>0</v>
      </c>
      <c r="AX671" s="30">
        <v>0</v>
      </c>
      <c r="AY671" s="30"/>
      <c r="AZ671" s="30"/>
      <c r="BA671" s="148"/>
      <c r="BB671" s="149">
        <f t="shared" si="147"/>
        <v>1</v>
      </c>
    </row>
    <row r="672" spans="1:54" ht="15.75" hidden="1">
      <c r="A672" s="10">
        <f t="shared" si="156"/>
        <v>651</v>
      </c>
      <c r="B672" s="12">
        <f t="shared" si="157"/>
        <v>191</v>
      </c>
      <c r="C672" s="12" t="s">
        <v>116</v>
      </c>
      <c r="D672" s="12" t="s">
        <v>123</v>
      </c>
      <c r="E672" s="120">
        <v>1970</v>
      </c>
      <c r="F672" s="120">
        <v>2015</v>
      </c>
      <c r="G672" s="120" t="s">
        <v>3</v>
      </c>
      <c r="H672" s="120">
        <v>4</v>
      </c>
      <c r="I672" s="120">
        <v>3</v>
      </c>
      <c r="J672" s="30">
        <v>2337.1999999999998</v>
      </c>
      <c r="K672" s="30">
        <v>1988.4</v>
      </c>
      <c r="L672" s="30">
        <v>46.7</v>
      </c>
      <c r="M672" s="121">
        <v>101</v>
      </c>
      <c r="N672" s="28">
        <f t="shared" si="143"/>
        <v>2172676.3099999996</v>
      </c>
      <c r="O672" s="30"/>
      <c r="P672" s="30">
        <f t="shared" si="144"/>
        <v>0</v>
      </c>
      <c r="Q672" s="160"/>
      <c r="R672" s="31"/>
      <c r="S672" s="30"/>
      <c r="T672" s="31"/>
      <c r="U672" s="31"/>
      <c r="V672" s="146">
        <f t="shared" si="158"/>
        <v>245256.86</v>
      </c>
      <c r="W672" s="145">
        <v>245256.86</v>
      </c>
      <c r="X672" s="145"/>
      <c r="Y672" s="146">
        <f t="shared" si="145"/>
        <v>1562774.9</v>
      </c>
      <c r="Z672" s="145">
        <v>1562774.9</v>
      </c>
      <c r="AA672" s="145"/>
      <c r="AB672" s="146">
        <f t="shared" si="155"/>
        <v>364644.55</v>
      </c>
      <c r="AC672" s="145"/>
      <c r="AD672" s="160">
        <v>364644.55</v>
      </c>
      <c r="AE672" s="30">
        <v>1468.9523470085801</v>
      </c>
      <c r="AF672" s="30">
        <v>1468.9523470085801</v>
      </c>
      <c r="AG672" s="33">
        <v>2024</v>
      </c>
      <c r="AH672" s="18"/>
      <c r="AI672" s="5">
        <f>+(K672*11.55+L672*23.1)*12*0.85</f>
        <v>245256.85800000004</v>
      </c>
      <c r="AJ672" s="5">
        <f>+(K672*11.55+L672*23.1)*12*30-[3]Лист1!$AQ$87</f>
        <v>6106064.25</v>
      </c>
      <c r="AK672" s="5">
        <f t="shared" si="146"/>
        <v>2172676.3099999996</v>
      </c>
      <c r="AL672" s="146">
        <f t="shared" si="148"/>
        <v>0</v>
      </c>
      <c r="AM672" s="62"/>
      <c r="AN672" s="30"/>
      <c r="AO672" s="30">
        <v>2172676.31</v>
      </c>
      <c r="AP672" s="30"/>
      <c r="AQ672" s="30">
        <v>0</v>
      </c>
      <c r="AR672" s="30"/>
      <c r="AS672" s="62"/>
      <c r="AT672" s="30"/>
      <c r="AU672" s="30"/>
      <c r="AV672" s="30">
        <v>0</v>
      </c>
      <c r="AW672" s="30">
        <v>0</v>
      </c>
      <c r="AX672" s="30">
        <v>0</v>
      </c>
      <c r="AY672" s="30"/>
      <c r="AZ672" s="30"/>
      <c r="BA672" s="148"/>
      <c r="BB672" s="149">
        <f t="shared" si="147"/>
        <v>1</v>
      </c>
    </row>
    <row r="673" spans="1:54" ht="15.75" hidden="1">
      <c r="A673" s="10">
        <f t="shared" si="156"/>
        <v>652</v>
      </c>
      <c r="B673" s="12">
        <f t="shared" si="157"/>
        <v>192</v>
      </c>
      <c r="C673" s="12" t="s">
        <v>116</v>
      </c>
      <c r="D673" s="12" t="s">
        <v>125</v>
      </c>
      <c r="E673" s="102">
        <v>1986</v>
      </c>
      <c r="F673" s="102">
        <v>2015</v>
      </c>
      <c r="G673" s="102" t="s">
        <v>3</v>
      </c>
      <c r="H673" s="102">
        <v>9</v>
      </c>
      <c r="I673" s="102">
        <v>1</v>
      </c>
      <c r="J673" s="62">
        <v>2147.3000000000002</v>
      </c>
      <c r="K673" s="62">
        <v>1765</v>
      </c>
      <c r="L673" s="62">
        <v>118.1</v>
      </c>
      <c r="M673" s="103">
        <v>71</v>
      </c>
      <c r="N673" s="28">
        <f t="shared" ref="N673:N704" si="159">P673+S673+V673+Y673+AB673</f>
        <v>8186939.3599999994</v>
      </c>
      <c r="O673" s="30"/>
      <c r="P673" s="30">
        <f t="shared" ref="P673:P701" si="160">Q673+R673</f>
        <v>0</v>
      </c>
      <c r="Q673" s="161">
        <v>0</v>
      </c>
      <c r="R673" s="31"/>
      <c r="S673" s="30"/>
      <c r="T673" s="31"/>
      <c r="U673" s="31"/>
      <c r="V673" s="146">
        <f t="shared" si="158"/>
        <v>307690.26</v>
      </c>
      <c r="W673" s="145">
        <v>307690.26</v>
      </c>
      <c r="X673" s="145"/>
      <c r="Y673" s="146">
        <f t="shared" ref="Y673:Y701" si="161">Z673+AA673</f>
        <v>5203093.0999999996</v>
      </c>
      <c r="Z673" s="145">
        <v>5203093.0999999996</v>
      </c>
      <c r="AA673" s="145"/>
      <c r="AB673" s="146">
        <f t="shared" si="155"/>
        <v>2676156</v>
      </c>
      <c r="AC673" s="145"/>
      <c r="AD673" s="160">
        <f>1779144.81+897011.19</f>
        <v>2676156</v>
      </c>
      <c r="AE673" s="62">
        <v>10650.4915964548</v>
      </c>
      <c r="AF673" s="62">
        <v>10650.4915964548</v>
      </c>
      <c r="AG673" s="33">
        <v>2024</v>
      </c>
      <c r="AI673" s="5">
        <f>+(K673*15.35+L673*26.02)*12*0.85</f>
        <v>307690.26240000001</v>
      </c>
      <c r="AJ673" s="5">
        <f>+(K673*15.35+L673*26.02)*12*30-[3]Лист1!$AQ$95</f>
        <v>9125652.6300000008</v>
      </c>
      <c r="AK673" s="5">
        <f t="shared" ref="AK673:AK699" si="162">+N673-AL673</f>
        <v>8186939.3599999994</v>
      </c>
      <c r="AL673" s="146">
        <f t="shared" si="148"/>
        <v>0</v>
      </c>
      <c r="AM673" s="62">
        <v>5075093.5599999996</v>
      </c>
      <c r="AN673" s="30">
        <v>3111845.8</v>
      </c>
      <c r="AO673" s="30"/>
      <c r="AP673" s="30"/>
      <c r="AQ673" s="30">
        <v>0</v>
      </c>
      <c r="AR673" s="30"/>
      <c r="AS673" s="62"/>
      <c r="AT673" s="30">
        <v>0</v>
      </c>
      <c r="AU673" s="30"/>
      <c r="AV673" s="30">
        <v>0</v>
      </c>
      <c r="AW673" s="30">
        <v>0</v>
      </c>
      <c r="AX673" s="30"/>
      <c r="AY673" s="30"/>
      <c r="AZ673" s="30"/>
      <c r="BA673" s="148"/>
      <c r="BB673" s="149">
        <f t="shared" ref="BB673:BB699" si="163">COUNTIF(AM673:AX673, "&gt;0")</f>
        <v>2</v>
      </c>
    </row>
    <row r="674" spans="1:54" ht="15.75" hidden="1">
      <c r="A674" s="10">
        <f t="shared" si="156"/>
        <v>653</v>
      </c>
      <c r="B674" s="12">
        <f t="shared" si="157"/>
        <v>193</v>
      </c>
      <c r="C674" s="101" t="s">
        <v>116</v>
      </c>
      <c r="D674" s="101" t="s">
        <v>557</v>
      </c>
      <c r="E674" s="102">
        <v>1990</v>
      </c>
      <c r="F674" s="102">
        <v>2015</v>
      </c>
      <c r="G674" s="102" t="s">
        <v>3</v>
      </c>
      <c r="H674" s="102">
        <v>9</v>
      </c>
      <c r="I674" s="102">
        <v>4</v>
      </c>
      <c r="J674" s="62">
        <v>9225.6</v>
      </c>
      <c r="K674" s="62">
        <v>8138.5</v>
      </c>
      <c r="L674" s="62">
        <v>48</v>
      </c>
      <c r="M674" s="103">
        <v>380</v>
      </c>
      <c r="N674" s="28">
        <f t="shared" si="159"/>
        <v>14541738.550000001</v>
      </c>
      <c r="O674" s="62"/>
      <c r="P674" s="30">
        <f t="shared" si="160"/>
        <v>0</v>
      </c>
      <c r="Q674" s="143"/>
      <c r="R674" s="31"/>
      <c r="S674" s="30"/>
      <c r="T674" s="31"/>
      <c r="U674" s="31"/>
      <c r="V674" s="146">
        <f t="shared" si="158"/>
        <v>1286984.3400000001</v>
      </c>
      <c r="W674" s="145">
        <v>1286984.3400000001</v>
      </c>
      <c r="X674" s="145"/>
      <c r="Y674" s="146">
        <f t="shared" si="161"/>
        <v>13254754.210000001</v>
      </c>
      <c r="Z674" s="145">
        <v>13254754.210000001</v>
      </c>
      <c r="AA674" s="145"/>
      <c r="AB674" s="146">
        <f t="shared" si="155"/>
        <v>0</v>
      </c>
      <c r="AC674" s="147"/>
      <c r="AD674" s="147"/>
      <c r="AE674" s="62">
        <v>3078.3440692752201</v>
      </c>
      <c r="AF674" s="62">
        <v>3078.3440692752201</v>
      </c>
      <c r="AG674" s="33">
        <v>2024</v>
      </c>
      <c r="AH674" s="18">
        <v>0</v>
      </c>
      <c r="AI674" s="5">
        <f>+(K674*15.35+L674*26.02)*12*0.85</f>
        <v>1286984.3370000001</v>
      </c>
      <c r="AJ674" s="5">
        <f>+(K674*15.35+L674*26.02)*12*30-[3]Лист1!$AQ$99</f>
        <v>45422976.600000001</v>
      </c>
      <c r="AK674" s="5">
        <f t="shared" si="162"/>
        <v>14541738.550000001</v>
      </c>
      <c r="AL674" s="146">
        <f t="shared" ref="AL674:AL701" si="164">SUBTOTAL(9, AM674:BA674)</f>
        <v>0</v>
      </c>
      <c r="AM674" s="62">
        <v>8889465.0700000003</v>
      </c>
      <c r="AN674" s="30">
        <v>5652273.4800000004</v>
      </c>
      <c r="AO674" s="30"/>
      <c r="AP674" s="30"/>
      <c r="AQ674" s="30"/>
      <c r="AR674" s="30"/>
      <c r="AS674" s="62"/>
      <c r="AT674" s="30">
        <v>0</v>
      </c>
      <c r="AU674" s="30"/>
      <c r="AV674" s="30">
        <v>0</v>
      </c>
      <c r="AW674" s="30">
        <v>0</v>
      </c>
      <c r="AX674" s="30"/>
      <c r="AY674" s="30"/>
      <c r="AZ674" s="30"/>
      <c r="BA674" s="148"/>
      <c r="BB674" s="149">
        <f t="shared" si="163"/>
        <v>2</v>
      </c>
    </row>
    <row r="675" spans="1:54" ht="15.75" hidden="1">
      <c r="A675" s="10">
        <f t="shared" si="156"/>
        <v>654</v>
      </c>
      <c r="B675" s="12">
        <f t="shared" si="157"/>
        <v>194</v>
      </c>
      <c r="C675" s="101" t="s">
        <v>116</v>
      </c>
      <c r="D675" s="101" t="s">
        <v>558</v>
      </c>
      <c r="E675" s="102">
        <v>1971</v>
      </c>
      <c r="F675" s="102">
        <v>2015</v>
      </c>
      <c r="G675" s="102" t="s">
        <v>3</v>
      </c>
      <c r="H675" s="102">
        <v>4</v>
      </c>
      <c r="I675" s="102">
        <v>3</v>
      </c>
      <c r="J675" s="62">
        <v>2186.1</v>
      </c>
      <c r="K675" s="62">
        <v>2051.6</v>
      </c>
      <c r="L675" s="62">
        <v>31.5</v>
      </c>
      <c r="M675" s="103">
        <v>100</v>
      </c>
      <c r="N675" s="28">
        <f t="shared" si="159"/>
        <v>2092853.1800000002</v>
      </c>
      <c r="O675" s="62"/>
      <c r="P675" s="30">
        <f t="shared" si="160"/>
        <v>0</v>
      </c>
      <c r="Q675" s="143"/>
      <c r="R675" s="31"/>
      <c r="S675" s="30"/>
      <c r="T675" s="31"/>
      <c r="U675" s="31"/>
      <c r="V675" s="146">
        <f t="shared" si="158"/>
        <v>1113678.8500000001</v>
      </c>
      <c r="W675" s="145">
        <v>1113678.8500000001</v>
      </c>
      <c r="X675" s="145"/>
      <c r="Y675" s="146">
        <f t="shared" si="161"/>
        <v>979174.33</v>
      </c>
      <c r="Z675" s="145">
        <v>979174.33</v>
      </c>
      <c r="AA675" s="145"/>
      <c r="AB675" s="146">
        <f t="shared" si="155"/>
        <v>0</v>
      </c>
      <c r="AC675" s="147"/>
      <c r="AD675" s="147"/>
      <c r="AE675" s="62">
        <v>2872.3168575200398</v>
      </c>
      <c r="AF675" s="62">
        <v>2872.3168575200398</v>
      </c>
      <c r="AG675" s="33">
        <v>2024</v>
      </c>
      <c r="AH675" s="1">
        <v>864557.82</v>
      </c>
      <c r="AI675" s="5">
        <f>+(K675*11.55+L675*23.1)*12*0.85</f>
        <v>249121.02599999998</v>
      </c>
      <c r="AJ675" s="5">
        <f>+(K675*11.55+L675*23.1)*12*30</f>
        <v>8792506.8000000007</v>
      </c>
      <c r="AK675" s="5">
        <f t="shared" si="162"/>
        <v>2092853.1800000002</v>
      </c>
      <c r="AL675" s="146">
        <f t="shared" si="164"/>
        <v>0</v>
      </c>
      <c r="AM675" s="62">
        <v>2092853.18</v>
      </c>
      <c r="AN675" s="30">
        <v>0</v>
      </c>
      <c r="AO675" s="30">
        <v>0</v>
      </c>
      <c r="AP675" s="30">
        <v>0</v>
      </c>
      <c r="AQ675" s="30">
        <v>0</v>
      </c>
      <c r="AR675" s="30"/>
      <c r="AS675" s="62"/>
      <c r="AT675" s="30">
        <v>0</v>
      </c>
      <c r="AU675" s="30">
        <v>0</v>
      </c>
      <c r="AV675" s="30">
        <v>0</v>
      </c>
      <c r="AW675" s="30">
        <v>0</v>
      </c>
      <c r="AX675" s="30">
        <v>0</v>
      </c>
      <c r="AY675" s="30"/>
      <c r="AZ675" s="30"/>
      <c r="BA675" s="156"/>
      <c r="BB675" s="149">
        <f t="shared" si="163"/>
        <v>1</v>
      </c>
    </row>
    <row r="676" spans="1:54" s="142" customFormat="1" ht="15.75" hidden="1">
      <c r="A676" s="10">
        <f t="shared" si="156"/>
        <v>655</v>
      </c>
      <c r="B676" s="12">
        <f t="shared" si="157"/>
        <v>195</v>
      </c>
      <c r="C676" s="12" t="s">
        <v>116</v>
      </c>
      <c r="D676" s="12" t="s">
        <v>559</v>
      </c>
      <c r="E676" s="120" t="s">
        <v>560</v>
      </c>
      <c r="F676" s="120" t="s">
        <v>560</v>
      </c>
      <c r="G676" s="120" t="s">
        <v>3</v>
      </c>
      <c r="H676" s="120" t="s">
        <v>174</v>
      </c>
      <c r="I676" s="120" t="s">
        <v>244</v>
      </c>
      <c r="J676" s="30">
        <v>2491.9</v>
      </c>
      <c r="K676" s="30">
        <v>1556.5</v>
      </c>
      <c r="L676" s="30">
        <v>0</v>
      </c>
      <c r="M676" s="121">
        <v>87</v>
      </c>
      <c r="N676" s="28">
        <f t="shared" si="159"/>
        <v>3000018.44</v>
      </c>
      <c r="O676" s="30">
        <v>0</v>
      </c>
      <c r="P676" s="30">
        <f t="shared" si="160"/>
        <v>0</v>
      </c>
      <c r="Q676" s="143"/>
      <c r="R676" s="31"/>
      <c r="S676" s="30"/>
      <c r="T676" s="31"/>
      <c r="U676" s="31"/>
      <c r="V676" s="146">
        <f t="shared" si="158"/>
        <v>903521.56</v>
      </c>
      <c r="W676" s="145">
        <v>732679.56</v>
      </c>
      <c r="X676" s="145">
        <v>170842</v>
      </c>
      <c r="Y676" s="146">
        <f t="shared" si="161"/>
        <v>2096496.88</v>
      </c>
      <c r="Z676" s="145">
        <v>2096496.88</v>
      </c>
      <c r="AA676" s="145"/>
      <c r="AB676" s="146">
        <f t="shared" si="155"/>
        <v>0</v>
      </c>
      <c r="AC676" s="147"/>
      <c r="AD676" s="147"/>
      <c r="AE676" s="30">
        <v>2744.00899453903</v>
      </c>
      <c r="AF676" s="30">
        <v>1409.2830200640001</v>
      </c>
      <c r="AG676" s="33">
        <v>2024</v>
      </c>
      <c r="AH676" s="98">
        <v>697411.23</v>
      </c>
      <c r="AI676" s="5">
        <f>+(K676*13.95+L676*23.65)*12*0.85</f>
        <v>221474.38499999998</v>
      </c>
      <c r="AJ676" s="5">
        <f>+(K676*13.95+L676*23.65)*12*30</f>
        <v>7816742.9999999991</v>
      </c>
      <c r="AK676" s="5">
        <f t="shared" si="162"/>
        <v>3000018.44</v>
      </c>
      <c r="AL676" s="177">
        <f t="shared" si="164"/>
        <v>0</v>
      </c>
      <c r="AM676" s="62"/>
      <c r="AN676" s="30"/>
      <c r="AO676" s="30"/>
      <c r="AP676" s="30"/>
      <c r="AQ676" s="30"/>
      <c r="AR676" s="30"/>
      <c r="AS676" s="62"/>
      <c r="AT676" s="30">
        <v>2829176.44</v>
      </c>
      <c r="AU676" s="30"/>
      <c r="AV676" s="30"/>
      <c r="AW676" s="30"/>
      <c r="AX676" s="30"/>
      <c r="AY676" s="30">
        <v>128131.5</v>
      </c>
      <c r="AZ676" s="30">
        <v>42710.5</v>
      </c>
      <c r="BA676" s="148"/>
      <c r="BB676" s="149">
        <f t="shared" si="163"/>
        <v>1</v>
      </c>
    </row>
    <row r="677" spans="1:54" ht="15.75" hidden="1">
      <c r="A677" s="10">
        <f t="shared" si="156"/>
        <v>656</v>
      </c>
      <c r="B677" s="12">
        <f t="shared" si="157"/>
        <v>196</v>
      </c>
      <c r="C677" s="101" t="s">
        <v>135</v>
      </c>
      <c r="D677" s="101" t="s">
        <v>390</v>
      </c>
      <c r="E677" s="102">
        <v>1988</v>
      </c>
      <c r="F677" s="102">
        <v>1988</v>
      </c>
      <c r="G677" s="102" t="s">
        <v>3</v>
      </c>
      <c r="H677" s="102">
        <v>5</v>
      </c>
      <c r="I677" s="102">
        <v>4</v>
      </c>
      <c r="J677" s="62">
        <v>5038.3999999999996</v>
      </c>
      <c r="K677" s="62">
        <v>3442.8</v>
      </c>
      <c r="L677" s="62">
        <v>1586</v>
      </c>
      <c r="M677" s="103">
        <v>156</v>
      </c>
      <c r="N677" s="28">
        <f t="shared" si="159"/>
        <v>20201676.859999999</v>
      </c>
      <c r="O677" s="62"/>
      <c r="P677" s="30">
        <f t="shared" si="160"/>
        <v>4419485.67</v>
      </c>
      <c r="Q677" s="161">
        <f>6305336.8-1885851.13</f>
        <v>4419485.67</v>
      </c>
      <c r="R677" s="31"/>
      <c r="S677" s="30"/>
      <c r="T677" s="31"/>
      <c r="U677" s="31"/>
      <c r="V677" s="146">
        <f t="shared" si="158"/>
        <v>518261.55</v>
      </c>
      <c r="W677" s="145">
        <v>518261.55</v>
      </c>
      <c r="X677" s="145"/>
      <c r="Y677" s="146">
        <f t="shared" si="161"/>
        <v>13378078.51</v>
      </c>
      <c r="Z677" s="145">
        <v>13378078.51</v>
      </c>
      <c r="AA677" s="145"/>
      <c r="AB677" s="146">
        <f t="shared" si="155"/>
        <v>1885851.13</v>
      </c>
      <c r="AC677" s="145"/>
      <c r="AD677" s="160">
        <v>1885851.13</v>
      </c>
      <c r="AE677" s="62">
        <v>4863.6380326519302</v>
      </c>
      <c r="AF677" s="62">
        <v>4863.6380326519302</v>
      </c>
      <c r="AG677" s="33">
        <v>2024</v>
      </c>
      <c r="AH677" s="18"/>
      <c r="AI677" s="5">
        <f>+(K677*11.55+L677*23.1)*12*0.85</f>
        <v>779289.58799999999</v>
      </c>
      <c r="AJ677" s="5">
        <f>+(K677*11.55+L677*23.1)*12*30-[3]Лист1!$AQ$113</f>
        <v>15586535.100000001</v>
      </c>
      <c r="AK677" s="5">
        <f t="shared" si="162"/>
        <v>20201676.859999999</v>
      </c>
      <c r="AL677" s="146">
        <f t="shared" si="164"/>
        <v>0</v>
      </c>
      <c r="AM677" s="62">
        <v>14980596.93</v>
      </c>
      <c r="AN677" s="30">
        <v>5221079.93</v>
      </c>
      <c r="AO677" s="30"/>
      <c r="AP677" s="30">
        <v>0</v>
      </c>
      <c r="AQ677" s="30">
        <v>0</v>
      </c>
      <c r="AR677" s="30"/>
      <c r="AS677" s="62"/>
      <c r="AT677" s="30">
        <v>0</v>
      </c>
      <c r="AU677" s="30"/>
      <c r="AV677" s="30">
        <v>0</v>
      </c>
      <c r="AW677" s="30">
        <v>0</v>
      </c>
      <c r="AX677" s="30">
        <v>0</v>
      </c>
      <c r="AY677" s="30"/>
      <c r="AZ677" s="30"/>
      <c r="BA677" s="148"/>
      <c r="BB677" s="149">
        <f t="shared" si="163"/>
        <v>2</v>
      </c>
    </row>
    <row r="678" spans="1:54" ht="15.75" hidden="1">
      <c r="A678" s="10">
        <f t="shared" si="156"/>
        <v>657</v>
      </c>
      <c r="B678" s="12">
        <f t="shared" si="157"/>
        <v>197</v>
      </c>
      <c r="C678" s="101" t="s">
        <v>135</v>
      </c>
      <c r="D678" s="12" t="s">
        <v>561</v>
      </c>
      <c r="E678" s="120">
        <v>1985</v>
      </c>
      <c r="F678" s="120">
        <v>1985</v>
      </c>
      <c r="G678" s="120" t="s">
        <v>3</v>
      </c>
      <c r="H678" s="120">
        <v>5</v>
      </c>
      <c r="I678" s="120">
        <v>1</v>
      </c>
      <c r="J678" s="30">
        <v>3093.6</v>
      </c>
      <c r="K678" s="30">
        <v>1867</v>
      </c>
      <c r="L678" s="30">
        <v>323</v>
      </c>
      <c r="M678" s="121">
        <v>98</v>
      </c>
      <c r="N678" s="28">
        <f t="shared" si="159"/>
        <v>13955750.699999999</v>
      </c>
      <c r="O678" s="30"/>
      <c r="P678" s="30">
        <f t="shared" si="160"/>
        <v>6529489.1200000001</v>
      </c>
      <c r="Q678" s="143">
        <v>6529489.1200000001</v>
      </c>
      <c r="R678" s="31"/>
      <c r="S678" s="30">
        <v>0</v>
      </c>
      <c r="T678" s="31"/>
      <c r="U678" s="31"/>
      <c r="V678" s="146">
        <f t="shared" si="158"/>
        <v>184753.24</v>
      </c>
      <c r="W678" s="145">
        <v>184753.24</v>
      </c>
      <c r="X678" s="145"/>
      <c r="Y678" s="146">
        <f t="shared" si="161"/>
        <v>5886284.3899999997</v>
      </c>
      <c r="Z678" s="145">
        <v>5886284.3899999997</v>
      </c>
      <c r="AA678" s="145"/>
      <c r="AB678" s="146">
        <f t="shared" si="155"/>
        <v>1355223.95</v>
      </c>
      <c r="AC678" s="147"/>
      <c r="AD678" s="145">
        <v>1355223.95</v>
      </c>
      <c r="AE678" s="30">
        <v>11430.4973054944</v>
      </c>
      <c r="AF678" s="30">
        <v>1411.2830200640001</v>
      </c>
      <c r="AG678" s="33">
        <v>2024</v>
      </c>
      <c r="AH678" s="18">
        <v>1373313.01</v>
      </c>
      <c r="AI678" s="5">
        <f>+(K678*11.55+L678*23.1)*12*0.85</f>
        <v>296056.53000000003</v>
      </c>
      <c r="AJ678" s="5">
        <f t="shared" ref="AJ678:AJ688" si="165">+(K678*11.55+L678*23.1)*12*30</f>
        <v>10449054.000000002</v>
      </c>
      <c r="AK678" s="5">
        <f t="shared" si="162"/>
        <v>13955750.699999999</v>
      </c>
      <c r="AL678" s="177">
        <f t="shared" si="164"/>
        <v>0</v>
      </c>
      <c r="AM678" s="62"/>
      <c r="AN678" s="30"/>
      <c r="AO678" s="30">
        <v>0</v>
      </c>
      <c r="AP678" s="30">
        <v>0</v>
      </c>
      <c r="AQ678" s="30">
        <v>0</v>
      </c>
      <c r="AR678" s="30"/>
      <c r="AS678" s="62"/>
      <c r="AT678" s="30">
        <v>0</v>
      </c>
      <c r="AU678" s="30">
        <v>13955750.699999999</v>
      </c>
      <c r="AV678" s="30">
        <v>0</v>
      </c>
      <c r="AW678" s="30">
        <v>0</v>
      </c>
      <c r="AX678" s="30">
        <v>0</v>
      </c>
      <c r="AY678" s="30"/>
      <c r="AZ678" s="30"/>
      <c r="BA678" s="148"/>
      <c r="BB678" s="149">
        <f t="shared" si="163"/>
        <v>1</v>
      </c>
    </row>
    <row r="679" spans="1:54" ht="15.75" hidden="1">
      <c r="A679" s="10">
        <f t="shared" si="156"/>
        <v>658</v>
      </c>
      <c r="B679" s="12">
        <f t="shared" si="157"/>
        <v>198</v>
      </c>
      <c r="C679" s="101" t="s">
        <v>135</v>
      </c>
      <c r="D679" s="101" t="s">
        <v>562</v>
      </c>
      <c r="E679" s="102">
        <v>1987</v>
      </c>
      <c r="F679" s="102">
        <v>1987</v>
      </c>
      <c r="G679" s="102" t="s">
        <v>3</v>
      </c>
      <c r="H679" s="102">
        <v>5</v>
      </c>
      <c r="I679" s="102">
        <v>1</v>
      </c>
      <c r="J679" s="62">
        <v>2928.7</v>
      </c>
      <c r="K679" s="62">
        <v>2372.1</v>
      </c>
      <c r="L679" s="62">
        <v>221.2</v>
      </c>
      <c r="M679" s="103">
        <v>125</v>
      </c>
      <c r="N679" s="28">
        <f t="shared" si="159"/>
        <v>12032759.41</v>
      </c>
      <c r="O679" s="62"/>
      <c r="P679" s="30">
        <f t="shared" si="160"/>
        <v>1688684.4000000001</v>
      </c>
      <c r="Q679" s="160">
        <f>3177127.31-1488442.91</f>
        <v>1688684.4000000001</v>
      </c>
      <c r="R679" s="145"/>
      <c r="S679" s="30"/>
      <c r="T679" s="31"/>
      <c r="U679" s="31"/>
      <c r="V679" s="146">
        <f t="shared" si="158"/>
        <v>1530930.1</v>
      </c>
      <c r="W679" s="145">
        <v>1530930.1</v>
      </c>
      <c r="X679" s="145"/>
      <c r="Y679" s="146">
        <f t="shared" si="161"/>
        <v>7324702</v>
      </c>
      <c r="Z679" s="145">
        <v>7324702</v>
      </c>
      <c r="AA679" s="145"/>
      <c r="AB679" s="146">
        <f t="shared" si="155"/>
        <v>1488442.91</v>
      </c>
      <c r="AC679" s="145"/>
      <c r="AD679" s="160">
        <v>1488442.91</v>
      </c>
      <c r="AE679" s="62">
        <v>4072.6278059615202</v>
      </c>
      <c r="AF679" s="62">
        <v>4072.6278059615202</v>
      </c>
      <c r="AG679" s="33">
        <v>2024</v>
      </c>
      <c r="AH679" s="18">
        <v>1486432.85</v>
      </c>
      <c r="AI679" s="5">
        <f>+(K679*11.55+L679*23.1)*12*0.85</f>
        <v>331576.245</v>
      </c>
      <c r="AJ679" s="5">
        <f t="shared" si="165"/>
        <v>11702691</v>
      </c>
      <c r="AK679" s="5">
        <f t="shared" si="162"/>
        <v>12032759.41</v>
      </c>
      <c r="AL679" s="146">
        <f t="shared" si="164"/>
        <v>0</v>
      </c>
      <c r="AM679" s="62">
        <v>8418964.8000000007</v>
      </c>
      <c r="AN679" s="30">
        <v>3613794.61</v>
      </c>
      <c r="AO679" s="30"/>
      <c r="AP679" s="30"/>
      <c r="AQ679" s="30"/>
      <c r="AR679" s="30"/>
      <c r="AS679" s="62"/>
      <c r="AT679" s="30">
        <v>0</v>
      </c>
      <c r="AU679" s="30"/>
      <c r="AV679" s="30">
        <v>0</v>
      </c>
      <c r="AW679" s="30">
        <v>0</v>
      </c>
      <c r="AX679" s="30">
        <v>0</v>
      </c>
      <c r="AY679" s="30"/>
      <c r="AZ679" s="30"/>
      <c r="BA679" s="148"/>
      <c r="BB679" s="149">
        <f t="shared" si="163"/>
        <v>2</v>
      </c>
    </row>
    <row r="680" spans="1:54" ht="15.75" hidden="1">
      <c r="A680" s="10">
        <f t="shared" si="156"/>
        <v>659</v>
      </c>
      <c r="B680" s="12">
        <f t="shared" si="157"/>
        <v>199</v>
      </c>
      <c r="C680" s="12" t="s">
        <v>564</v>
      </c>
      <c r="D680" s="12" t="s">
        <v>565</v>
      </c>
      <c r="E680" s="120">
        <v>1995</v>
      </c>
      <c r="F680" s="120">
        <v>2009</v>
      </c>
      <c r="G680" s="120" t="s">
        <v>3</v>
      </c>
      <c r="H680" s="120">
        <v>5</v>
      </c>
      <c r="I680" s="120">
        <v>2</v>
      </c>
      <c r="J680" s="30">
        <v>2134.1999999999998</v>
      </c>
      <c r="K680" s="30">
        <v>1911.8</v>
      </c>
      <c r="L680" s="30">
        <v>0</v>
      </c>
      <c r="M680" s="121">
        <v>75</v>
      </c>
      <c r="N680" s="28">
        <f t="shared" si="159"/>
        <v>8636897.6699999999</v>
      </c>
      <c r="O680" s="30"/>
      <c r="P680" s="30">
        <f t="shared" si="160"/>
        <v>501868.43</v>
      </c>
      <c r="Q680" s="154">
        <v>501868.43</v>
      </c>
      <c r="R680" s="145"/>
      <c r="S680" s="30"/>
      <c r="T680" s="31"/>
      <c r="U680" s="31"/>
      <c r="V680" s="146">
        <f t="shared" si="158"/>
        <v>1062863.97</v>
      </c>
      <c r="W680" s="145">
        <v>1062863.97</v>
      </c>
      <c r="X680" s="145"/>
      <c r="Y680" s="146">
        <f t="shared" si="161"/>
        <v>6882480</v>
      </c>
      <c r="Z680" s="145">
        <v>6882480</v>
      </c>
      <c r="AA680" s="145"/>
      <c r="AB680" s="146">
        <f t="shared" si="155"/>
        <v>189685.27</v>
      </c>
      <c r="AC680" s="145"/>
      <c r="AD680" s="147">
        <v>189685.27</v>
      </c>
      <c r="AE680" s="30">
        <v>6539.4710907754697</v>
      </c>
      <c r="AF680" s="30">
        <v>6539.4710907754697</v>
      </c>
      <c r="AG680" s="33">
        <v>2024</v>
      </c>
      <c r="AH680" s="1">
        <v>867860.37</v>
      </c>
      <c r="AI680" s="5">
        <f>+(K680*10+L680*20)*12*0.85</f>
        <v>195003.6</v>
      </c>
      <c r="AJ680" s="5">
        <f t="shared" si="165"/>
        <v>7949264.3999999994</v>
      </c>
      <c r="AK680" s="5">
        <f t="shared" si="162"/>
        <v>8636897.6699999999</v>
      </c>
      <c r="AL680" s="146">
        <f t="shared" si="164"/>
        <v>0</v>
      </c>
      <c r="AM680" s="62">
        <v>0</v>
      </c>
      <c r="AN680" s="30">
        <v>0</v>
      </c>
      <c r="AO680" s="30">
        <v>0</v>
      </c>
      <c r="AP680" s="30">
        <v>0</v>
      </c>
      <c r="AQ680" s="30">
        <v>0</v>
      </c>
      <c r="AR680" s="30"/>
      <c r="AS680" s="62"/>
      <c r="AT680" s="30">
        <v>0</v>
      </c>
      <c r="AU680" s="30">
        <v>8636897.6699999999</v>
      </c>
      <c r="AV680" s="30">
        <v>0</v>
      </c>
      <c r="AW680" s="30">
        <v>0</v>
      </c>
      <c r="AX680" s="30">
        <v>0</v>
      </c>
      <c r="AY680" s="30"/>
      <c r="AZ680" s="30"/>
      <c r="BA680" s="148"/>
      <c r="BB680" s="149">
        <f t="shared" si="163"/>
        <v>1</v>
      </c>
    </row>
    <row r="681" spans="1:54" ht="15.75" hidden="1">
      <c r="A681" s="10">
        <f t="shared" si="156"/>
        <v>660</v>
      </c>
      <c r="B681" s="12">
        <f t="shared" si="157"/>
        <v>200</v>
      </c>
      <c r="C681" s="12" t="s">
        <v>154</v>
      </c>
      <c r="D681" s="12" t="s">
        <v>567</v>
      </c>
      <c r="E681" s="120">
        <v>1989</v>
      </c>
      <c r="F681" s="120">
        <v>2013</v>
      </c>
      <c r="G681" s="120" t="s">
        <v>3</v>
      </c>
      <c r="H681" s="120">
        <v>4</v>
      </c>
      <c r="I681" s="120">
        <v>1</v>
      </c>
      <c r="J681" s="30">
        <v>875.7</v>
      </c>
      <c r="K681" s="30">
        <v>808.7</v>
      </c>
      <c r="L681" s="30">
        <v>67</v>
      </c>
      <c r="M681" s="121">
        <v>23</v>
      </c>
      <c r="N681" s="28">
        <f t="shared" si="159"/>
        <v>3048180.5500000003</v>
      </c>
      <c r="O681" s="30"/>
      <c r="P681" s="30">
        <f t="shared" si="160"/>
        <v>0</v>
      </c>
      <c r="Q681" s="143"/>
      <c r="R681" s="31"/>
      <c r="S681" s="30"/>
      <c r="T681" s="31"/>
      <c r="U681" s="31"/>
      <c r="V681" s="146">
        <f t="shared" si="158"/>
        <v>517323.2</v>
      </c>
      <c r="W681" s="145">
        <v>517323.2</v>
      </c>
      <c r="X681" s="145"/>
      <c r="Y681" s="146">
        <f t="shared" si="161"/>
        <v>2228107.98</v>
      </c>
      <c r="Z681" s="145">
        <v>2228107.98</v>
      </c>
      <c r="AA681" s="145"/>
      <c r="AB681" s="146">
        <f t="shared" si="155"/>
        <v>302749.37</v>
      </c>
      <c r="AC681" s="147"/>
      <c r="AD681" s="145">
        <v>302749.37</v>
      </c>
      <c r="AE681" s="30">
        <v>4085.3723574283399</v>
      </c>
      <c r="AF681" s="30">
        <v>4085.3723574283399</v>
      </c>
      <c r="AG681" s="33">
        <v>2024</v>
      </c>
      <c r="AH681" s="1">
        <v>417752.37</v>
      </c>
      <c r="AI681" s="5">
        <f>+(K681*11.55+L681*23.1)*12*0.85</f>
        <v>111059.48700000001</v>
      </c>
      <c r="AJ681" s="5">
        <f t="shared" si="165"/>
        <v>3919746.6000000006</v>
      </c>
      <c r="AK681" s="5">
        <f t="shared" si="162"/>
        <v>3048180.5500000003</v>
      </c>
      <c r="AL681" s="146">
        <f t="shared" si="164"/>
        <v>0</v>
      </c>
      <c r="AM681" s="62">
        <v>2166569.0499999998</v>
      </c>
      <c r="AN681" s="30">
        <v>316706.14</v>
      </c>
      <c r="AO681" s="30">
        <v>564905.36</v>
      </c>
      <c r="AP681" s="30">
        <v>0</v>
      </c>
      <c r="AQ681" s="30">
        <v>0</v>
      </c>
      <c r="AR681" s="30"/>
      <c r="AS681" s="62"/>
      <c r="AT681" s="30">
        <v>0</v>
      </c>
      <c r="AU681" s="30">
        <v>0</v>
      </c>
      <c r="AV681" s="30">
        <v>0</v>
      </c>
      <c r="AW681" s="30">
        <v>0</v>
      </c>
      <c r="AX681" s="30">
        <v>0</v>
      </c>
      <c r="AY681" s="30"/>
      <c r="AZ681" s="30"/>
      <c r="BA681" s="148"/>
      <c r="BB681" s="149">
        <f t="shared" si="163"/>
        <v>3</v>
      </c>
    </row>
    <row r="682" spans="1:54" ht="15.75" hidden="1">
      <c r="A682" s="10">
        <f t="shared" si="156"/>
        <v>661</v>
      </c>
      <c r="B682" s="12">
        <f t="shared" si="157"/>
        <v>201</v>
      </c>
      <c r="C682" s="12" t="s">
        <v>154</v>
      </c>
      <c r="D682" s="12" t="s">
        <v>569</v>
      </c>
      <c r="E682" s="102">
        <v>1992</v>
      </c>
      <c r="F682" s="102">
        <v>2013</v>
      </c>
      <c r="G682" s="102" t="s">
        <v>3</v>
      </c>
      <c r="H682" s="102">
        <v>5</v>
      </c>
      <c r="I682" s="102">
        <v>3</v>
      </c>
      <c r="J682" s="62">
        <v>3334.6</v>
      </c>
      <c r="K682" s="62">
        <v>2949.9</v>
      </c>
      <c r="L682" s="62">
        <v>0</v>
      </c>
      <c r="M682" s="103">
        <v>91</v>
      </c>
      <c r="N682" s="28">
        <f t="shared" si="159"/>
        <v>5482011.46</v>
      </c>
      <c r="O682" s="30"/>
      <c r="P682" s="30">
        <f t="shared" si="160"/>
        <v>400750.83</v>
      </c>
      <c r="Q682" s="154">
        <v>400750.83</v>
      </c>
      <c r="R682" s="145"/>
      <c r="S682" s="30"/>
      <c r="T682" s="31"/>
      <c r="U682" s="31"/>
      <c r="V682" s="146">
        <f t="shared" si="158"/>
        <v>737264.17</v>
      </c>
      <c r="W682" s="145">
        <v>737264.17</v>
      </c>
      <c r="X682" s="145"/>
      <c r="Y682" s="146">
        <f t="shared" si="161"/>
        <v>4343996.46</v>
      </c>
      <c r="Z682" s="145">
        <v>4343996.46</v>
      </c>
      <c r="AA682" s="145"/>
      <c r="AB682" s="146">
        <f t="shared" si="155"/>
        <v>0</v>
      </c>
      <c r="AC682" s="147"/>
      <c r="AD682" s="147"/>
      <c r="AE682" s="62">
        <v>6090.1892139319998</v>
      </c>
      <c r="AF682" s="62">
        <v>6090.1892139319998</v>
      </c>
      <c r="AG682" s="33">
        <v>2024</v>
      </c>
      <c r="AH682" s="1">
        <v>1192628.99</v>
      </c>
      <c r="AI682" s="5">
        <f>+(K682*10+L682*20)*12*0.85</f>
        <v>300889.8</v>
      </c>
      <c r="AJ682" s="5">
        <f t="shared" si="165"/>
        <v>12265684.200000001</v>
      </c>
      <c r="AK682" s="5">
        <f t="shared" si="162"/>
        <v>5482011.46</v>
      </c>
      <c r="AL682" s="146">
        <f t="shared" si="164"/>
        <v>0</v>
      </c>
      <c r="AM682" s="62"/>
      <c r="AN682" s="30"/>
      <c r="AO682" s="30"/>
      <c r="AP682" s="30"/>
      <c r="AQ682" s="30">
        <v>0</v>
      </c>
      <c r="AR682" s="30"/>
      <c r="AS682" s="62"/>
      <c r="AT682" s="30">
        <v>0</v>
      </c>
      <c r="AU682" s="30">
        <v>0</v>
      </c>
      <c r="AV682" s="30">
        <v>0</v>
      </c>
      <c r="AW682" s="30">
        <v>5482011.46</v>
      </c>
      <c r="AX682" s="30">
        <v>0</v>
      </c>
      <c r="AY682" s="30"/>
      <c r="AZ682" s="30"/>
      <c r="BA682" s="148"/>
      <c r="BB682" s="149">
        <f t="shared" si="163"/>
        <v>1</v>
      </c>
    </row>
    <row r="683" spans="1:54" ht="15.75" hidden="1">
      <c r="A683" s="10">
        <f t="shared" si="156"/>
        <v>662</v>
      </c>
      <c r="B683" s="12">
        <f t="shared" si="157"/>
        <v>202</v>
      </c>
      <c r="C683" s="12" t="s">
        <v>154</v>
      </c>
      <c r="D683" s="12" t="s">
        <v>571</v>
      </c>
      <c r="E683" s="120">
        <v>1993</v>
      </c>
      <c r="F683" s="120">
        <v>2013</v>
      </c>
      <c r="G683" s="120" t="s">
        <v>3</v>
      </c>
      <c r="H683" s="120">
        <v>4</v>
      </c>
      <c r="I683" s="120">
        <v>2</v>
      </c>
      <c r="J683" s="30">
        <v>1957.1</v>
      </c>
      <c r="K683" s="30">
        <v>1782.2</v>
      </c>
      <c r="L683" s="30">
        <v>0</v>
      </c>
      <c r="M683" s="121">
        <v>51</v>
      </c>
      <c r="N683" s="28">
        <f t="shared" si="159"/>
        <v>1064770.57</v>
      </c>
      <c r="O683" s="30"/>
      <c r="P683" s="30">
        <f t="shared" si="160"/>
        <v>0</v>
      </c>
      <c r="Q683" s="154"/>
      <c r="R683" s="145"/>
      <c r="S683" s="30"/>
      <c r="T683" s="31"/>
      <c r="U683" s="31"/>
      <c r="V683" s="146">
        <f t="shared" si="158"/>
        <v>205530.54</v>
      </c>
      <c r="W683" s="145">
        <v>205530.54</v>
      </c>
      <c r="X683" s="145"/>
      <c r="Y683" s="146">
        <f t="shared" si="161"/>
        <v>859240.03</v>
      </c>
      <c r="Z683" s="145">
        <v>859240.03</v>
      </c>
      <c r="AA683" s="145"/>
      <c r="AB683" s="146">
        <f t="shared" si="155"/>
        <v>0</v>
      </c>
      <c r="AC683" s="147"/>
      <c r="AD683" s="147"/>
      <c r="AE683" s="30">
        <v>4359.1523678599497</v>
      </c>
      <c r="AF683" s="30">
        <v>4359.1523678599497</v>
      </c>
      <c r="AG683" s="33">
        <v>2024</v>
      </c>
      <c r="AH683" s="1">
        <v>839929.25</v>
      </c>
      <c r="AI683" s="5">
        <f>+(K683*11.55+L683*23.1)*12*0.85</f>
        <v>209960.98200000002</v>
      </c>
      <c r="AJ683" s="5">
        <f t="shared" si="165"/>
        <v>7410387.6000000015</v>
      </c>
      <c r="AK683" s="5">
        <f t="shared" si="162"/>
        <v>1064770.57</v>
      </c>
      <c r="AL683" s="146">
        <f t="shared" si="164"/>
        <v>0</v>
      </c>
      <c r="AM683" s="62"/>
      <c r="AN683" s="30"/>
      <c r="AO683" s="30">
        <v>1064770.57</v>
      </c>
      <c r="AP683" s="30"/>
      <c r="AQ683" s="30">
        <v>0</v>
      </c>
      <c r="AR683" s="30"/>
      <c r="AS683" s="62"/>
      <c r="AT683" s="30">
        <v>0</v>
      </c>
      <c r="AU683" s="30">
        <v>0</v>
      </c>
      <c r="AV683" s="30">
        <v>0</v>
      </c>
      <c r="AW683" s="30">
        <v>0</v>
      </c>
      <c r="AX683" s="30">
        <v>0</v>
      </c>
      <c r="AY683" s="30"/>
      <c r="AZ683" s="30"/>
      <c r="BA683" s="148"/>
      <c r="BB683" s="149">
        <f t="shared" si="163"/>
        <v>1</v>
      </c>
    </row>
    <row r="684" spans="1:54" ht="15.75" hidden="1">
      <c r="A684" s="10">
        <f t="shared" si="156"/>
        <v>663</v>
      </c>
      <c r="B684" s="12">
        <f t="shared" si="157"/>
        <v>203</v>
      </c>
      <c r="C684" s="12" t="s">
        <v>154</v>
      </c>
      <c r="D684" s="12" t="s">
        <v>573</v>
      </c>
      <c r="E684" s="120">
        <v>1995</v>
      </c>
      <c r="F684" s="120">
        <v>2013</v>
      </c>
      <c r="G684" s="120" t="s">
        <v>3</v>
      </c>
      <c r="H684" s="120">
        <v>5</v>
      </c>
      <c r="I684" s="120">
        <v>3</v>
      </c>
      <c r="J684" s="30">
        <v>3373.2</v>
      </c>
      <c r="K684" s="30">
        <v>2966.3</v>
      </c>
      <c r="L684" s="30">
        <v>0</v>
      </c>
      <c r="M684" s="121">
        <v>107</v>
      </c>
      <c r="N684" s="28">
        <f t="shared" si="159"/>
        <v>8569952.620000001</v>
      </c>
      <c r="O684" s="30"/>
      <c r="P684" s="30">
        <f t="shared" si="160"/>
        <v>0</v>
      </c>
      <c r="Q684" s="143"/>
      <c r="R684" s="31"/>
      <c r="S684" s="30"/>
      <c r="T684" s="31"/>
      <c r="U684" s="31"/>
      <c r="V684" s="146">
        <f t="shared" si="158"/>
        <v>1643881.39</v>
      </c>
      <c r="W684" s="145">
        <v>1643881.39</v>
      </c>
      <c r="X684" s="145"/>
      <c r="Y684" s="146">
        <f t="shared" si="161"/>
        <v>6926071.2300000004</v>
      </c>
      <c r="Z684" s="145">
        <v>6926071.2300000004</v>
      </c>
      <c r="AA684" s="145"/>
      <c r="AB684" s="146">
        <f t="shared" si="155"/>
        <v>0</v>
      </c>
      <c r="AC684" s="147"/>
      <c r="AD684" s="147"/>
      <c r="AE684" s="30">
        <v>3426.5051107440199</v>
      </c>
      <c r="AF684" s="30">
        <v>3426.5051107440199</v>
      </c>
      <c r="AG684" s="33">
        <v>2024</v>
      </c>
      <c r="AH684" s="1">
        <v>1889603.9</v>
      </c>
      <c r="AI684" s="5">
        <f>+(K684*11.55+L684*23.1)*12*0.85</f>
        <v>349459.80300000001</v>
      </c>
      <c r="AJ684" s="5">
        <f t="shared" si="165"/>
        <v>12333875.400000002</v>
      </c>
      <c r="AK684" s="5">
        <f t="shared" si="162"/>
        <v>8569952.620000001</v>
      </c>
      <c r="AL684" s="146">
        <f t="shared" si="164"/>
        <v>0</v>
      </c>
      <c r="AM684" s="62">
        <v>7400420.9400000004</v>
      </c>
      <c r="AN684" s="30">
        <v>1169531.68</v>
      </c>
      <c r="AO684" s="30">
        <v>0</v>
      </c>
      <c r="AP684" s="30"/>
      <c r="AQ684" s="30">
        <v>0</v>
      </c>
      <c r="AR684" s="30"/>
      <c r="AS684" s="62"/>
      <c r="AT684" s="30">
        <v>0</v>
      </c>
      <c r="AU684" s="30">
        <v>0</v>
      </c>
      <c r="AV684" s="30">
        <v>0</v>
      </c>
      <c r="AW684" s="30">
        <v>0</v>
      </c>
      <c r="AX684" s="30">
        <v>0</v>
      </c>
      <c r="AY684" s="30"/>
      <c r="AZ684" s="30"/>
      <c r="BA684" s="148"/>
      <c r="BB684" s="149">
        <f t="shared" si="163"/>
        <v>2</v>
      </c>
    </row>
    <row r="685" spans="1:54" s="142" customFormat="1" ht="15.75" hidden="1">
      <c r="A685" s="10">
        <f t="shared" si="156"/>
        <v>664</v>
      </c>
      <c r="B685" s="12">
        <f t="shared" si="157"/>
        <v>204</v>
      </c>
      <c r="C685" s="12" t="s">
        <v>574</v>
      </c>
      <c r="D685" s="12" t="s">
        <v>575</v>
      </c>
      <c r="E685" s="120" t="s">
        <v>204</v>
      </c>
      <c r="F685" s="120" t="s">
        <v>204</v>
      </c>
      <c r="G685" s="120" t="s">
        <v>3</v>
      </c>
      <c r="H685" s="120" t="s">
        <v>169</v>
      </c>
      <c r="I685" s="120" t="s">
        <v>183</v>
      </c>
      <c r="J685" s="30">
        <v>3412.5</v>
      </c>
      <c r="K685" s="30">
        <v>2249.4</v>
      </c>
      <c r="L685" s="30">
        <v>936.2</v>
      </c>
      <c r="M685" s="121">
        <v>105</v>
      </c>
      <c r="N685" s="28">
        <f t="shared" si="159"/>
        <v>1901235.6</v>
      </c>
      <c r="O685" s="30">
        <v>0</v>
      </c>
      <c r="P685" s="30">
        <f t="shared" si="160"/>
        <v>1459790.82</v>
      </c>
      <c r="Q685" s="154">
        <v>1459790.82</v>
      </c>
      <c r="R685" s="145"/>
      <c r="S685" s="30"/>
      <c r="T685" s="31"/>
      <c r="U685" s="31"/>
      <c r="V685" s="146">
        <f t="shared" si="158"/>
        <v>441444.78</v>
      </c>
      <c r="W685" s="145">
        <v>441444.78</v>
      </c>
      <c r="X685" s="145"/>
      <c r="Y685" s="146">
        <f t="shared" si="161"/>
        <v>0</v>
      </c>
      <c r="Z685" s="31"/>
      <c r="AA685" s="31"/>
      <c r="AB685" s="146">
        <f t="shared" ref="AB685:AB701" si="166">AC685+AD685</f>
        <v>0</v>
      </c>
      <c r="AC685" s="147"/>
      <c r="AD685" s="147"/>
      <c r="AE685" s="30">
        <v>2506.92447791321</v>
      </c>
      <c r="AF685" s="30">
        <v>1416.2830200640001</v>
      </c>
      <c r="AG685" s="33">
        <v>2024</v>
      </c>
      <c r="AH685" s="98">
        <f>906295.96-V360</f>
        <v>396556.24389285594</v>
      </c>
      <c r="AI685" s="5">
        <f>+(K685*10.5+L685*21)*12*0.85</f>
        <v>441444.78</v>
      </c>
      <c r="AJ685" s="5">
        <f t="shared" si="165"/>
        <v>17138444.400000002</v>
      </c>
      <c r="AK685" s="5">
        <f t="shared" si="162"/>
        <v>1901235.6</v>
      </c>
      <c r="AL685" s="177">
        <f t="shared" si="164"/>
        <v>0</v>
      </c>
      <c r="AM685" s="62"/>
      <c r="AN685" s="30"/>
      <c r="AO685" s="30"/>
      <c r="AP685" s="30">
        <v>1901235.6</v>
      </c>
      <c r="AQ685" s="30"/>
      <c r="AR685" s="30"/>
      <c r="AS685" s="62"/>
      <c r="AT685" s="30"/>
      <c r="AU685" s="30"/>
      <c r="AV685" s="30"/>
      <c r="AW685" s="30"/>
      <c r="AX685" s="30"/>
      <c r="AY685" s="30"/>
      <c r="AZ685" s="30"/>
      <c r="BA685" s="148"/>
      <c r="BB685" s="149">
        <f t="shared" si="163"/>
        <v>1</v>
      </c>
    </row>
    <row r="686" spans="1:54" s="142" customFormat="1" ht="15.75" hidden="1">
      <c r="A686" s="10">
        <f t="shared" si="156"/>
        <v>665</v>
      </c>
      <c r="B686" s="12">
        <f t="shared" si="157"/>
        <v>205</v>
      </c>
      <c r="C686" s="12" t="s">
        <v>574</v>
      </c>
      <c r="D686" s="12" t="s">
        <v>576</v>
      </c>
      <c r="E686" s="120" t="s">
        <v>577</v>
      </c>
      <c r="F686" s="120" t="s">
        <v>577</v>
      </c>
      <c r="G686" s="120" t="s">
        <v>3</v>
      </c>
      <c r="H686" s="120">
        <v>5</v>
      </c>
      <c r="I686" s="120" t="s">
        <v>244</v>
      </c>
      <c r="J686" s="30">
        <v>2036.3</v>
      </c>
      <c r="K686" s="30">
        <v>1337.75</v>
      </c>
      <c r="L686" s="30">
        <v>476.4</v>
      </c>
      <c r="M686" s="121">
        <v>93</v>
      </c>
      <c r="N686" s="28">
        <f t="shared" si="159"/>
        <v>2844579.8400000003</v>
      </c>
      <c r="O686" s="30">
        <v>0</v>
      </c>
      <c r="P686" s="30">
        <f t="shared" si="160"/>
        <v>2599261.9300000002</v>
      </c>
      <c r="Q686" s="154">
        <v>2599261.9300000002</v>
      </c>
      <c r="R686" s="145"/>
      <c r="S686" s="30"/>
      <c r="T686" s="31"/>
      <c r="U686" s="31"/>
      <c r="V686" s="146">
        <f t="shared" si="158"/>
        <v>245317.91</v>
      </c>
      <c r="W686" s="145">
        <v>245317.91</v>
      </c>
      <c r="X686" s="145"/>
      <c r="Y686" s="146">
        <f t="shared" si="161"/>
        <v>0</v>
      </c>
      <c r="Z686" s="31"/>
      <c r="AA686" s="31"/>
      <c r="AB686" s="146">
        <f t="shared" si="166"/>
        <v>0</v>
      </c>
      <c r="AC686" s="147"/>
      <c r="AD686" s="147"/>
      <c r="AE686" s="30">
        <v>2665.5098946159501</v>
      </c>
      <c r="AF686" s="30">
        <v>1418.2830200640001</v>
      </c>
      <c r="AG686" s="33">
        <v>2024</v>
      </c>
      <c r="AH686" s="98">
        <f>522102.04-V362</f>
        <v>-245317.90499999997</v>
      </c>
      <c r="AI686" s="5">
        <f>+(K686*10.5+L686*21)*12*0.85</f>
        <v>245317.90500000003</v>
      </c>
      <c r="AJ686" s="5">
        <f t="shared" si="165"/>
        <v>9524106.8999999985</v>
      </c>
      <c r="AK686" s="5">
        <f t="shared" si="162"/>
        <v>2844579.8400000003</v>
      </c>
      <c r="AL686" s="177">
        <f t="shared" si="164"/>
        <v>0</v>
      </c>
      <c r="AM686" s="62"/>
      <c r="AN686" s="30"/>
      <c r="AO686" s="30"/>
      <c r="AP686" s="30">
        <v>2844579.8399999999</v>
      </c>
      <c r="AQ686" s="30"/>
      <c r="AR686" s="30"/>
      <c r="AS686" s="62"/>
      <c r="AT686" s="30"/>
      <c r="AU686" s="30"/>
      <c r="AV686" s="30"/>
      <c r="AW686" s="30"/>
      <c r="AX686" s="30"/>
      <c r="AY686" s="30"/>
      <c r="AZ686" s="30"/>
      <c r="BA686" s="148"/>
      <c r="BB686" s="149">
        <f t="shared" si="163"/>
        <v>1</v>
      </c>
    </row>
    <row r="687" spans="1:54" ht="15.75" hidden="1">
      <c r="A687" s="10">
        <f t="shared" si="156"/>
        <v>666</v>
      </c>
      <c r="B687" s="12">
        <f t="shared" si="157"/>
        <v>206</v>
      </c>
      <c r="C687" s="12" t="s">
        <v>399</v>
      </c>
      <c r="D687" s="12" t="s">
        <v>578</v>
      </c>
      <c r="E687" s="120">
        <v>1974</v>
      </c>
      <c r="F687" s="120">
        <v>1980</v>
      </c>
      <c r="G687" s="120" t="s">
        <v>3</v>
      </c>
      <c r="H687" s="120">
        <v>4</v>
      </c>
      <c r="I687" s="120">
        <v>4</v>
      </c>
      <c r="J687" s="30">
        <v>3718.5</v>
      </c>
      <c r="K687" s="30">
        <v>2628.2</v>
      </c>
      <c r="L687" s="30">
        <v>61.4</v>
      </c>
      <c r="M687" s="121">
        <v>99</v>
      </c>
      <c r="N687" s="28">
        <f t="shared" si="159"/>
        <v>6370834.5</v>
      </c>
      <c r="O687" s="30"/>
      <c r="P687" s="30">
        <f t="shared" si="160"/>
        <v>3189517.78</v>
      </c>
      <c r="Q687" s="154">
        <v>2766291.82</v>
      </c>
      <c r="R687" s="145">
        <v>423225.96</v>
      </c>
      <c r="S687" s="30"/>
      <c r="T687" s="31"/>
      <c r="U687" s="31"/>
      <c r="V687" s="146">
        <f t="shared" si="158"/>
        <v>666056.39</v>
      </c>
      <c r="W687" s="145">
        <v>666056.39</v>
      </c>
      <c r="X687" s="145"/>
      <c r="Y687" s="146">
        <f t="shared" si="161"/>
        <v>2310467.35</v>
      </c>
      <c r="Z687" s="145">
        <v>2310467.35</v>
      </c>
      <c r="AA687" s="145"/>
      <c r="AB687" s="146">
        <f t="shared" si="166"/>
        <v>204792.98</v>
      </c>
      <c r="AC687" s="147"/>
      <c r="AD687" s="145">
        <v>204792.98</v>
      </c>
      <c r="AE687" s="30">
        <v>1389.04454330265</v>
      </c>
      <c r="AF687" s="30">
        <v>1389.04454330265</v>
      </c>
      <c r="AG687" s="33">
        <v>2024</v>
      </c>
      <c r="AH687" s="18">
        <f>1100335.2-V365</f>
        <v>-280602</v>
      </c>
      <c r="AI687" s="5">
        <f>+(K687*10+L687*20)*12*0.85</f>
        <v>280602</v>
      </c>
      <c r="AJ687" s="5">
        <f t="shared" si="165"/>
        <v>11438658</v>
      </c>
      <c r="AK687" s="5">
        <f t="shared" si="162"/>
        <v>6370834.5</v>
      </c>
      <c r="AL687" s="146">
        <f t="shared" si="164"/>
        <v>0</v>
      </c>
      <c r="AM687" s="62">
        <v>3095717.34</v>
      </c>
      <c r="AN687" s="30">
        <v>827311.2</v>
      </c>
      <c r="AO687" s="30"/>
      <c r="AP687" s="30">
        <v>2447805.96</v>
      </c>
      <c r="AQ687" s="30">
        <v>0</v>
      </c>
      <c r="AR687" s="30"/>
      <c r="AS687" s="62"/>
      <c r="AT687" s="30"/>
      <c r="AU687" s="30"/>
      <c r="AV687" s="30">
        <v>0</v>
      </c>
      <c r="AW687" s="30">
        <v>0</v>
      </c>
      <c r="AX687" s="30">
        <v>0</v>
      </c>
      <c r="AY687" s="30"/>
      <c r="AZ687" s="30"/>
      <c r="BA687" s="148"/>
      <c r="BB687" s="149">
        <f t="shared" si="163"/>
        <v>3</v>
      </c>
    </row>
    <row r="688" spans="1:54" ht="15.75" hidden="1">
      <c r="A688" s="10">
        <f t="shared" si="156"/>
        <v>667</v>
      </c>
      <c r="B688" s="12">
        <f t="shared" si="157"/>
        <v>207</v>
      </c>
      <c r="C688" s="101" t="s">
        <v>399</v>
      </c>
      <c r="D688" s="101" t="s">
        <v>402</v>
      </c>
      <c r="E688" s="102">
        <v>1986</v>
      </c>
      <c r="F688" s="102">
        <v>1986</v>
      </c>
      <c r="G688" s="102" t="s">
        <v>3</v>
      </c>
      <c r="H688" s="102">
        <v>4</v>
      </c>
      <c r="I688" s="102">
        <v>4</v>
      </c>
      <c r="J688" s="62">
        <v>3420.4</v>
      </c>
      <c r="K688" s="62">
        <v>2641.9</v>
      </c>
      <c r="L688" s="62">
        <v>0</v>
      </c>
      <c r="M688" s="103">
        <v>102</v>
      </c>
      <c r="N688" s="28">
        <f t="shared" si="159"/>
        <v>6183525.54</v>
      </c>
      <c r="O688" s="62"/>
      <c r="P688" s="30">
        <f t="shared" si="160"/>
        <v>0</v>
      </c>
      <c r="Q688" s="143"/>
      <c r="R688" s="31"/>
      <c r="S688" s="30"/>
      <c r="T688" s="31"/>
      <c r="U688" s="31"/>
      <c r="V688" s="146">
        <f t="shared" si="158"/>
        <v>1403861.2</v>
      </c>
      <c r="W688" s="145">
        <v>1403861.2</v>
      </c>
      <c r="X688" s="145"/>
      <c r="Y688" s="146">
        <f t="shared" si="161"/>
        <v>4779664.34</v>
      </c>
      <c r="Z688" s="145">
        <v>4779664.34</v>
      </c>
      <c r="AA688" s="145"/>
      <c r="AB688" s="146">
        <f t="shared" si="166"/>
        <v>0</v>
      </c>
      <c r="AC688" s="147"/>
      <c r="AD688" s="147"/>
      <c r="AE688" s="62">
        <v>2972.3567682395201</v>
      </c>
      <c r="AF688" s="62">
        <v>2972.3567682395201</v>
      </c>
      <c r="AG688" s="33">
        <v>2024</v>
      </c>
      <c r="AH688" s="1">
        <v>1184809.02</v>
      </c>
      <c r="AI688" s="5">
        <f>+(K688*10+L688*20)*12*0.85</f>
        <v>269473.8</v>
      </c>
      <c r="AJ688" s="5">
        <f t="shared" si="165"/>
        <v>10985020.200000001</v>
      </c>
      <c r="AK688" s="5">
        <f t="shared" si="162"/>
        <v>6183525.54</v>
      </c>
      <c r="AL688" s="146">
        <f t="shared" si="164"/>
        <v>0</v>
      </c>
      <c r="AM688" s="62">
        <v>0</v>
      </c>
      <c r="AN688" s="30">
        <v>0</v>
      </c>
      <c r="AO688" s="30">
        <v>0</v>
      </c>
      <c r="AP688" s="30">
        <v>0</v>
      </c>
      <c r="AQ688" s="30">
        <v>0</v>
      </c>
      <c r="AR688" s="30"/>
      <c r="AS688" s="62"/>
      <c r="AT688" s="30">
        <v>0</v>
      </c>
      <c r="AU688" s="30"/>
      <c r="AV688" s="30">
        <v>0</v>
      </c>
      <c r="AW688" s="30">
        <v>0</v>
      </c>
      <c r="AX688" s="30">
        <v>6183525.54</v>
      </c>
      <c r="AY688" s="30"/>
      <c r="AZ688" s="30"/>
      <c r="BA688" s="148"/>
      <c r="BB688" s="149">
        <f t="shared" si="163"/>
        <v>1</v>
      </c>
    </row>
    <row r="689" spans="1:54" ht="15.75" hidden="1">
      <c r="A689" s="10">
        <f t="shared" si="156"/>
        <v>668</v>
      </c>
      <c r="B689" s="12">
        <f t="shared" si="157"/>
        <v>208</v>
      </c>
      <c r="C689" s="101" t="s">
        <v>580</v>
      </c>
      <c r="D689" s="101" t="s">
        <v>581</v>
      </c>
      <c r="E689" s="102">
        <v>1978</v>
      </c>
      <c r="F689" s="102">
        <v>2012</v>
      </c>
      <c r="G689" s="102" t="s">
        <v>3</v>
      </c>
      <c r="H689" s="102">
        <v>2</v>
      </c>
      <c r="I689" s="102">
        <v>2</v>
      </c>
      <c r="J689" s="62">
        <v>490.77</v>
      </c>
      <c r="K689" s="62">
        <v>162.07</v>
      </c>
      <c r="L689" s="62">
        <v>0</v>
      </c>
      <c r="M689" s="103">
        <v>14</v>
      </c>
      <c r="N689" s="28">
        <f t="shared" si="159"/>
        <v>5015755.25</v>
      </c>
      <c r="O689" s="30"/>
      <c r="P689" s="30">
        <f t="shared" si="160"/>
        <v>0</v>
      </c>
      <c r="Q689" s="160"/>
      <c r="R689" s="145"/>
      <c r="S689" s="30">
        <v>0</v>
      </c>
      <c r="T689" s="31"/>
      <c r="U689" s="31"/>
      <c r="V689" s="146">
        <f t="shared" si="158"/>
        <v>76494.3</v>
      </c>
      <c r="W689" s="145">
        <v>76494.3</v>
      </c>
      <c r="X689" s="145"/>
      <c r="Y689" s="146">
        <f t="shared" si="161"/>
        <v>229482.91</v>
      </c>
      <c r="Z689" s="145">
        <v>229482.91</v>
      </c>
      <c r="AA689" s="145"/>
      <c r="AB689" s="146">
        <f t="shared" si="166"/>
        <v>4709778.04</v>
      </c>
      <c r="AC689" s="147"/>
      <c r="AD689" s="160">
        <v>4709778.04</v>
      </c>
      <c r="AE689" s="30">
        <v>104344.341333991</v>
      </c>
      <c r="AF689" s="30">
        <v>104344.341333991</v>
      </c>
      <c r="AG689" s="33">
        <v>2024</v>
      </c>
      <c r="AI689" s="5">
        <f>+(K689*11.55+L689*23.1)*12*0.85</f>
        <v>19093.466700000001</v>
      </c>
      <c r="AJ689" s="5">
        <f>+(K689*11.55+L689*23.1)*12*30-[3]Лист1!$AQ$239</f>
        <v>-92128.709999999963</v>
      </c>
      <c r="AK689" s="5">
        <f t="shared" si="162"/>
        <v>5015755.25</v>
      </c>
      <c r="AL689" s="146">
        <f t="shared" si="164"/>
        <v>0</v>
      </c>
      <c r="AM689" s="62">
        <v>1472677.42</v>
      </c>
      <c r="AN689" s="30">
        <v>710689.9</v>
      </c>
      <c r="AO689" s="30">
        <v>274938.06</v>
      </c>
      <c r="AP689" s="30">
        <v>418011.7</v>
      </c>
      <c r="AQ689" s="30">
        <v>0</v>
      </c>
      <c r="AR689" s="30"/>
      <c r="AS689" s="62"/>
      <c r="AT689" s="30">
        <v>0</v>
      </c>
      <c r="AU689" s="30"/>
      <c r="AV689" s="30">
        <v>0</v>
      </c>
      <c r="AW689" s="30">
        <v>2139438.17</v>
      </c>
      <c r="AX689" s="62"/>
      <c r="AY689" s="153"/>
      <c r="AZ689" s="153"/>
      <c r="BA689" s="148"/>
      <c r="BB689" s="149">
        <f t="shared" si="163"/>
        <v>5</v>
      </c>
    </row>
    <row r="690" spans="1:54" ht="15.75" hidden="1">
      <c r="A690" s="10">
        <f t="shared" si="156"/>
        <v>669</v>
      </c>
      <c r="B690" s="12">
        <f t="shared" si="157"/>
        <v>209</v>
      </c>
      <c r="C690" s="12" t="s">
        <v>582</v>
      </c>
      <c r="D690" s="12" t="s">
        <v>583</v>
      </c>
      <c r="E690" s="120">
        <v>1980</v>
      </c>
      <c r="F690" s="120">
        <v>2013</v>
      </c>
      <c r="G690" s="120" t="s">
        <v>487</v>
      </c>
      <c r="H690" s="120">
        <v>1</v>
      </c>
      <c r="I690" s="120">
        <v>2</v>
      </c>
      <c r="J690" s="30">
        <v>418.7</v>
      </c>
      <c r="K690" s="30">
        <v>397.3</v>
      </c>
      <c r="L690" s="30">
        <v>0</v>
      </c>
      <c r="M690" s="121">
        <v>19</v>
      </c>
      <c r="N690" s="28">
        <f t="shared" si="159"/>
        <v>1320116.3500000001</v>
      </c>
      <c r="O690" s="30"/>
      <c r="P690" s="30">
        <f t="shared" si="160"/>
        <v>848371.03</v>
      </c>
      <c r="Q690" s="154">
        <v>848371.03</v>
      </c>
      <c r="R690" s="145"/>
      <c r="S690" s="30"/>
      <c r="T690" s="31"/>
      <c r="U690" s="31"/>
      <c r="V690" s="146">
        <f t="shared" si="158"/>
        <v>164200.84</v>
      </c>
      <c r="W690" s="145">
        <v>164200.84</v>
      </c>
      <c r="X690" s="145"/>
      <c r="Y690" s="146">
        <f t="shared" si="161"/>
        <v>307544.48</v>
      </c>
      <c r="Z690" s="145">
        <v>307544.48</v>
      </c>
      <c r="AA690" s="145"/>
      <c r="AB690" s="146">
        <f t="shared" si="166"/>
        <v>0</v>
      </c>
      <c r="AC690" s="147"/>
      <c r="AD690" s="147"/>
      <c r="AE690" s="30">
        <v>10885.508967150199</v>
      </c>
      <c r="AF690" s="30">
        <v>1421.2830200640001</v>
      </c>
      <c r="AG690" s="33">
        <v>2024</v>
      </c>
      <c r="AH690" s="18" t="e">
        <f>185510.57-#REF!</f>
        <v>#REF!</v>
      </c>
      <c r="AI690" s="5">
        <f>+(K690*7.46+L690*20.48)*12*0.85</f>
        <v>30231.351600000002</v>
      </c>
      <c r="AJ690" s="5" t="e">
        <f>+(K690*7.46+L690*20.48)*12*10-#REF!</f>
        <v>#REF!</v>
      </c>
      <c r="AK690" s="5">
        <f t="shared" si="162"/>
        <v>1320116.3500000001</v>
      </c>
      <c r="AL690" s="177">
        <f t="shared" si="164"/>
        <v>0</v>
      </c>
      <c r="AM690" s="62">
        <v>0</v>
      </c>
      <c r="AN690" s="30">
        <v>0</v>
      </c>
      <c r="AO690" s="30">
        <v>0</v>
      </c>
      <c r="AP690" s="30">
        <v>0</v>
      </c>
      <c r="AQ690" s="30">
        <v>0</v>
      </c>
      <c r="AR690" s="30"/>
      <c r="AS690" s="62"/>
      <c r="AT690" s="30">
        <v>0</v>
      </c>
      <c r="AU690" s="30">
        <v>1320116.3500000001</v>
      </c>
      <c r="AV690" s="30">
        <v>0</v>
      </c>
      <c r="AW690" s="30">
        <v>0</v>
      </c>
      <c r="AX690" s="30"/>
      <c r="AY690" s="30"/>
      <c r="AZ690" s="30"/>
      <c r="BA690" s="148"/>
      <c r="BB690" s="149">
        <f t="shared" si="163"/>
        <v>1</v>
      </c>
    </row>
    <row r="691" spans="1:54" ht="15.75" hidden="1">
      <c r="A691" s="10">
        <f t="shared" si="156"/>
        <v>670</v>
      </c>
      <c r="B691" s="12">
        <f t="shared" si="157"/>
        <v>210</v>
      </c>
      <c r="C691" s="101" t="s">
        <v>582</v>
      </c>
      <c r="D691" s="101" t="s">
        <v>585</v>
      </c>
      <c r="E691" s="102">
        <v>1975</v>
      </c>
      <c r="F691" s="102">
        <v>2009</v>
      </c>
      <c r="G691" s="102" t="s">
        <v>487</v>
      </c>
      <c r="H691" s="102">
        <v>2</v>
      </c>
      <c r="I691" s="102">
        <v>3</v>
      </c>
      <c r="J691" s="62">
        <v>588.92999999999995</v>
      </c>
      <c r="K691" s="62">
        <v>526.89</v>
      </c>
      <c r="L691" s="62">
        <v>0</v>
      </c>
      <c r="M691" s="103">
        <v>25</v>
      </c>
      <c r="N691" s="28">
        <f t="shared" si="159"/>
        <v>5596483.3299999991</v>
      </c>
      <c r="O691" s="62"/>
      <c r="P691" s="30">
        <f t="shared" si="160"/>
        <v>3827721.3</v>
      </c>
      <c r="Q691" s="154">
        <v>3827721.3</v>
      </c>
      <c r="R691" s="145"/>
      <c r="S691" s="30"/>
      <c r="T691" s="31"/>
      <c r="U691" s="31"/>
      <c r="V691" s="146">
        <f t="shared" si="158"/>
        <v>212608.82</v>
      </c>
      <c r="W691" s="145">
        <v>212608.82</v>
      </c>
      <c r="X691" s="145"/>
      <c r="Y691" s="146">
        <f t="shared" si="161"/>
        <v>436856.54</v>
      </c>
      <c r="Z691" s="145">
        <v>436856.54</v>
      </c>
      <c r="AA691" s="145"/>
      <c r="AB691" s="146">
        <f t="shared" si="166"/>
        <v>1119296.67</v>
      </c>
      <c r="AC691" s="147"/>
      <c r="AD691" s="145">
        <v>1119296.67</v>
      </c>
      <c r="AE691" s="62">
        <v>12595.9468959365</v>
      </c>
      <c r="AF691" s="62">
        <v>12595.9468959365</v>
      </c>
      <c r="AG691" s="33">
        <v>2024</v>
      </c>
      <c r="AH691" s="1">
        <v>178712.19</v>
      </c>
      <c r="AI691" s="5">
        <f>+(K691*7.1+L691*19.5)*12*0.85</f>
        <v>38157.373800000001</v>
      </c>
      <c r="AJ691" s="5">
        <f>+(K691*7.1+L691*19.5)*12*10</f>
        <v>448910.27999999997</v>
      </c>
      <c r="AK691" s="5">
        <f t="shared" si="162"/>
        <v>5596483.3299999991</v>
      </c>
      <c r="AL691" s="146">
        <f t="shared" si="164"/>
        <v>0</v>
      </c>
      <c r="AM691" s="62">
        <v>710185.51</v>
      </c>
      <c r="AN691" s="30">
        <v>0</v>
      </c>
      <c r="AO691" s="30">
        <v>0</v>
      </c>
      <c r="AP691" s="30">
        <v>391579.08</v>
      </c>
      <c r="AQ691" s="30">
        <v>0</v>
      </c>
      <c r="AR691" s="30"/>
      <c r="AS691" s="62"/>
      <c r="AT691" s="30">
        <v>0</v>
      </c>
      <c r="AU691" s="30">
        <v>1367704.78</v>
      </c>
      <c r="AV691" s="30">
        <v>0</v>
      </c>
      <c r="AW691" s="30">
        <v>3127013.96</v>
      </c>
      <c r="AX691" s="30">
        <v>0</v>
      </c>
      <c r="AY691" s="30"/>
      <c r="AZ691" s="30"/>
      <c r="BA691" s="148"/>
      <c r="BB691" s="149">
        <f t="shared" si="163"/>
        <v>4</v>
      </c>
    </row>
    <row r="692" spans="1:54" ht="15.75" hidden="1">
      <c r="A692" s="10">
        <f t="shared" si="156"/>
        <v>671</v>
      </c>
      <c r="B692" s="12">
        <f t="shared" si="157"/>
        <v>211</v>
      </c>
      <c r="C692" s="12" t="s">
        <v>582</v>
      </c>
      <c r="D692" s="12" t="s">
        <v>586</v>
      </c>
      <c r="E692" s="120">
        <v>1975</v>
      </c>
      <c r="F692" s="120">
        <v>1975</v>
      </c>
      <c r="G692" s="120" t="s">
        <v>487</v>
      </c>
      <c r="H692" s="120">
        <v>2</v>
      </c>
      <c r="I692" s="120">
        <v>2</v>
      </c>
      <c r="J692" s="30">
        <v>404.7</v>
      </c>
      <c r="K692" s="30">
        <v>359</v>
      </c>
      <c r="L692" s="30">
        <v>0</v>
      </c>
      <c r="M692" s="121">
        <v>19</v>
      </c>
      <c r="N692" s="28">
        <f t="shared" si="159"/>
        <v>333999.73</v>
      </c>
      <c r="O692" s="30"/>
      <c r="P692" s="30">
        <f t="shared" si="160"/>
        <v>0</v>
      </c>
      <c r="Q692" s="154"/>
      <c r="R692" s="145"/>
      <c r="S692" s="30"/>
      <c r="T692" s="31"/>
      <c r="U692" s="31"/>
      <c r="V692" s="146">
        <f t="shared" si="158"/>
        <v>153563.35</v>
      </c>
      <c r="W692" s="145">
        <v>153563.35</v>
      </c>
      <c r="X692" s="145"/>
      <c r="Y692" s="146">
        <f t="shared" si="161"/>
        <v>180436.38</v>
      </c>
      <c r="Z692" s="145">
        <v>180436.38</v>
      </c>
      <c r="AA692" s="145"/>
      <c r="AB692" s="146">
        <f t="shared" si="166"/>
        <v>0</v>
      </c>
      <c r="AC692" s="147"/>
      <c r="AD692" s="147"/>
      <c r="AE692" s="30">
        <v>381.66531941042399</v>
      </c>
      <c r="AF692" s="30">
        <v>1422.2830200640001</v>
      </c>
      <c r="AG692" s="33">
        <v>2024</v>
      </c>
      <c r="AH692" s="18">
        <v>0</v>
      </c>
      <c r="AI692" s="5">
        <f>+($K692*8.21+$L692*22.53)*12*0.85</f>
        <v>30063.378000000004</v>
      </c>
      <c r="AJ692" s="5">
        <f>+($K692*8.21+$L692*22.53)*12*10-[3]Лист1!$AQ$242</f>
        <v>22339.810000000056</v>
      </c>
      <c r="AK692" s="5">
        <f t="shared" si="162"/>
        <v>333999.73</v>
      </c>
      <c r="AL692" s="177">
        <f t="shared" si="164"/>
        <v>0</v>
      </c>
      <c r="AM692" s="62">
        <v>0</v>
      </c>
      <c r="AN692" s="30">
        <v>0</v>
      </c>
      <c r="AO692" s="30"/>
      <c r="AP692" s="30">
        <v>0</v>
      </c>
      <c r="AQ692" s="30">
        <v>0</v>
      </c>
      <c r="AR692" s="30"/>
      <c r="AS692" s="62"/>
      <c r="AT692" s="30">
        <v>0</v>
      </c>
      <c r="AU692" s="30">
        <v>0</v>
      </c>
      <c r="AV692" s="30">
        <v>0</v>
      </c>
      <c r="AW692" s="30">
        <v>333999.73</v>
      </c>
      <c r="AX692" s="30">
        <v>0</v>
      </c>
      <c r="AY692" s="30"/>
      <c r="AZ692" s="30"/>
      <c r="BA692" s="148"/>
      <c r="BB692" s="149">
        <f t="shared" si="163"/>
        <v>1</v>
      </c>
    </row>
    <row r="693" spans="1:54" ht="15.75" hidden="1">
      <c r="A693" s="10">
        <f t="shared" ref="A693:A701" si="167">A692+1</f>
        <v>672</v>
      </c>
      <c r="B693" s="12">
        <f t="shared" si="157"/>
        <v>212</v>
      </c>
      <c r="C693" s="12" t="s">
        <v>582</v>
      </c>
      <c r="D693" s="12" t="s">
        <v>587</v>
      </c>
      <c r="E693" s="120">
        <v>1982</v>
      </c>
      <c r="F693" s="120">
        <v>1982</v>
      </c>
      <c r="G693" s="120" t="s">
        <v>487</v>
      </c>
      <c r="H693" s="120">
        <v>2</v>
      </c>
      <c r="I693" s="120">
        <v>3</v>
      </c>
      <c r="J693" s="30">
        <v>1277.5</v>
      </c>
      <c r="K693" s="30">
        <v>1102.3</v>
      </c>
      <c r="L693" s="30">
        <v>0</v>
      </c>
      <c r="M693" s="121">
        <v>34</v>
      </c>
      <c r="N693" s="28">
        <f t="shared" si="159"/>
        <v>6025508.04</v>
      </c>
      <c r="O693" s="30"/>
      <c r="P693" s="30">
        <f t="shared" si="160"/>
        <v>4284721.42</v>
      </c>
      <c r="Q693" s="154">
        <v>4284721.42</v>
      </c>
      <c r="R693" s="145"/>
      <c r="S693" s="30"/>
      <c r="T693" s="31"/>
      <c r="U693" s="31"/>
      <c r="V693" s="146">
        <f t="shared" si="158"/>
        <v>178561.67</v>
      </c>
      <c r="W693" s="145">
        <v>178561.67</v>
      </c>
      <c r="X693" s="145"/>
      <c r="Y693" s="146">
        <f t="shared" si="161"/>
        <v>357123.34</v>
      </c>
      <c r="Z693" s="145">
        <v>357123.34</v>
      </c>
      <c r="AA693" s="145"/>
      <c r="AB693" s="146">
        <f t="shared" si="166"/>
        <v>1205101.6100000001</v>
      </c>
      <c r="AC693" s="147"/>
      <c r="AD693" s="145">
        <v>1205101.6100000001</v>
      </c>
      <c r="AE693" s="30">
        <v>6498.5544985871702</v>
      </c>
      <c r="AF693" s="30">
        <v>1423.2830200640001</v>
      </c>
      <c r="AG693" s="33">
        <v>2024</v>
      </c>
      <c r="AH693" s="18" t="e">
        <f>397322.38-#REF!</f>
        <v>#REF!</v>
      </c>
      <c r="AI693" s="5">
        <f>+(K693*7.46+L693*20.48)*12*0.85</f>
        <v>83876.211599999995</v>
      </c>
      <c r="AJ693" s="5" t="e">
        <f>+(K693*7.46+L693*20.48)*12*10-#REF!</f>
        <v>#REF!</v>
      </c>
      <c r="AK693" s="5">
        <f t="shared" si="162"/>
        <v>6025508.04</v>
      </c>
      <c r="AL693" s="177">
        <f t="shared" si="164"/>
        <v>0</v>
      </c>
      <c r="AM693" s="62"/>
      <c r="AN693" s="30">
        <v>0</v>
      </c>
      <c r="AO693" s="30"/>
      <c r="AP693" s="30"/>
      <c r="AQ693" s="30">
        <v>0</v>
      </c>
      <c r="AR693" s="30"/>
      <c r="AS693" s="62"/>
      <c r="AT693" s="30">
        <v>0</v>
      </c>
      <c r="AU693" s="30"/>
      <c r="AV693" s="30">
        <v>0</v>
      </c>
      <c r="AW693" s="30">
        <v>6025508.04</v>
      </c>
      <c r="AX693" s="30"/>
      <c r="AY693" s="30"/>
      <c r="AZ693" s="30"/>
      <c r="BA693" s="148"/>
      <c r="BB693" s="149">
        <f t="shared" si="163"/>
        <v>1</v>
      </c>
    </row>
    <row r="694" spans="1:54" ht="15.75" hidden="1">
      <c r="A694" s="10">
        <f t="shared" si="167"/>
        <v>673</v>
      </c>
      <c r="B694" s="12">
        <f t="shared" si="157"/>
        <v>213</v>
      </c>
      <c r="C694" s="12" t="s">
        <v>582</v>
      </c>
      <c r="D694" s="12" t="s">
        <v>588</v>
      </c>
      <c r="E694" s="120">
        <v>1980</v>
      </c>
      <c r="F694" s="120">
        <v>2009</v>
      </c>
      <c r="G694" s="120" t="s">
        <v>487</v>
      </c>
      <c r="H694" s="120">
        <v>2</v>
      </c>
      <c r="I694" s="120">
        <v>2</v>
      </c>
      <c r="J694" s="30">
        <v>672.9</v>
      </c>
      <c r="K694" s="30">
        <v>611.1</v>
      </c>
      <c r="L694" s="30">
        <v>0</v>
      </c>
      <c r="M694" s="121">
        <v>29</v>
      </c>
      <c r="N694" s="28">
        <f t="shared" si="159"/>
        <v>5444265.8399999999</v>
      </c>
      <c r="O694" s="30"/>
      <c r="P694" s="30">
        <f t="shared" si="160"/>
        <v>1634734.9</v>
      </c>
      <c r="Q694" s="160">
        <f>4612052.34-2977317.44</f>
        <v>1634734.9</v>
      </c>
      <c r="R694" s="145"/>
      <c r="S694" s="30"/>
      <c r="T694" s="31"/>
      <c r="U694" s="31"/>
      <c r="V694" s="146">
        <f t="shared" si="158"/>
        <v>200749.58</v>
      </c>
      <c r="W694" s="145">
        <v>200749.58</v>
      </c>
      <c r="X694" s="145"/>
      <c r="Y694" s="146">
        <f t="shared" si="161"/>
        <v>468415.7</v>
      </c>
      <c r="Z694" s="145">
        <v>468415.7</v>
      </c>
      <c r="AA694" s="145"/>
      <c r="AB694" s="146">
        <f t="shared" si="166"/>
        <v>3140365.66</v>
      </c>
      <c r="AC694" s="147"/>
      <c r="AD694" s="160">
        <f>163048.22+2977317.44</f>
        <v>3140365.66</v>
      </c>
      <c r="AE694" s="30">
        <v>6970.4680253776796</v>
      </c>
      <c r="AF694" s="30">
        <v>1424.2830200640001</v>
      </c>
      <c r="AG694" s="33">
        <v>2024</v>
      </c>
      <c r="AH694" s="18">
        <v>0</v>
      </c>
      <c r="AI694" s="5">
        <f>+($K694*8.21+$L694*22.53)*12*0.85</f>
        <v>51174.736199999999</v>
      </c>
      <c r="AJ694" s="5">
        <f>+($K694*8.21+$L694*22.53)*12*10-[3]Лист1!$AQ$244</f>
        <v>-16540.030000000028</v>
      </c>
      <c r="AK694" s="5">
        <f t="shared" si="162"/>
        <v>5444265.8399999999</v>
      </c>
      <c r="AL694" s="177">
        <f t="shared" si="164"/>
        <v>0</v>
      </c>
      <c r="AM694" s="62">
        <v>643642.56000000006</v>
      </c>
      <c r="AN694" s="30">
        <v>0</v>
      </c>
      <c r="AO694" s="30">
        <v>0</v>
      </c>
      <c r="AP694" s="30"/>
      <c r="AQ694" s="30">
        <v>0</v>
      </c>
      <c r="AR694" s="30"/>
      <c r="AS694" s="62"/>
      <c r="AT694" s="30">
        <v>0</v>
      </c>
      <c r="AU694" s="30">
        <v>1495444.76</v>
      </c>
      <c r="AV694" s="30">
        <v>0</v>
      </c>
      <c r="AW694" s="30">
        <v>3305178.52</v>
      </c>
      <c r="AX694" s="30"/>
      <c r="AY694" s="30"/>
      <c r="AZ694" s="30"/>
      <c r="BA694" s="148"/>
      <c r="BB694" s="149">
        <f t="shared" si="163"/>
        <v>3</v>
      </c>
    </row>
    <row r="695" spans="1:54" ht="15.75" hidden="1">
      <c r="A695" s="10">
        <f t="shared" si="167"/>
        <v>674</v>
      </c>
      <c r="B695" s="12">
        <f t="shared" ref="B695:B701" si="168">B694+1</f>
        <v>214</v>
      </c>
      <c r="C695" s="101" t="s">
        <v>582</v>
      </c>
      <c r="D695" s="101" t="s">
        <v>590</v>
      </c>
      <c r="E695" s="102">
        <v>1977</v>
      </c>
      <c r="F695" s="102">
        <v>2009</v>
      </c>
      <c r="G695" s="102" t="s">
        <v>487</v>
      </c>
      <c r="H695" s="102">
        <v>2</v>
      </c>
      <c r="I695" s="102">
        <v>2</v>
      </c>
      <c r="J695" s="62">
        <v>513.5</v>
      </c>
      <c r="K695" s="62">
        <v>482.7</v>
      </c>
      <c r="L695" s="62">
        <v>0</v>
      </c>
      <c r="M695" s="103">
        <v>23</v>
      </c>
      <c r="N695" s="28">
        <f t="shared" si="159"/>
        <v>4831521.54</v>
      </c>
      <c r="O695" s="62"/>
      <c r="P695" s="30">
        <f t="shared" si="160"/>
        <v>219906.60000000009</v>
      </c>
      <c r="Q695" s="160">
        <f>3670154.58-3450247.98</f>
        <v>219906.60000000009</v>
      </c>
      <c r="R695" s="145"/>
      <c r="S695" s="30">
        <v>0</v>
      </c>
      <c r="T695" s="31"/>
      <c r="U695" s="31"/>
      <c r="V695" s="146">
        <f t="shared" si="158"/>
        <v>159138.59</v>
      </c>
      <c r="W695" s="145">
        <v>159138.59</v>
      </c>
      <c r="X695" s="145"/>
      <c r="Y695" s="146">
        <f t="shared" si="161"/>
        <v>1002228.37</v>
      </c>
      <c r="Z695" s="145">
        <v>1002228.37</v>
      </c>
      <c r="AA695" s="145"/>
      <c r="AB695" s="146">
        <f t="shared" si="166"/>
        <v>3450247.98</v>
      </c>
      <c r="AC695" s="147"/>
      <c r="AD695" s="160">
        <v>3450247.98</v>
      </c>
      <c r="AE695" s="62">
        <v>12510.2721833017</v>
      </c>
      <c r="AF695" s="62">
        <v>12510.2721833017</v>
      </c>
      <c r="AG695" s="33">
        <v>2024</v>
      </c>
      <c r="AH695" s="1">
        <v>0</v>
      </c>
      <c r="AI695" s="5">
        <f>+($K695*8.21+$L695*22.53)*12*0.85</f>
        <v>40422.263399999996</v>
      </c>
      <c r="AJ695" s="5">
        <f>+($K695*8.21+$L695*22.53)*12*10-[3]Лист1!$AQ$245</f>
        <v>-117356.52000000008</v>
      </c>
      <c r="AK695" s="5">
        <f t="shared" si="162"/>
        <v>4831521.54</v>
      </c>
      <c r="AL695" s="146">
        <f t="shared" si="164"/>
        <v>0</v>
      </c>
      <c r="AM695" s="62">
        <v>712780.99</v>
      </c>
      <c r="AN695" s="30">
        <v>0</v>
      </c>
      <c r="AO695" s="30">
        <v>0</v>
      </c>
      <c r="AP695" s="30"/>
      <c r="AQ695" s="30">
        <v>0</v>
      </c>
      <c r="AR695" s="30"/>
      <c r="AS695" s="62"/>
      <c r="AT695" s="30">
        <v>0</v>
      </c>
      <c r="AU695" s="30">
        <v>1012916.36</v>
      </c>
      <c r="AV695" s="30">
        <v>0</v>
      </c>
      <c r="AW695" s="30">
        <v>3105824.19</v>
      </c>
      <c r="AX695" s="30"/>
      <c r="AY695" s="30"/>
      <c r="AZ695" s="30"/>
      <c r="BA695" s="148"/>
      <c r="BB695" s="149">
        <f t="shared" si="163"/>
        <v>3</v>
      </c>
    </row>
    <row r="696" spans="1:54" ht="15.75" hidden="1">
      <c r="A696" s="10">
        <f t="shared" si="167"/>
        <v>675</v>
      </c>
      <c r="B696" s="12">
        <f t="shared" si="168"/>
        <v>215</v>
      </c>
      <c r="C696" s="12" t="s">
        <v>162</v>
      </c>
      <c r="D696" s="12" t="s">
        <v>591</v>
      </c>
      <c r="E696" s="120">
        <v>1977</v>
      </c>
      <c r="F696" s="120">
        <v>2010</v>
      </c>
      <c r="G696" s="120" t="s">
        <v>3</v>
      </c>
      <c r="H696" s="120">
        <v>4</v>
      </c>
      <c r="I696" s="120">
        <v>4</v>
      </c>
      <c r="J696" s="30">
        <v>4061.6</v>
      </c>
      <c r="K696" s="30">
        <v>3500</v>
      </c>
      <c r="L696" s="30">
        <v>0</v>
      </c>
      <c r="M696" s="121">
        <v>135</v>
      </c>
      <c r="N696" s="28">
        <f t="shared" si="159"/>
        <v>1986359.6600000001</v>
      </c>
      <c r="O696" s="30"/>
      <c r="P696" s="30">
        <f t="shared" si="160"/>
        <v>559272.18000000005</v>
      </c>
      <c r="Q696" s="154">
        <v>559272.18000000005</v>
      </c>
      <c r="R696" s="145"/>
      <c r="S696" s="30"/>
      <c r="T696" s="31"/>
      <c r="U696" s="31"/>
      <c r="V696" s="146">
        <f t="shared" si="158"/>
        <v>1427087.48</v>
      </c>
      <c r="W696" s="145">
        <v>1427087.48</v>
      </c>
      <c r="X696" s="145"/>
      <c r="Y696" s="146">
        <f t="shared" si="161"/>
        <v>0</v>
      </c>
      <c r="Z696" s="145"/>
      <c r="AA696" s="145"/>
      <c r="AB696" s="146">
        <f t="shared" si="166"/>
        <v>0</v>
      </c>
      <c r="AC696" s="147"/>
      <c r="AD696" s="147"/>
      <c r="AE696" s="30">
        <v>311.47553579999999</v>
      </c>
      <c r="AF696" s="30">
        <v>1432.2830200640001</v>
      </c>
      <c r="AG696" s="33">
        <v>2024</v>
      </c>
      <c r="AH696" s="98">
        <v>1438070.25</v>
      </c>
      <c r="AI696" s="5">
        <f>+(K696*11.55+L696*23.1)*12*0.85</f>
        <v>412335</v>
      </c>
      <c r="AJ696" s="5">
        <f>+(K696*11.55+L696*23.1)*12*30</f>
        <v>14553000</v>
      </c>
      <c r="AK696" s="5">
        <f t="shared" si="162"/>
        <v>1986359.6600000001</v>
      </c>
      <c r="AL696" s="177">
        <f t="shared" si="164"/>
        <v>0</v>
      </c>
      <c r="AM696" s="62">
        <v>0</v>
      </c>
      <c r="AN696" s="30">
        <v>0</v>
      </c>
      <c r="AO696" s="30">
        <v>0</v>
      </c>
      <c r="AP696" s="30">
        <v>0</v>
      </c>
      <c r="AQ696" s="30">
        <v>1986359.66</v>
      </c>
      <c r="AR696" s="30"/>
      <c r="AS696" s="62"/>
      <c r="AT696" s="30">
        <v>0</v>
      </c>
      <c r="AU696" s="30">
        <v>0</v>
      </c>
      <c r="AV696" s="30">
        <v>0</v>
      </c>
      <c r="AW696" s="30">
        <v>0</v>
      </c>
      <c r="AX696" s="30">
        <v>0</v>
      </c>
      <c r="AY696" s="153"/>
      <c r="AZ696" s="30"/>
      <c r="BA696" s="156"/>
      <c r="BB696" s="149">
        <f t="shared" si="163"/>
        <v>1</v>
      </c>
    </row>
    <row r="697" spans="1:54" ht="15.75" hidden="1">
      <c r="A697" s="10">
        <f t="shared" si="167"/>
        <v>676</v>
      </c>
      <c r="B697" s="12">
        <f t="shared" si="168"/>
        <v>216</v>
      </c>
      <c r="C697" s="12" t="s">
        <v>162</v>
      </c>
      <c r="D697" s="12" t="s">
        <v>593</v>
      </c>
      <c r="E697" s="120">
        <v>1981</v>
      </c>
      <c r="F697" s="120">
        <v>2010</v>
      </c>
      <c r="G697" s="120" t="s">
        <v>3</v>
      </c>
      <c r="H697" s="120">
        <v>4</v>
      </c>
      <c r="I697" s="120">
        <v>6</v>
      </c>
      <c r="J697" s="30">
        <v>5677</v>
      </c>
      <c r="K697" s="30">
        <v>4920.8</v>
      </c>
      <c r="L697" s="30">
        <v>0</v>
      </c>
      <c r="M697" s="121">
        <v>222</v>
      </c>
      <c r="N697" s="28">
        <f t="shared" si="159"/>
        <v>2702611.31</v>
      </c>
      <c r="O697" s="30"/>
      <c r="P697" s="30">
        <f t="shared" si="160"/>
        <v>0</v>
      </c>
      <c r="Q697" s="143"/>
      <c r="R697" s="31"/>
      <c r="S697" s="30"/>
      <c r="T697" s="31"/>
      <c r="U697" s="31"/>
      <c r="V697" s="146">
        <f t="shared" si="158"/>
        <v>1633202.96</v>
      </c>
      <c r="W697" s="145">
        <v>1633202.96</v>
      </c>
      <c r="X697" s="145"/>
      <c r="Y697" s="146">
        <f t="shared" si="161"/>
        <v>1069408.3500000001</v>
      </c>
      <c r="Z697" s="31">
        <v>1069408.3500000001</v>
      </c>
      <c r="AA697" s="31"/>
      <c r="AB697" s="146">
        <f t="shared" si="166"/>
        <v>0</v>
      </c>
      <c r="AC697" s="147"/>
      <c r="AD697" s="147"/>
      <c r="AE697" s="30">
        <v>339.15578777841</v>
      </c>
      <c r="AF697" s="30">
        <v>1431.2830200640001</v>
      </c>
      <c r="AG697" s="33">
        <v>2024</v>
      </c>
      <c r="AI697" s="5">
        <f>+(K697*11.55+L697*23.1)*12*0.85</f>
        <v>579719.44800000009</v>
      </c>
      <c r="AJ697" s="5">
        <f>+(K697*11.55+L697*23.1)*12*30-[3]Лист1!$AQ$254</f>
        <v>19178510.960000001</v>
      </c>
      <c r="AK697" s="5">
        <f t="shared" si="162"/>
        <v>2702611.31</v>
      </c>
      <c r="AL697" s="177">
        <f t="shared" si="164"/>
        <v>0</v>
      </c>
      <c r="AM697" s="62">
        <v>0</v>
      </c>
      <c r="AN697" s="30">
        <v>0</v>
      </c>
      <c r="AO697" s="30">
        <v>0</v>
      </c>
      <c r="AP697" s="30">
        <v>0</v>
      </c>
      <c r="AQ697" s="30">
        <v>2702611.31</v>
      </c>
      <c r="AR697" s="30"/>
      <c r="AS697" s="62"/>
      <c r="AT697" s="30">
        <v>0</v>
      </c>
      <c r="AU697" s="30">
        <v>0</v>
      </c>
      <c r="AV697" s="30">
        <v>0</v>
      </c>
      <c r="AW697" s="30">
        <v>0</v>
      </c>
      <c r="AX697" s="30">
        <v>0</v>
      </c>
      <c r="AY697" s="153"/>
      <c r="AZ697" s="153"/>
      <c r="BA697" s="148"/>
      <c r="BB697" s="149">
        <f t="shared" si="163"/>
        <v>1</v>
      </c>
    </row>
    <row r="698" spans="1:54" ht="15.75" hidden="1">
      <c r="A698" s="10">
        <f t="shared" si="167"/>
        <v>677</v>
      </c>
      <c r="B698" s="12">
        <f t="shared" si="168"/>
        <v>217</v>
      </c>
      <c r="C698" s="101" t="s">
        <v>162</v>
      </c>
      <c r="D698" s="101" t="s">
        <v>595</v>
      </c>
      <c r="E698" s="102">
        <v>1986</v>
      </c>
      <c r="F698" s="102">
        <v>2010</v>
      </c>
      <c r="G698" s="102" t="s">
        <v>3</v>
      </c>
      <c r="H698" s="102">
        <v>5</v>
      </c>
      <c r="I698" s="102">
        <v>4</v>
      </c>
      <c r="J698" s="62">
        <v>4920.8</v>
      </c>
      <c r="K698" s="62">
        <v>4295.6000000000004</v>
      </c>
      <c r="L698" s="62">
        <v>0</v>
      </c>
      <c r="M698" s="103">
        <v>193</v>
      </c>
      <c r="N698" s="28">
        <f t="shared" si="159"/>
        <v>2298025.2799999998</v>
      </c>
      <c r="O698" s="62"/>
      <c r="P698" s="30">
        <f t="shared" si="160"/>
        <v>0</v>
      </c>
      <c r="Q698" s="143"/>
      <c r="R698" s="31"/>
      <c r="S698" s="30"/>
      <c r="T698" s="31"/>
      <c r="U698" s="31"/>
      <c r="V698" s="146">
        <f t="shared" si="158"/>
        <v>1530056.68</v>
      </c>
      <c r="W698" s="145">
        <v>1530056.68</v>
      </c>
      <c r="X698" s="145"/>
      <c r="Y698" s="146">
        <f t="shared" si="161"/>
        <v>767968.6</v>
      </c>
      <c r="Z698" s="31">
        <v>767968.6</v>
      </c>
      <c r="AA698" s="31"/>
      <c r="AB698" s="146">
        <f t="shared" si="166"/>
        <v>0</v>
      </c>
      <c r="AC698" s="147"/>
      <c r="AD698" s="147"/>
      <c r="AE698" s="30">
        <v>339.567030659279</v>
      </c>
      <c r="AF698" s="30">
        <v>1433.2830200640001</v>
      </c>
      <c r="AG698" s="33">
        <v>2024</v>
      </c>
      <c r="AH698" s="98"/>
      <c r="AI698" s="5">
        <f>+(K698*11.55+L698*23.1)*12*0.85</f>
        <v>506064.63600000012</v>
      </c>
      <c r="AJ698" s="5">
        <f>+(K698*11.55+L698*23.1)*12*30-[3]Лист1!$AQ$255</f>
        <v>13559906.450000005</v>
      </c>
      <c r="AK698" s="5">
        <f t="shared" si="162"/>
        <v>2298025.2799999998</v>
      </c>
      <c r="AL698" s="177">
        <f t="shared" si="164"/>
        <v>0</v>
      </c>
      <c r="AM698" s="62">
        <v>0</v>
      </c>
      <c r="AN698" s="30">
        <v>0</v>
      </c>
      <c r="AO698" s="30">
        <v>0</v>
      </c>
      <c r="AP698" s="30">
        <v>0</v>
      </c>
      <c r="AQ698" s="30">
        <v>2298025.2799999998</v>
      </c>
      <c r="AR698" s="30"/>
      <c r="AS698" s="62"/>
      <c r="AT698" s="30">
        <v>0</v>
      </c>
      <c r="AU698" s="30">
        <v>0</v>
      </c>
      <c r="AV698" s="30">
        <v>0</v>
      </c>
      <c r="AW698" s="30">
        <v>0</v>
      </c>
      <c r="AX698" s="30">
        <v>0</v>
      </c>
      <c r="AY698" s="153"/>
      <c r="AZ698" s="153"/>
      <c r="BA698" s="148"/>
      <c r="BB698" s="149">
        <f t="shared" si="163"/>
        <v>1</v>
      </c>
    </row>
    <row r="699" spans="1:54" ht="15.75" hidden="1">
      <c r="A699" s="10">
        <f t="shared" si="167"/>
        <v>678</v>
      </c>
      <c r="B699" s="12">
        <f t="shared" si="168"/>
        <v>218</v>
      </c>
      <c r="C699" s="205" t="s">
        <v>598</v>
      </c>
      <c r="D699" s="205" t="s">
        <v>599</v>
      </c>
      <c r="E699" s="206">
        <v>1976</v>
      </c>
      <c r="F699" s="206">
        <v>1976</v>
      </c>
      <c r="G699" s="206" t="s">
        <v>3</v>
      </c>
      <c r="H699" s="206">
        <v>2</v>
      </c>
      <c r="I699" s="206">
        <v>1</v>
      </c>
      <c r="J699" s="179">
        <v>394</v>
      </c>
      <c r="K699" s="179">
        <v>375.6</v>
      </c>
      <c r="L699" s="179">
        <v>0</v>
      </c>
      <c r="M699" s="207">
        <v>38</v>
      </c>
      <c r="N699" s="28">
        <f t="shared" si="159"/>
        <v>4166916.4</v>
      </c>
      <c r="O699" s="179"/>
      <c r="P699" s="30">
        <f t="shared" si="160"/>
        <v>2582193.4</v>
      </c>
      <c r="Q699" s="208">
        <v>2582193.4</v>
      </c>
      <c r="R699" s="209"/>
      <c r="S699" s="193"/>
      <c r="T699" s="194"/>
      <c r="U699" s="194"/>
      <c r="V699" s="146">
        <f t="shared" si="158"/>
        <v>164955</v>
      </c>
      <c r="W699" s="209">
        <v>164955</v>
      </c>
      <c r="X699" s="209"/>
      <c r="Y699" s="146">
        <f t="shared" si="161"/>
        <v>1419768</v>
      </c>
      <c r="Z699" s="209">
        <v>1419768</v>
      </c>
      <c r="AA699" s="209"/>
      <c r="AB699" s="146">
        <f t="shared" si="166"/>
        <v>0</v>
      </c>
      <c r="AC699" s="210"/>
      <c r="AD699" s="210"/>
      <c r="AE699" s="193">
        <v>24910.991253969401</v>
      </c>
      <c r="AF699" s="193">
        <v>1439.2830200640001</v>
      </c>
      <c r="AG699" s="211">
        <v>2024</v>
      </c>
      <c r="AH699" s="98"/>
      <c r="AI699" s="5">
        <f>+(K699*11.55+L699*23.1)*12*0.85</f>
        <v>44249.436000000002</v>
      </c>
      <c r="AJ699" s="5">
        <f>+(K699*11.55+L699*23.1)*12*30-[3]Лист1!$AQ$257</f>
        <v>1403092.42</v>
      </c>
      <c r="AK699" s="5">
        <f t="shared" si="162"/>
        <v>4166916.4</v>
      </c>
      <c r="AL699" s="177">
        <f t="shared" si="164"/>
        <v>0</v>
      </c>
      <c r="AM699" s="62">
        <v>959344.45</v>
      </c>
      <c r="AN699" s="30"/>
      <c r="AO699" s="30">
        <v>229438</v>
      </c>
      <c r="AP699" s="30">
        <v>0</v>
      </c>
      <c r="AQ699" s="30">
        <v>0</v>
      </c>
      <c r="AR699" s="30"/>
      <c r="AS699" s="62"/>
      <c r="AT699" s="30">
        <v>0</v>
      </c>
      <c r="AU699" s="30"/>
      <c r="AV699" s="30">
        <v>0</v>
      </c>
      <c r="AW699" s="30">
        <v>1542542.95</v>
      </c>
      <c r="AX699" s="30">
        <v>1435591</v>
      </c>
      <c r="AY699" s="153"/>
      <c r="AZ699" s="153"/>
      <c r="BA699" s="148"/>
      <c r="BB699" s="149">
        <f t="shared" si="163"/>
        <v>4</v>
      </c>
    </row>
    <row r="700" spans="1:54" hidden="1">
      <c r="A700" s="10">
        <f t="shared" si="167"/>
        <v>679</v>
      </c>
      <c r="B700" s="12">
        <f t="shared" si="168"/>
        <v>219</v>
      </c>
      <c r="C700" s="12" t="s">
        <v>185</v>
      </c>
      <c r="D700" s="12" t="s">
        <v>601</v>
      </c>
      <c r="E700" s="206">
        <v>1959</v>
      </c>
      <c r="F700" s="206">
        <v>1959</v>
      </c>
      <c r="G700" s="206" t="s">
        <v>3</v>
      </c>
      <c r="H700" s="206">
        <v>3</v>
      </c>
      <c r="I700" s="206">
        <v>2</v>
      </c>
      <c r="J700" s="62">
        <v>1349.3</v>
      </c>
      <c r="K700" s="62">
        <v>898.8</v>
      </c>
      <c r="L700" s="62">
        <v>450.5</v>
      </c>
      <c r="M700" s="103">
        <v>25</v>
      </c>
      <c r="N700" s="28">
        <f t="shared" si="159"/>
        <v>564707.89</v>
      </c>
      <c r="O700" s="30"/>
      <c r="P700" s="30">
        <f t="shared" si="160"/>
        <v>0</v>
      </c>
      <c r="Q700" s="143"/>
      <c r="R700" s="31"/>
      <c r="S700" s="30"/>
      <c r="T700" s="31"/>
      <c r="U700" s="31"/>
      <c r="V700" s="146">
        <f t="shared" si="158"/>
        <v>0</v>
      </c>
      <c r="W700" s="145"/>
      <c r="X700" s="145"/>
      <c r="Y700" s="146">
        <f t="shared" si="161"/>
        <v>564707.89</v>
      </c>
      <c r="Z700" s="145">
        <v>564707.89</v>
      </c>
      <c r="AA700" s="145"/>
      <c r="AB700" s="146">
        <f t="shared" si="166"/>
        <v>0</v>
      </c>
      <c r="AC700" s="147"/>
      <c r="AD700" s="147"/>
      <c r="AE700" s="30"/>
      <c r="AF700" s="30"/>
      <c r="AG700" s="211">
        <v>2024</v>
      </c>
      <c r="AH700" s="155"/>
      <c r="AL700" s="177">
        <f t="shared" si="164"/>
        <v>0</v>
      </c>
      <c r="AM700" s="62"/>
      <c r="AN700" s="62"/>
      <c r="AO700" s="62"/>
      <c r="AP700" s="62"/>
      <c r="AQ700" s="62"/>
      <c r="AR700" s="62"/>
      <c r="AS700" s="62"/>
      <c r="AT700" s="62"/>
      <c r="AU700" s="62">
        <v>564707.89</v>
      </c>
      <c r="AV700" s="62"/>
      <c r="AW700" s="30"/>
      <c r="AX700" s="62"/>
      <c r="AY700" s="62"/>
      <c r="AZ700" s="62"/>
      <c r="BA700" s="151"/>
    </row>
    <row r="701" spans="1:54" ht="15.75" hidden="1">
      <c r="A701" s="10">
        <f t="shared" si="167"/>
        <v>680</v>
      </c>
      <c r="B701" s="12">
        <f t="shared" si="168"/>
        <v>220</v>
      </c>
      <c r="C701" s="12" t="s">
        <v>185</v>
      </c>
      <c r="D701" s="101" t="s">
        <v>603</v>
      </c>
      <c r="E701" s="102">
        <v>1974</v>
      </c>
      <c r="F701" s="102"/>
      <c r="G701" s="102" t="s">
        <v>487</v>
      </c>
      <c r="H701" s="102">
        <v>2</v>
      </c>
      <c r="I701" s="102">
        <v>2</v>
      </c>
      <c r="J701" s="62">
        <v>541.9</v>
      </c>
      <c r="K701" s="62">
        <v>425.8</v>
      </c>
      <c r="L701" s="62">
        <v>74.5</v>
      </c>
      <c r="M701" s="103">
        <v>24</v>
      </c>
      <c r="N701" s="28">
        <f t="shared" si="159"/>
        <v>166862.48000000001</v>
      </c>
      <c r="O701" s="62"/>
      <c r="P701" s="30">
        <f t="shared" si="160"/>
        <v>0</v>
      </c>
      <c r="Q701" s="143"/>
      <c r="R701" s="31"/>
      <c r="S701" s="30"/>
      <c r="T701" s="31"/>
      <c r="U701" s="31"/>
      <c r="V701" s="146">
        <f t="shared" ref="V701" si="169">W701+X701</f>
        <v>166862.48000000001</v>
      </c>
      <c r="W701" s="145">
        <v>166862.48000000001</v>
      </c>
      <c r="X701" s="145"/>
      <c r="Y701" s="146">
        <f t="shared" si="161"/>
        <v>0</v>
      </c>
      <c r="Z701" s="145"/>
      <c r="AA701" s="145"/>
      <c r="AB701" s="146">
        <f t="shared" si="166"/>
        <v>0</v>
      </c>
      <c r="AC701" s="147"/>
      <c r="AD701" s="147"/>
      <c r="AE701" s="62">
        <v>2872.3168575200398</v>
      </c>
      <c r="AF701" s="62">
        <v>2872.3168575200398</v>
      </c>
      <c r="AG701" s="33">
        <v>2024</v>
      </c>
      <c r="AH701" s="1">
        <v>864557.82</v>
      </c>
      <c r="AI701" s="5">
        <f>+(K701*11.55+L701*23.1)*12*0.85</f>
        <v>67717.187999999995</v>
      </c>
      <c r="AJ701" s="5">
        <f>+(K701*11.55+L701*23.1)*12*30</f>
        <v>2390018.4</v>
      </c>
      <c r="AK701" s="5">
        <f>+N701-AL701</f>
        <v>166862.48000000001</v>
      </c>
      <c r="AL701" s="146">
        <f t="shared" si="164"/>
        <v>0</v>
      </c>
      <c r="AM701" s="62"/>
      <c r="AN701" s="30">
        <v>0</v>
      </c>
      <c r="AO701" s="30">
        <v>112569.58</v>
      </c>
      <c r="AP701" s="30">
        <v>0</v>
      </c>
      <c r="AQ701" s="30">
        <v>0</v>
      </c>
      <c r="AR701" s="30"/>
      <c r="AS701" s="62"/>
      <c r="AT701" s="30">
        <v>0</v>
      </c>
      <c r="AU701" s="30">
        <v>54292.9</v>
      </c>
      <c r="AV701" s="30">
        <v>0</v>
      </c>
      <c r="AW701" s="30">
        <v>0</v>
      </c>
      <c r="AX701" s="30">
        <v>0</v>
      </c>
      <c r="AY701" s="30"/>
      <c r="AZ701" s="30"/>
      <c r="BA701" s="156"/>
      <c r="BB701" s="149">
        <f>COUNTIF(AM701:AX701, "&gt;0")</f>
        <v>2</v>
      </c>
    </row>
    <row r="702" spans="1:54" ht="17.25" hidden="1" customHeight="1">
      <c r="A702" s="212"/>
      <c r="B702" s="212"/>
      <c r="C702" s="212"/>
      <c r="D702" s="213" t="s">
        <v>605</v>
      </c>
      <c r="E702" s="212"/>
      <c r="F702" s="212"/>
      <c r="G702" s="212"/>
      <c r="H702" s="212"/>
      <c r="I702" s="212"/>
      <c r="J702" s="214">
        <v>2309.6</v>
      </c>
      <c r="K702" s="214">
        <v>2138.4</v>
      </c>
      <c r="L702" s="214">
        <v>0</v>
      </c>
      <c r="M702" s="214">
        <v>104</v>
      </c>
      <c r="N702" s="215">
        <f t="shared" si="159"/>
        <v>5419367.75</v>
      </c>
      <c r="O702" s="215"/>
      <c r="P702" s="215">
        <f t="shared" ref="P702:AA702" si="170">SUM(P703:P704)</f>
        <v>4610532.4000000004</v>
      </c>
      <c r="Q702" s="216">
        <f t="shared" si="170"/>
        <v>0</v>
      </c>
      <c r="R702" s="216">
        <f t="shared" si="170"/>
        <v>4610532.4000000004</v>
      </c>
      <c r="S702" s="215">
        <f t="shared" si="170"/>
        <v>0</v>
      </c>
      <c r="T702" s="215">
        <f t="shared" si="170"/>
        <v>0</v>
      </c>
      <c r="U702" s="215">
        <f t="shared" si="170"/>
        <v>0</v>
      </c>
      <c r="V702" s="215">
        <f t="shared" si="170"/>
        <v>315841.26</v>
      </c>
      <c r="W702" s="215">
        <f t="shared" si="170"/>
        <v>0</v>
      </c>
      <c r="X702" s="215">
        <f t="shared" si="170"/>
        <v>0</v>
      </c>
      <c r="Y702" s="215">
        <f t="shared" si="170"/>
        <v>492994.09</v>
      </c>
      <c r="Z702" s="215">
        <f t="shared" si="170"/>
        <v>0</v>
      </c>
      <c r="AA702" s="215">
        <f t="shared" si="170"/>
        <v>0</v>
      </c>
      <c r="AB702" s="215"/>
      <c r="AC702" s="215"/>
      <c r="AD702" s="215"/>
      <c r="AE702" s="212"/>
      <c r="AF702" s="212"/>
      <c r="AG702" s="217"/>
      <c r="AL702" s="218">
        <v>5419367.75</v>
      </c>
      <c r="AM702" s="218">
        <f t="shared" ref="AM702:BA702" si="171">AM703+AM704</f>
        <v>0</v>
      </c>
      <c r="AN702" s="218">
        <f t="shared" si="171"/>
        <v>0</v>
      </c>
      <c r="AO702" s="218">
        <f t="shared" si="171"/>
        <v>0</v>
      </c>
      <c r="AP702" s="218">
        <f t="shared" si="171"/>
        <v>0</v>
      </c>
      <c r="AQ702" s="218">
        <f t="shared" si="171"/>
        <v>0</v>
      </c>
      <c r="AR702" s="218">
        <f t="shared" si="171"/>
        <v>0</v>
      </c>
      <c r="AS702" s="218">
        <f t="shared" si="171"/>
        <v>0</v>
      </c>
      <c r="AT702" s="218">
        <f t="shared" si="171"/>
        <v>0</v>
      </c>
      <c r="AU702" s="218">
        <f t="shared" si="171"/>
        <v>0</v>
      </c>
      <c r="AV702" s="218">
        <f t="shared" si="171"/>
        <v>0</v>
      </c>
      <c r="AW702" s="218">
        <f t="shared" si="171"/>
        <v>0</v>
      </c>
      <c r="AX702" s="218">
        <f t="shared" si="171"/>
        <v>0</v>
      </c>
      <c r="AY702" s="218">
        <f t="shared" si="171"/>
        <v>0</v>
      </c>
      <c r="AZ702" s="218">
        <f t="shared" si="171"/>
        <v>0</v>
      </c>
      <c r="BA702" s="218">
        <f t="shared" si="171"/>
        <v>0</v>
      </c>
      <c r="BB702" s="219"/>
    </row>
    <row r="703" spans="1:54" ht="15.75" hidden="1">
      <c r="A703" s="10" t="s">
        <v>96</v>
      </c>
      <c r="B703" s="12" t="s">
        <v>96</v>
      </c>
      <c r="C703" s="12" t="s">
        <v>484</v>
      </c>
      <c r="D703" s="19" t="s">
        <v>607</v>
      </c>
      <c r="E703" s="189" t="s">
        <v>486</v>
      </c>
      <c r="F703" s="189"/>
      <c r="G703" s="189" t="s">
        <v>487</v>
      </c>
      <c r="H703" s="189" t="s">
        <v>27</v>
      </c>
      <c r="I703" s="189" t="s">
        <v>183</v>
      </c>
      <c r="J703" s="19">
        <v>1154.8</v>
      </c>
      <c r="K703" s="19">
        <v>1069.2</v>
      </c>
      <c r="L703" s="19">
        <v>0</v>
      </c>
      <c r="M703" s="22">
        <v>52</v>
      </c>
      <c r="N703" s="28">
        <f t="shared" si="159"/>
        <v>3901065.96</v>
      </c>
      <c r="O703" s="19"/>
      <c r="P703" s="190">
        <f>Q703+R703</f>
        <v>3262075</v>
      </c>
      <c r="Q703" s="220"/>
      <c r="R703" s="220">
        <v>3262075</v>
      </c>
      <c r="S703" s="190"/>
      <c r="T703" s="144"/>
      <c r="U703" s="144"/>
      <c r="V703" s="221">
        <v>163248.12</v>
      </c>
      <c r="W703" s="191"/>
      <c r="X703" s="191"/>
      <c r="Y703" s="190">
        <v>475742.84</v>
      </c>
      <c r="Z703" s="144"/>
      <c r="AA703" s="144"/>
      <c r="AB703" s="28"/>
      <c r="AC703" s="222"/>
      <c r="AD703" s="222"/>
      <c r="AE703" s="30">
        <v>11976.991230391201</v>
      </c>
      <c r="AF703" s="30">
        <v>11976.991230391201</v>
      </c>
      <c r="AG703" s="33">
        <v>2024</v>
      </c>
      <c r="AH703" s="1">
        <v>367919.13</v>
      </c>
      <c r="AI703" s="5">
        <v>81357.566399999996</v>
      </c>
      <c r="AJ703" s="5">
        <v>1347192</v>
      </c>
      <c r="AK703" s="5">
        <f>+N703-AL703</f>
        <v>0</v>
      </c>
      <c r="AL703" s="177">
        <v>3901065.96</v>
      </c>
      <c r="AM703" s="62"/>
      <c r="AN703" s="30"/>
      <c r="AO703" s="30"/>
      <c r="AP703" s="30"/>
      <c r="AQ703" s="30"/>
      <c r="AR703" s="30"/>
      <c r="AS703" s="62"/>
      <c r="AT703" s="30"/>
      <c r="AU703" s="30"/>
      <c r="AV703" s="30"/>
      <c r="AW703" s="30"/>
      <c r="AX703" s="30"/>
      <c r="AY703" s="30"/>
      <c r="AZ703" s="153"/>
      <c r="BA703" s="148"/>
      <c r="BB703" s="149">
        <f>COUNTIF(AM703:AX703, "&gt;0")</f>
        <v>0</v>
      </c>
    </row>
    <row r="704" spans="1:54" ht="15.75" hidden="1">
      <c r="A704" s="10" t="s">
        <v>96</v>
      </c>
      <c r="B704" s="12" t="s">
        <v>96</v>
      </c>
      <c r="C704" s="12" t="s">
        <v>484</v>
      </c>
      <c r="D704" s="19" t="s">
        <v>485</v>
      </c>
      <c r="E704" s="189" t="s">
        <v>486</v>
      </c>
      <c r="F704" s="189"/>
      <c r="G704" s="189" t="s">
        <v>487</v>
      </c>
      <c r="H704" s="189" t="s">
        <v>27</v>
      </c>
      <c r="I704" s="189" t="s">
        <v>183</v>
      </c>
      <c r="J704" s="19">
        <v>1154.8</v>
      </c>
      <c r="K704" s="19">
        <v>1069.2</v>
      </c>
      <c r="L704" s="19">
        <v>0</v>
      </c>
      <c r="M704" s="22">
        <v>52</v>
      </c>
      <c r="N704" s="28">
        <f t="shared" si="159"/>
        <v>1518301.79</v>
      </c>
      <c r="O704" s="19"/>
      <c r="P704" s="190">
        <f>Q704+R704</f>
        <v>1348457.4</v>
      </c>
      <c r="Q704" s="220"/>
      <c r="R704" s="220">
        <v>1348457.4</v>
      </c>
      <c r="S704" s="190"/>
      <c r="T704" s="144"/>
      <c r="U704" s="144"/>
      <c r="V704" s="221">
        <v>152593.14000000001</v>
      </c>
      <c r="W704" s="191"/>
      <c r="X704" s="191"/>
      <c r="Y704" s="190">
        <v>17251.25</v>
      </c>
      <c r="Z704" s="144"/>
      <c r="AA704" s="144"/>
      <c r="AB704" s="28"/>
      <c r="AC704" s="222"/>
      <c r="AD704" s="222"/>
      <c r="AE704" s="30">
        <v>11976.991230391201</v>
      </c>
      <c r="AF704" s="30">
        <v>11976.991230391201</v>
      </c>
      <c r="AG704" s="33">
        <v>2024</v>
      </c>
      <c r="AH704" s="1">
        <v>367919.13</v>
      </c>
      <c r="AI704" s="5">
        <v>81357.566399999996</v>
      </c>
      <c r="AJ704" s="5">
        <v>1347192</v>
      </c>
      <c r="AK704" s="5">
        <f>+N704-AL704</f>
        <v>0</v>
      </c>
      <c r="AL704" s="177">
        <v>1518301.79</v>
      </c>
      <c r="AM704" s="62"/>
      <c r="AN704" s="30"/>
      <c r="AO704" s="30"/>
      <c r="AP704" s="30"/>
      <c r="AQ704" s="30"/>
      <c r="AR704" s="30"/>
      <c r="AS704" s="62"/>
      <c r="AT704" s="30"/>
      <c r="AU704" s="30"/>
      <c r="AV704" s="30"/>
      <c r="AW704" s="30"/>
      <c r="AX704" s="30"/>
      <c r="AY704" s="30"/>
      <c r="AZ704" s="153"/>
      <c r="BA704" s="148"/>
      <c r="BB704" s="149">
        <f>COUNTIF(AM704:AX704, "&gt;0")</f>
        <v>0</v>
      </c>
    </row>
    <row r="705" spans="1:57" ht="18" hidden="1" customHeight="1">
      <c r="A705" s="223"/>
      <c r="B705" s="224"/>
      <c r="C705" s="225"/>
      <c r="D705" s="133" t="s">
        <v>609</v>
      </c>
      <c r="E705" s="226"/>
      <c r="F705" s="226"/>
      <c r="G705" s="226"/>
      <c r="H705" s="226"/>
      <c r="I705" s="226"/>
      <c r="J705" s="227">
        <v>217398.28</v>
      </c>
      <c r="K705" s="227">
        <v>178751.72</v>
      </c>
      <c r="L705" s="227">
        <v>10114.299999999999</v>
      </c>
      <c r="M705" s="227">
        <v>7723</v>
      </c>
      <c r="N705" s="230">
        <f t="shared" ref="N705:AD705" si="172">SUM(N706:N814)</f>
        <v>706623435.23754036</v>
      </c>
      <c r="O705" s="230">
        <f t="shared" si="172"/>
        <v>0</v>
      </c>
      <c r="P705" s="230">
        <f t="shared" si="172"/>
        <v>0</v>
      </c>
      <c r="Q705" s="231">
        <f t="shared" si="172"/>
        <v>0</v>
      </c>
      <c r="R705" s="231">
        <f t="shared" si="172"/>
        <v>0</v>
      </c>
      <c r="S705" s="231">
        <f t="shared" si="172"/>
        <v>3106710</v>
      </c>
      <c r="T705" s="231">
        <f t="shared" si="172"/>
        <v>0</v>
      </c>
      <c r="U705" s="231">
        <f t="shared" si="172"/>
        <v>3106710</v>
      </c>
      <c r="V705" s="231">
        <f t="shared" si="172"/>
        <v>81513807.288199976</v>
      </c>
      <c r="W705" s="231">
        <f t="shared" si="172"/>
        <v>0</v>
      </c>
      <c r="X705" s="231">
        <f t="shared" si="172"/>
        <v>0</v>
      </c>
      <c r="Y705" s="231">
        <f t="shared" si="172"/>
        <v>478715078.79753995</v>
      </c>
      <c r="Z705" s="231">
        <f t="shared" si="172"/>
        <v>0</v>
      </c>
      <c r="AA705" s="231">
        <f t="shared" si="172"/>
        <v>0</v>
      </c>
      <c r="AB705" s="231">
        <f t="shared" si="172"/>
        <v>143287839.15180001</v>
      </c>
      <c r="AC705" s="231">
        <f t="shared" si="172"/>
        <v>0</v>
      </c>
      <c r="AD705" s="231">
        <f t="shared" si="172"/>
        <v>0</v>
      </c>
      <c r="AE705" s="230"/>
      <c r="AF705" s="230"/>
      <c r="AG705" s="232"/>
      <c r="AH705" s="155"/>
      <c r="AL705" s="233">
        <f>SUM(AL786:AL813)</f>
        <v>2464274.3199999998</v>
      </c>
      <c r="AM705" s="233">
        <f t="shared" ref="AM705:BA705" si="173">SUM(AM739)</f>
        <v>0</v>
      </c>
      <c r="AN705" s="233">
        <f t="shared" si="173"/>
        <v>0</v>
      </c>
      <c r="AO705" s="233">
        <f t="shared" si="173"/>
        <v>1303632.49</v>
      </c>
      <c r="AP705" s="233">
        <f t="shared" si="173"/>
        <v>0</v>
      </c>
      <c r="AQ705" s="233">
        <f t="shared" si="173"/>
        <v>0</v>
      </c>
      <c r="AR705" s="233">
        <f t="shared" si="173"/>
        <v>0</v>
      </c>
      <c r="AS705" s="233">
        <f t="shared" si="173"/>
        <v>0</v>
      </c>
      <c r="AT705" s="233">
        <f t="shared" si="173"/>
        <v>0</v>
      </c>
      <c r="AU705" s="233">
        <f t="shared" si="173"/>
        <v>0</v>
      </c>
      <c r="AV705" s="233">
        <f t="shared" si="173"/>
        <v>0</v>
      </c>
      <c r="AW705" s="233">
        <f t="shared" si="173"/>
        <v>0</v>
      </c>
      <c r="AX705" s="233">
        <f t="shared" si="173"/>
        <v>0</v>
      </c>
      <c r="AY705" s="233">
        <f t="shared" si="173"/>
        <v>0</v>
      </c>
      <c r="AZ705" s="233">
        <f t="shared" si="173"/>
        <v>0</v>
      </c>
      <c r="BA705" s="233">
        <f t="shared" si="173"/>
        <v>0</v>
      </c>
      <c r="BB705" s="149"/>
    </row>
    <row r="706" spans="1:57" ht="15.75" hidden="1">
      <c r="A706" s="234">
        <f>A701+1</f>
        <v>681</v>
      </c>
      <c r="B706" s="101" t="s">
        <v>96</v>
      </c>
      <c r="C706" s="101" t="s">
        <v>171</v>
      </c>
      <c r="D706" s="101" t="s">
        <v>179</v>
      </c>
      <c r="E706" s="102">
        <v>1997</v>
      </c>
      <c r="F706" s="102">
        <v>2013</v>
      </c>
      <c r="G706" s="102" t="s">
        <v>3</v>
      </c>
      <c r="H706" s="102">
        <v>3</v>
      </c>
      <c r="I706" s="102">
        <v>3</v>
      </c>
      <c r="J706" s="62">
        <v>2554.6999999999998</v>
      </c>
      <c r="K706" s="62">
        <v>1158.4000000000001</v>
      </c>
      <c r="L706" s="62">
        <v>157.9</v>
      </c>
      <c r="M706" s="103">
        <v>40</v>
      </c>
      <c r="N706" s="28">
        <f t="shared" ref="N706:N737" si="174">P706+S706+V706+Y706+AB706</f>
        <v>18884780.16</v>
      </c>
      <c r="O706" s="62"/>
      <c r="P706" s="62">
        <f t="shared" ref="P706:P712" si="175">Q706+R706</f>
        <v>0</v>
      </c>
      <c r="Q706" s="235"/>
      <c r="R706" s="235"/>
      <c r="S706" s="62"/>
      <c r="T706" s="236"/>
      <c r="U706" s="236"/>
      <c r="V706" s="28"/>
      <c r="W706" s="235"/>
      <c r="X706" s="235"/>
      <c r="Y706" s="28">
        <v>2925756.27</v>
      </c>
      <c r="Z706" s="235"/>
      <c r="AA706" s="235"/>
      <c r="AB706" s="28">
        <v>15959023.890000001</v>
      </c>
      <c r="AC706" s="28"/>
      <c r="AD706" s="28"/>
      <c r="AE706" s="62">
        <v>7543.5478082503996</v>
      </c>
      <c r="AF706" s="62">
        <v>7543.5478082503996</v>
      </c>
      <c r="AG706" s="33">
        <v>2024</v>
      </c>
      <c r="AH706" s="18"/>
      <c r="AI706" s="5">
        <f>+(K706*12.71+L706*25.41)*12*0.85</f>
        <v>191102.13060000003</v>
      </c>
      <c r="AJ706" s="5">
        <f>+(K706*12.71+L706*25.41)*12*30-[3]Лист1!$AQ$205</f>
        <v>2925756.2700000019</v>
      </c>
      <c r="AK706" s="5">
        <f>+N706-AL706</f>
        <v>18884780.16</v>
      </c>
      <c r="AL706" s="28">
        <f>'Приложение №2'!E704</f>
        <v>0</v>
      </c>
      <c r="AM706" s="62">
        <v>2320624.2799999998</v>
      </c>
      <c r="AN706" s="62">
        <v>1208886.8700000001</v>
      </c>
      <c r="AO706" s="62"/>
      <c r="AP706" s="62"/>
      <c r="AQ706" s="62">
        <v>0</v>
      </c>
      <c r="AR706" s="62"/>
      <c r="AS706" s="62"/>
      <c r="AT706" s="62">
        <v>0</v>
      </c>
      <c r="AU706" s="62">
        <v>4272787.71</v>
      </c>
      <c r="AV706" s="62">
        <v>4924704.8499999996</v>
      </c>
      <c r="AW706" s="62">
        <v>5939807.0499999998</v>
      </c>
      <c r="AX706" s="62"/>
      <c r="AY706" s="62"/>
      <c r="AZ706" s="62"/>
      <c r="BA706" s="151">
        <v>217969.4</v>
      </c>
      <c r="BB706" s="237">
        <f t="shared" ref="BB706:BB737" si="176">COUNTIF(AM706:AX706, "&gt;0")</f>
        <v>5</v>
      </c>
      <c r="BC706" s="1">
        <v>18884780.16</v>
      </c>
    </row>
    <row r="707" spans="1:57" ht="15.75" hidden="1">
      <c r="A707" s="234">
        <f t="shared" ref="A707:A738" si="177">A706+1</f>
        <v>682</v>
      </c>
      <c r="B707" s="101">
        <f>B701+1</f>
        <v>221</v>
      </c>
      <c r="C707" s="101" t="s">
        <v>106</v>
      </c>
      <c r="D707" s="101" t="s">
        <v>109</v>
      </c>
      <c r="E707" s="102">
        <v>1990</v>
      </c>
      <c r="F707" s="102">
        <v>1990</v>
      </c>
      <c r="G707" s="102" t="s">
        <v>3</v>
      </c>
      <c r="H707" s="102">
        <v>5</v>
      </c>
      <c r="I707" s="102">
        <v>6</v>
      </c>
      <c r="J707" s="62">
        <v>5208.7</v>
      </c>
      <c r="K707" s="62">
        <v>4621.34</v>
      </c>
      <c r="L707" s="62">
        <v>0</v>
      </c>
      <c r="M707" s="103">
        <v>183</v>
      </c>
      <c r="N707" s="28">
        <f t="shared" si="174"/>
        <v>10805607.369999999</v>
      </c>
      <c r="O707" s="62"/>
      <c r="P707" s="62">
        <f t="shared" si="175"/>
        <v>0</v>
      </c>
      <c r="Q707" s="235"/>
      <c r="R707" s="235"/>
      <c r="S707" s="62"/>
      <c r="T707" s="236"/>
      <c r="U707" s="236"/>
      <c r="V707" s="28">
        <v>362960.04</v>
      </c>
      <c r="W707" s="235"/>
      <c r="X707" s="235"/>
      <c r="Y707" s="28">
        <v>10442647.33</v>
      </c>
      <c r="Z707" s="235"/>
      <c r="AA707" s="235"/>
      <c r="AB707" s="28"/>
      <c r="AC707" s="28"/>
      <c r="AD707" s="28"/>
      <c r="AE707" s="62">
        <v>7126.2282086177502</v>
      </c>
      <c r="AF707" s="62">
        <v>1181.2830200640001</v>
      </c>
      <c r="AG707" s="33">
        <v>2024</v>
      </c>
      <c r="AH707" s="18"/>
      <c r="AI707" s="5">
        <f>+(K707*12.71+L707*25.41)*12*0.85</f>
        <v>599119.76028000005</v>
      </c>
      <c r="AJ707" s="5">
        <f>+(K707*12.71+L707*25.41)*12*30+[4]Лист1!$BC$5</f>
        <v>16359383.474000005</v>
      </c>
      <c r="AK707" s="5">
        <f>+N707-AL707</f>
        <v>10805607.369999999</v>
      </c>
      <c r="AL707" s="28">
        <f>'Приложение №2'!E705</f>
        <v>0</v>
      </c>
      <c r="AM707" s="62">
        <v>6755517.9199999999</v>
      </c>
      <c r="AN707" s="62"/>
      <c r="AO707" s="62"/>
      <c r="AP707" s="62">
        <v>4050089.45</v>
      </c>
      <c r="AQ707" s="62">
        <v>0</v>
      </c>
      <c r="AR707" s="62"/>
      <c r="AS707" s="62"/>
      <c r="AT707" s="62">
        <v>0</v>
      </c>
      <c r="AU707" s="62">
        <v>0</v>
      </c>
      <c r="AV707" s="62">
        <v>0</v>
      </c>
      <c r="AW707" s="62">
        <v>0</v>
      </c>
      <c r="AX707" s="62"/>
      <c r="AY707" s="62"/>
      <c r="AZ707" s="62"/>
      <c r="BA707" s="151"/>
      <c r="BB707" s="237">
        <f t="shared" si="176"/>
        <v>2</v>
      </c>
    </row>
    <row r="708" spans="1:57" ht="15.75" hidden="1">
      <c r="A708" s="234">
        <f t="shared" si="177"/>
        <v>683</v>
      </c>
      <c r="B708" s="101">
        <f>B707+1</f>
        <v>222</v>
      </c>
      <c r="C708" s="101" t="s">
        <v>114</v>
      </c>
      <c r="D708" s="101" t="s">
        <v>613</v>
      </c>
      <c r="E708" s="102">
        <v>1994</v>
      </c>
      <c r="F708" s="102">
        <v>2017</v>
      </c>
      <c r="G708" s="102" t="s">
        <v>3</v>
      </c>
      <c r="H708" s="102">
        <v>10</v>
      </c>
      <c r="I708" s="102">
        <v>1</v>
      </c>
      <c r="J708" s="62">
        <v>3265.2</v>
      </c>
      <c r="K708" s="62">
        <v>2810.5</v>
      </c>
      <c r="L708" s="62">
        <v>0</v>
      </c>
      <c r="M708" s="103">
        <v>90</v>
      </c>
      <c r="N708" s="28">
        <f t="shared" si="174"/>
        <v>2622854.5099999998</v>
      </c>
      <c r="O708" s="62"/>
      <c r="P708" s="62">
        <f t="shared" si="175"/>
        <v>0</v>
      </c>
      <c r="Q708" s="236"/>
      <c r="R708" s="236"/>
      <c r="S708" s="62"/>
      <c r="T708" s="236"/>
      <c r="U708" s="236"/>
      <c r="V708" s="28">
        <v>786856.35</v>
      </c>
      <c r="W708" s="235"/>
      <c r="X708" s="235"/>
      <c r="Y708" s="28">
        <v>1835998.16</v>
      </c>
      <c r="Z708" s="235"/>
      <c r="AA708" s="235"/>
      <c r="AB708" s="62">
        <v>0</v>
      </c>
      <c r="AC708" s="62"/>
      <c r="AD708" s="62"/>
      <c r="AE708" s="62">
        <v>1190.671234272</v>
      </c>
      <c r="AF708" s="62">
        <v>1207.2830200640001</v>
      </c>
      <c r="AG708" s="33">
        <v>2024</v>
      </c>
      <c r="AH708" s="98"/>
      <c r="AI708" s="5">
        <f>+(K708*16.89+L708*28.62)*12*0.85</f>
        <v>484187.31900000002</v>
      </c>
      <c r="AJ708" s="5">
        <f>+(K708*16.89+L708*28.62)*12*30-[3]Лист1!$AQ$148</f>
        <v>12778520.879999999</v>
      </c>
      <c r="AK708" s="5">
        <f>+N708-AL708</f>
        <v>2622854.5099999998</v>
      </c>
      <c r="AL708" s="28">
        <f>'Приложение №2'!E706</f>
        <v>0</v>
      </c>
      <c r="AM708" s="62">
        <v>0</v>
      </c>
      <c r="AN708" s="62">
        <v>0</v>
      </c>
      <c r="AO708" s="62">
        <v>0</v>
      </c>
      <c r="AP708" s="62">
        <v>0</v>
      </c>
      <c r="AQ708" s="62">
        <v>0</v>
      </c>
      <c r="AR708" s="62"/>
      <c r="AS708" s="62"/>
      <c r="AT708" s="62">
        <v>0</v>
      </c>
      <c r="AU708" s="62">
        <v>2622854.5099999998</v>
      </c>
      <c r="AV708" s="62">
        <v>0</v>
      </c>
      <c r="AW708" s="62">
        <v>0</v>
      </c>
      <c r="AX708" s="62">
        <v>0</v>
      </c>
      <c r="AY708" s="62"/>
      <c r="AZ708" s="62"/>
      <c r="BA708" s="151"/>
      <c r="BB708" s="237">
        <f t="shared" si="176"/>
        <v>1</v>
      </c>
    </row>
    <row r="709" spans="1:57" ht="15.75" hidden="1">
      <c r="A709" s="234">
        <f t="shared" si="177"/>
        <v>684</v>
      </c>
      <c r="B709" s="101" t="s">
        <v>96</v>
      </c>
      <c r="C709" s="101" t="s">
        <v>114</v>
      </c>
      <c r="D709" s="101" t="s">
        <v>273</v>
      </c>
      <c r="E709" s="102">
        <v>1989</v>
      </c>
      <c r="F709" s="102">
        <v>2017</v>
      </c>
      <c r="G709" s="102" t="s">
        <v>3</v>
      </c>
      <c r="H709" s="102">
        <v>10</v>
      </c>
      <c r="I709" s="102">
        <v>1</v>
      </c>
      <c r="J709" s="62">
        <v>3562.9</v>
      </c>
      <c r="K709" s="62">
        <v>3068</v>
      </c>
      <c r="L709" s="62">
        <v>0</v>
      </c>
      <c r="M709" s="103">
        <v>120</v>
      </c>
      <c r="N709" s="28">
        <f t="shared" si="174"/>
        <v>2460076.9699999997</v>
      </c>
      <c r="O709" s="62"/>
      <c r="P709" s="62">
        <f t="shared" si="175"/>
        <v>0</v>
      </c>
      <c r="Q709" s="236"/>
      <c r="R709" s="236"/>
      <c r="S709" s="62"/>
      <c r="T709" s="236"/>
      <c r="U709" s="236"/>
      <c r="V709" s="28">
        <v>695009.07</v>
      </c>
      <c r="W709" s="235"/>
      <c r="X709" s="235"/>
      <c r="Y709" s="28">
        <v>1765067.9</v>
      </c>
      <c r="Z709" s="235"/>
      <c r="AA709" s="235"/>
      <c r="AB709" s="62">
        <v>0</v>
      </c>
      <c r="AC709" s="62"/>
      <c r="AD709" s="62"/>
      <c r="AE709" s="62">
        <v>4712.0233504993703</v>
      </c>
      <c r="AF709" s="62">
        <v>1208.2830200640001</v>
      </c>
      <c r="AG709" s="33">
        <v>2024</v>
      </c>
      <c r="AH709" s="98">
        <f>+[3]Лист1!$BC$149</f>
        <v>468663.01</v>
      </c>
      <c r="AI709" s="5">
        <f>+(K709*16.89+L709*28.62)*12*0.85</f>
        <v>528548.90399999998</v>
      </c>
      <c r="AJ709" s="5">
        <f>+(K709*16.89+L709*28.62)*12*30</f>
        <v>18654667.199999999</v>
      </c>
      <c r="AK709" s="5">
        <f>+N709-AL709</f>
        <v>2460076.9699999997</v>
      </c>
      <c r="AL709" s="28">
        <f>'Приложение №2'!E707</f>
        <v>0</v>
      </c>
      <c r="AM709" s="62"/>
      <c r="AN709" s="62"/>
      <c r="AO709" s="62">
        <v>0</v>
      </c>
      <c r="AP709" s="62">
        <v>0</v>
      </c>
      <c r="AQ709" s="62">
        <v>0</v>
      </c>
      <c r="AR709" s="62"/>
      <c r="AS709" s="62">
        <v>0</v>
      </c>
      <c r="AT709" s="62"/>
      <c r="AU709" s="62">
        <v>2460076.9700000002</v>
      </c>
      <c r="AV709" s="62"/>
      <c r="AW709" s="62">
        <v>0</v>
      </c>
      <c r="AX709" s="62">
        <v>0</v>
      </c>
      <c r="AY709" s="62"/>
      <c r="AZ709" s="62"/>
      <c r="BA709" s="151"/>
      <c r="BB709" s="237">
        <f t="shared" si="176"/>
        <v>1</v>
      </c>
      <c r="BE709" s="5"/>
    </row>
    <row r="710" spans="1:57" ht="15.75" hidden="1">
      <c r="A710" s="234">
        <f t="shared" si="177"/>
        <v>685</v>
      </c>
      <c r="B710" s="101">
        <f>+B708+1</f>
        <v>223</v>
      </c>
      <c r="C710" s="101" t="s">
        <v>114</v>
      </c>
      <c r="D710" s="101" t="s">
        <v>137</v>
      </c>
      <c r="E710" s="102">
        <v>1990</v>
      </c>
      <c r="F710" s="102">
        <v>2017</v>
      </c>
      <c r="G710" s="102" t="s">
        <v>3</v>
      </c>
      <c r="H710" s="102">
        <v>9</v>
      </c>
      <c r="I710" s="102">
        <v>2</v>
      </c>
      <c r="J710" s="62">
        <v>9044.7000000000007</v>
      </c>
      <c r="K710" s="62">
        <v>7731.7</v>
      </c>
      <c r="L710" s="62">
        <v>0</v>
      </c>
      <c r="M710" s="103">
        <v>294</v>
      </c>
      <c r="N710" s="28">
        <f t="shared" si="174"/>
        <v>4022669.56</v>
      </c>
      <c r="O710" s="62"/>
      <c r="P710" s="62">
        <f t="shared" si="175"/>
        <v>0</v>
      </c>
      <c r="Q710" s="236"/>
      <c r="R710" s="236"/>
      <c r="S710" s="62"/>
      <c r="T710" s="236"/>
      <c r="U710" s="236"/>
      <c r="V710" s="28">
        <v>1210552.27</v>
      </c>
      <c r="W710" s="235"/>
      <c r="X710" s="235"/>
      <c r="Y710" s="28">
        <v>2812117.29</v>
      </c>
      <c r="Z710" s="235"/>
      <c r="AA710" s="235"/>
      <c r="AB710" s="62"/>
      <c r="AC710" s="62"/>
      <c r="AD710" s="62"/>
      <c r="AE710" s="62">
        <v>635.890939165021</v>
      </c>
      <c r="AF710" s="62">
        <v>635.890939165021</v>
      </c>
      <c r="AG710" s="33">
        <v>2024</v>
      </c>
      <c r="AI710" s="5">
        <f>+(K710*16.89+L710*28.62)*12*0.85</f>
        <v>1332001.8126000001</v>
      </c>
      <c r="AJ710" s="5">
        <f>+(K710*16.89+L710*28.62)*12*30-[3]Лист1!$AQ$151</f>
        <v>35988037.539999999</v>
      </c>
      <c r="AL710" s="28">
        <f>'Приложение №2'!E708</f>
        <v>0</v>
      </c>
      <c r="AM710" s="62"/>
      <c r="AN710" s="62"/>
      <c r="AO710" s="62"/>
      <c r="AP710" s="62"/>
      <c r="AQ710" s="62">
        <v>0</v>
      </c>
      <c r="AR710" s="62"/>
      <c r="AS710" s="62"/>
      <c r="AT710" s="62">
        <v>0</v>
      </c>
      <c r="AU710" s="62">
        <v>0</v>
      </c>
      <c r="AV710" s="62">
        <v>3968655.74</v>
      </c>
      <c r="AW710" s="62">
        <v>0</v>
      </c>
      <c r="AX710" s="62">
        <v>0</v>
      </c>
      <c r="AY710" s="62"/>
      <c r="AZ710" s="62"/>
      <c r="BA710" s="151"/>
      <c r="BB710" s="237">
        <f t="shared" si="176"/>
        <v>1</v>
      </c>
      <c r="BE710" s="5"/>
    </row>
    <row r="711" spans="1:57" ht="15.75" hidden="1">
      <c r="A711" s="234">
        <f t="shared" si="177"/>
        <v>686</v>
      </c>
      <c r="B711" s="101" t="s">
        <v>96</v>
      </c>
      <c r="C711" s="101" t="s">
        <v>114</v>
      </c>
      <c r="D711" s="101" t="s">
        <v>295</v>
      </c>
      <c r="E711" s="102">
        <v>1995</v>
      </c>
      <c r="F711" s="102">
        <v>2002</v>
      </c>
      <c r="G711" s="102" t="s">
        <v>3</v>
      </c>
      <c r="H711" s="102">
        <v>10</v>
      </c>
      <c r="I711" s="102">
        <v>1</v>
      </c>
      <c r="J711" s="62">
        <v>3274.9</v>
      </c>
      <c r="K711" s="62">
        <v>3274.9</v>
      </c>
      <c r="L711" s="62">
        <v>0</v>
      </c>
      <c r="M711" s="103">
        <v>107</v>
      </c>
      <c r="N711" s="28">
        <f t="shared" si="174"/>
        <v>6516218</v>
      </c>
      <c r="O711" s="62"/>
      <c r="P711" s="62">
        <f t="shared" si="175"/>
        <v>0</v>
      </c>
      <c r="Q711" s="236"/>
      <c r="R711" s="236"/>
      <c r="S711" s="62"/>
      <c r="T711" s="236"/>
      <c r="U711" s="236"/>
      <c r="V711" s="28">
        <v>1530938.1</v>
      </c>
      <c r="W711" s="235"/>
      <c r="X711" s="235"/>
      <c r="Y711" s="28">
        <v>4985279.9000000004</v>
      </c>
      <c r="Z711" s="235"/>
      <c r="AA711" s="235"/>
      <c r="AB711" s="62"/>
      <c r="AC711" s="62"/>
      <c r="AD711" s="62"/>
      <c r="AE711" s="62">
        <v>2458.6706249324002</v>
      </c>
      <c r="AF711" s="62">
        <v>2458.6706249324002</v>
      </c>
      <c r="AG711" s="33">
        <v>2024</v>
      </c>
      <c r="AI711" s="5">
        <f>+(K711*16.89+L711*28.62)*12*0.85</f>
        <v>564193.22220000008</v>
      </c>
      <c r="AJ711" s="5">
        <f>+(K711*16.89+L711*28.62)*12*30-[3]Лист1!$AQ$166</f>
        <v>17619826.219999999</v>
      </c>
      <c r="AK711" s="5">
        <f>N711-AL711</f>
        <v>6516218</v>
      </c>
      <c r="AL711" s="28">
        <f>'Приложение №2'!E709</f>
        <v>0</v>
      </c>
      <c r="AM711" s="62">
        <v>6483838.3799999999</v>
      </c>
      <c r="AN711" s="62">
        <v>0</v>
      </c>
      <c r="AO711" s="62">
        <v>0</v>
      </c>
      <c r="AP711" s="62"/>
      <c r="AQ711" s="62">
        <v>0</v>
      </c>
      <c r="AR711" s="62"/>
      <c r="AS711" s="62"/>
      <c r="AT711" s="62">
        <v>0</v>
      </c>
      <c r="AU711" s="62">
        <v>0</v>
      </c>
      <c r="AV711" s="62"/>
      <c r="AW711" s="62">
        <v>0</v>
      </c>
      <c r="AX711" s="62">
        <v>0</v>
      </c>
      <c r="AY711" s="62"/>
      <c r="AZ711" s="62"/>
      <c r="BA711" s="151"/>
      <c r="BB711" s="237">
        <f t="shared" si="176"/>
        <v>1</v>
      </c>
    </row>
    <row r="712" spans="1:57" ht="15.75" hidden="1">
      <c r="A712" s="234">
        <f t="shared" si="177"/>
        <v>687</v>
      </c>
      <c r="B712" s="101">
        <f>B710+1</f>
        <v>224</v>
      </c>
      <c r="C712" s="101" t="s">
        <v>114</v>
      </c>
      <c r="D712" s="101" t="s">
        <v>617</v>
      </c>
      <c r="E712" s="102">
        <v>1979</v>
      </c>
      <c r="F712" s="102">
        <v>2015</v>
      </c>
      <c r="G712" s="102" t="s">
        <v>3</v>
      </c>
      <c r="H712" s="102">
        <v>5</v>
      </c>
      <c r="I712" s="102">
        <v>4</v>
      </c>
      <c r="J712" s="62">
        <v>4063.4</v>
      </c>
      <c r="K712" s="62">
        <v>3700.2</v>
      </c>
      <c r="L712" s="62">
        <v>117.2</v>
      </c>
      <c r="M712" s="103">
        <v>192</v>
      </c>
      <c r="N712" s="28">
        <f t="shared" si="174"/>
        <v>9248464.3399999999</v>
      </c>
      <c r="O712" s="62"/>
      <c r="P712" s="62">
        <f t="shared" si="175"/>
        <v>0</v>
      </c>
      <c r="Q712" s="235"/>
      <c r="R712" s="235"/>
      <c r="S712" s="62"/>
      <c r="T712" s="236"/>
      <c r="U712" s="236"/>
      <c r="V712" s="28">
        <v>463535.23</v>
      </c>
      <c r="W712" s="235"/>
      <c r="X712" s="235"/>
      <c r="Y712" s="28">
        <v>8784929.1099999994</v>
      </c>
      <c r="Z712" s="235"/>
      <c r="AA712" s="235"/>
      <c r="AB712" s="28"/>
      <c r="AC712" s="28"/>
      <c r="AD712" s="28"/>
      <c r="AE712" s="62">
        <v>3776.0589306153202</v>
      </c>
      <c r="AF712" s="62">
        <v>1222.2830200640001</v>
      </c>
      <c r="AG712" s="33">
        <v>2024</v>
      </c>
      <c r="AI712" s="5">
        <f>+(K712*12.71+L712*25.41)*12*0.85</f>
        <v>510077.45880000002</v>
      </c>
      <c r="AJ712" s="5">
        <f>+(K712*12.71+L712*25.41)*12*30-[3]Лист1!$AQ$172</f>
        <v>14550308.74</v>
      </c>
      <c r="AL712" s="28">
        <f>'Приложение №2'!E710</f>
        <v>0</v>
      </c>
      <c r="AM712" s="62">
        <v>0</v>
      </c>
      <c r="AN712" s="62">
        <v>0</v>
      </c>
      <c r="AO712" s="62">
        <v>0</v>
      </c>
      <c r="AP712" s="62">
        <v>0</v>
      </c>
      <c r="AQ712" s="62">
        <v>0</v>
      </c>
      <c r="AR712" s="62"/>
      <c r="AS712" s="62"/>
      <c r="AT712" s="62">
        <v>0</v>
      </c>
      <c r="AU712" s="62">
        <v>9169688.3499999996</v>
      </c>
      <c r="AV712" s="62">
        <v>0</v>
      </c>
      <c r="AW712" s="62">
        <v>0</v>
      </c>
      <c r="AX712" s="62">
        <v>0</v>
      </c>
      <c r="AY712" s="62"/>
      <c r="AZ712" s="62"/>
      <c r="BA712" s="151"/>
      <c r="BB712" s="237">
        <f t="shared" si="176"/>
        <v>1</v>
      </c>
      <c r="BE712" s="5"/>
    </row>
    <row r="713" spans="1:57" ht="15.75" hidden="1">
      <c r="A713" s="234">
        <f t="shared" si="177"/>
        <v>688</v>
      </c>
      <c r="B713" s="101" t="s">
        <v>96</v>
      </c>
      <c r="C713" s="101" t="s">
        <v>114</v>
      </c>
      <c r="D713" s="101" t="s">
        <v>312</v>
      </c>
      <c r="E713" s="102">
        <v>1992</v>
      </c>
      <c r="F713" s="102">
        <v>1992</v>
      </c>
      <c r="G713" s="102" t="s">
        <v>3</v>
      </c>
      <c r="H713" s="102">
        <v>2</v>
      </c>
      <c r="I713" s="102">
        <v>8</v>
      </c>
      <c r="J713" s="62">
        <v>962.7</v>
      </c>
      <c r="K713" s="62">
        <v>961.6</v>
      </c>
      <c r="L713" s="62">
        <v>0</v>
      </c>
      <c r="M713" s="103">
        <v>42</v>
      </c>
      <c r="N713" s="28">
        <f t="shared" si="174"/>
        <v>5103601.5399999991</v>
      </c>
      <c r="O713" s="62"/>
      <c r="P713" s="62"/>
      <c r="Q713" s="235"/>
      <c r="R713" s="235"/>
      <c r="S713" s="62"/>
      <c r="T713" s="236"/>
      <c r="U713" s="236"/>
      <c r="V713" s="28">
        <v>264678.12</v>
      </c>
      <c r="W713" s="235"/>
      <c r="X713" s="235"/>
      <c r="Y713" s="28">
        <v>4399896.96</v>
      </c>
      <c r="Z713" s="235"/>
      <c r="AA713" s="235"/>
      <c r="AB713" s="28">
        <v>439026.45999999897</v>
      </c>
      <c r="AC713" s="28"/>
      <c r="AD713" s="28"/>
      <c r="AE713" s="62">
        <v>22867.4703734881</v>
      </c>
      <c r="AF713" s="62">
        <v>1227.2830200640001</v>
      </c>
      <c r="AG713" s="33">
        <v>2024</v>
      </c>
      <c r="AH713" s="98">
        <v>189434.55</v>
      </c>
      <c r="AI713" s="5">
        <f>+(K713*12.71+L713*25.41)*12*0.85</f>
        <v>124663.74720000001</v>
      </c>
      <c r="AJ713" s="5">
        <f>+(K713*12.71+L713*25.41)*12*30</f>
        <v>4399896.9600000009</v>
      </c>
      <c r="AL713" s="28">
        <f>'Приложение №2'!E711</f>
        <v>0</v>
      </c>
      <c r="AM713" s="62">
        <v>0</v>
      </c>
      <c r="AN713" s="62">
        <v>0</v>
      </c>
      <c r="AO713" s="62">
        <v>0</v>
      </c>
      <c r="AP713" s="62">
        <v>0</v>
      </c>
      <c r="AQ713" s="62">
        <v>0</v>
      </c>
      <c r="AR713" s="62"/>
      <c r="AS713" s="62"/>
      <c r="AT713" s="62">
        <v>0</v>
      </c>
      <c r="AU713" s="62">
        <v>5103601.54</v>
      </c>
      <c r="AV713" s="62">
        <v>0</v>
      </c>
      <c r="AW713" s="62"/>
      <c r="AX713" s="62">
        <v>0</v>
      </c>
      <c r="AY713" s="62"/>
      <c r="AZ713" s="62"/>
      <c r="BA713" s="151"/>
      <c r="BB713" s="237">
        <f t="shared" si="176"/>
        <v>1</v>
      </c>
    </row>
    <row r="714" spans="1:57" ht="15.75" hidden="1">
      <c r="A714" s="234">
        <f t="shared" si="177"/>
        <v>689</v>
      </c>
      <c r="B714" s="101">
        <f>B712+1</f>
        <v>225</v>
      </c>
      <c r="C714" s="101" t="s">
        <v>114</v>
      </c>
      <c r="D714" s="101" t="s">
        <v>619</v>
      </c>
      <c r="E714" s="102">
        <v>1991</v>
      </c>
      <c r="F714" s="102">
        <v>1999</v>
      </c>
      <c r="G714" s="102" t="s">
        <v>3</v>
      </c>
      <c r="H714" s="102">
        <v>2</v>
      </c>
      <c r="I714" s="102">
        <v>8</v>
      </c>
      <c r="J714" s="62">
        <v>1042.9000000000001</v>
      </c>
      <c r="K714" s="62">
        <v>988.8</v>
      </c>
      <c r="L714" s="62">
        <v>54.1</v>
      </c>
      <c r="M714" s="103">
        <v>39</v>
      </c>
      <c r="N714" s="28">
        <f t="shared" si="174"/>
        <v>10768790.210000001</v>
      </c>
      <c r="O714" s="62"/>
      <c r="P714" s="62">
        <f t="shared" ref="P714:P745" si="178">Q714+R714</f>
        <v>0</v>
      </c>
      <c r="Q714" s="235"/>
      <c r="R714" s="235"/>
      <c r="S714" s="62"/>
      <c r="T714" s="236"/>
      <c r="U714" s="236"/>
      <c r="V714" s="28">
        <v>436812.94</v>
      </c>
      <c r="W714" s="235"/>
      <c r="X714" s="235"/>
      <c r="Y714" s="28">
        <v>5019238.4400000004</v>
      </c>
      <c r="Z714" s="235"/>
      <c r="AA714" s="235"/>
      <c r="AB714" s="28">
        <v>5312738.83</v>
      </c>
      <c r="AC714" s="28"/>
      <c r="AD714" s="28"/>
      <c r="AE714" s="62">
        <v>12664.131824464999</v>
      </c>
      <c r="AF714" s="62">
        <v>1242.2830200640001</v>
      </c>
      <c r="AG714" s="33">
        <v>2024</v>
      </c>
      <c r="AH714" s="98">
        <v>15373.83</v>
      </c>
      <c r="AI714" s="5">
        <f>+(K714*12.71+L714*25.41)*12*0.85</f>
        <v>142211.75580000001</v>
      </c>
      <c r="AJ714" s="5">
        <f>+(K714*12.71+L714*25.41)*12*30</f>
        <v>5019238.4400000013</v>
      </c>
      <c r="AK714" s="5">
        <f>+N714-AL714</f>
        <v>10768790.210000001</v>
      </c>
      <c r="AL714" s="28">
        <f>'Приложение №2'!E712</f>
        <v>0</v>
      </c>
      <c r="AM714" s="62">
        <v>0</v>
      </c>
      <c r="AN714" s="62">
        <v>0</v>
      </c>
      <c r="AO714" s="62">
        <v>0</v>
      </c>
      <c r="AP714" s="62">
        <v>0</v>
      </c>
      <c r="AQ714" s="62">
        <v>0</v>
      </c>
      <c r="AR714" s="62"/>
      <c r="AS714" s="62"/>
      <c r="AT714" s="62">
        <v>0</v>
      </c>
      <c r="AU714" s="62">
        <v>0</v>
      </c>
      <c r="AV714" s="62">
        <v>0</v>
      </c>
      <c r="AW714" s="62">
        <v>10768790.210000001</v>
      </c>
      <c r="AX714" s="62">
        <v>0</v>
      </c>
      <c r="AY714" s="62"/>
      <c r="AZ714" s="62"/>
      <c r="BA714" s="151"/>
      <c r="BB714" s="237">
        <f t="shared" si="176"/>
        <v>1</v>
      </c>
    </row>
    <row r="715" spans="1:57" ht="15.75" hidden="1">
      <c r="A715" s="234">
        <f t="shared" si="177"/>
        <v>690</v>
      </c>
      <c r="B715" s="101" t="s">
        <v>96</v>
      </c>
      <c r="C715" s="101" t="s">
        <v>185</v>
      </c>
      <c r="D715" s="101" t="s">
        <v>227</v>
      </c>
      <c r="E715" s="102">
        <v>1989</v>
      </c>
      <c r="F715" s="102">
        <v>2017</v>
      </c>
      <c r="G715" s="102" t="s">
        <v>3</v>
      </c>
      <c r="H715" s="102">
        <v>9</v>
      </c>
      <c r="I715" s="102">
        <v>3</v>
      </c>
      <c r="J715" s="62">
        <v>7106.9</v>
      </c>
      <c r="K715" s="62">
        <v>6247.4</v>
      </c>
      <c r="L715" s="62">
        <v>0</v>
      </c>
      <c r="M715" s="103">
        <v>266</v>
      </c>
      <c r="N715" s="28">
        <f t="shared" si="174"/>
        <v>6402530.3799999999</v>
      </c>
      <c r="O715" s="62"/>
      <c r="P715" s="62">
        <f t="shared" si="178"/>
        <v>0</v>
      </c>
      <c r="Q715" s="235"/>
      <c r="R715" s="235"/>
      <c r="S715" s="62"/>
      <c r="T715" s="236"/>
      <c r="U715" s="236"/>
      <c r="V715" s="28">
        <v>512202.43</v>
      </c>
      <c r="W715" s="235"/>
      <c r="X715" s="235"/>
      <c r="Y715" s="28">
        <v>5890327.9500000002</v>
      </c>
      <c r="Z715" s="235"/>
      <c r="AA715" s="235"/>
      <c r="AB715" s="28"/>
      <c r="AC715" s="28"/>
      <c r="AD715" s="28"/>
      <c r="AE715" s="62">
        <v>7522.6876761892399</v>
      </c>
      <c r="AF715" s="62">
        <v>7522.6876761892399</v>
      </c>
      <c r="AG715" s="33">
        <v>2024</v>
      </c>
      <c r="AI715" s="5">
        <f>+(K715*17.26+L715*29.25)*12*0.85</f>
        <v>1099867.2648</v>
      </c>
      <c r="AJ715" s="5">
        <f>+(K715*17.26+L715*29.25)*12*30-[3]Лист1!$AQ$264</f>
        <v>19762970.390000001</v>
      </c>
      <c r="AK715" s="5">
        <f>+N715-AL715</f>
        <v>6402530.3799999999</v>
      </c>
      <c r="AL715" s="28">
        <f>'Приложение №2'!E713</f>
        <v>0</v>
      </c>
      <c r="AM715" s="62">
        <v>6402530.3799999999</v>
      </c>
      <c r="AN715" s="62"/>
      <c r="AO715" s="62"/>
      <c r="AP715" s="62"/>
      <c r="AQ715" s="62">
        <v>0</v>
      </c>
      <c r="AR715" s="62"/>
      <c r="AS715" s="62"/>
      <c r="AT715" s="62">
        <v>0</v>
      </c>
      <c r="AU715" s="62"/>
      <c r="AV715" s="62">
        <v>0</v>
      </c>
      <c r="AW715" s="62"/>
      <c r="AX715" s="62">
        <v>0</v>
      </c>
      <c r="AY715" s="62"/>
      <c r="AZ715" s="62"/>
      <c r="BA715" s="151"/>
      <c r="BB715" s="237">
        <f t="shared" si="176"/>
        <v>1</v>
      </c>
    </row>
    <row r="716" spans="1:57" ht="15.75" hidden="1">
      <c r="A716" s="234">
        <f t="shared" si="177"/>
        <v>691</v>
      </c>
      <c r="B716" s="101" t="s">
        <v>96</v>
      </c>
      <c r="C716" s="101" t="s">
        <v>185</v>
      </c>
      <c r="D716" s="101" t="s">
        <v>231</v>
      </c>
      <c r="E716" s="102">
        <v>1994</v>
      </c>
      <c r="F716" s="102">
        <v>2013</v>
      </c>
      <c r="G716" s="102" t="s">
        <v>3</v>
      </c>
      <c r="H716" s="102">
        <v>9</v>
      </c>
      <c r="I716" s="102">
        <v>3</v>
      </c>
      <c r="J716" s="62">
        <v>7891.7</v>
      </c>
      <c r="K716" s="62">
        <v>6600.8</v>
      </c>
      <c r="L716" s="62">
        <v>0</v>
      </c>
      <c r="M716" s="103">
        <v>291</v>
      </c>
      <c r="N716" s="28">
        <f t="shared" si="174"/>
        <v>4667209.49</v>
      </c>
      <c r="O716" s="62"/>
      <c r="P716" s="62">
        <f t="shared" si="178"/>
        <v>0</v>
      </c>
      <c r="Q716" s="235"/>
      <c r="R716" s="235"/>
      <c r="S716" s="62"/>
      <c r="T716" s="236"/>
      <c r="U716" s="236"/>
      <c r="V716" s="28"/>
      <c r="W716" s="235"/>
      <c r="X716" s="235"/>
      <c r="Y716" s="28">
        <v>4667209.49</v>
      </c>
      <c r="Z716" s="235"/>
      <c r="AA716" s="235"/>
      <c r="AB716" s="28"/>
      <c r="AC716" s="28"/>
      <c r="AD716" s="28"/>
      <c r="AE716" s="62">
        <v>1911.3708574535201</v>
      </c>
      <c r="AF716" s="62">
        <v>1911.3708574535201</v>
      </c>
      <c r="AG716" s="33">
        <v>2024</v>
      </c>
      <c r="AH716" s="18"/>
      <c r="AI716" s="5">
        <f>+(K716*17.26+L716*29.25)*12*0.85</f>
        <v>1162084.0416000001</v>
      </c>
      <c r="AJ716" s="5">
        <f>+(K716*17.26+L716*29.25)*12*30-[3]Лист1!$AQ$266</f>
        <v>26820829.690000013</v>
      </c>
      <c r="AL716" s="28">
        <f>'Приложение №2'!E714</f>
        <v>0</v>
      </c>
      <c r="AM716" s="62">
        <v>4667209.49</v>
      </c>
      <c r="AN716" s="62">
        <v>0</v>
      </c>
      <c r="AO716" s="110"/>
      <c r="AP716" s="62"/>
      <c r="AQ716" s="62"/>
      <c r="AR716" s="62"/>
      <c r="AS716" s="62"/>
      <c r="AT716" s="62">
        <v>0</v>
      </c>
      <c r="AU716" s="62"/>
      <c r="AV716" s="62">
        <v>0</v>
      </c>
      <c r="AW716" s="62"/>
      <c r="AX716" s="62">
        <v>0</v>
      </c>
      <c r="AY716" s="62"/>
      <c r="AZ716" s="62"/>
      <c r="BA716" s="151"/>
      <c r="BB716" s="237">
        <f t="shared" si="176"/>
        <v>1</v>
      </c>
      <c r="BC716" s="34">
        <v>2013425.71</v>
      </c>
    </row>
    <row r="717" spans="1:57" s="142" customFormat="1" ht="15.75" hidden="1">
      <c r="A717" s="234">
        <f t="shared" si="177"/>
        <v>692</v>
      </c>
      <c r="B717" s="101" t="s">
        <v>96</v>
      </c>
      <c r="C717" s="101" t="s">
        <v>185</v>
      </c>
      <c r="D717" s="101" t="s">
        <v>380</v>
      </c>
      <c r="E717" s="102" t="s">
        <v>381</v>
      </c>
      <c r="F717" s="102"/>
      <c r="G717" s="102" t="s">
        <v>3</v>
      </c>
      <c r="H717" s="102" t="s">
        <v>183</v>
      </c>
      <c r="I717" s="102" t="s">
        <v>27</v>
      </c>
      <c r="J717" s="62">
        <v>1276.4000000000001</v>
      </c>
      <c r="K717" s="62">
        <v>1181.5</v>
      </c>
      <c r="L717" s="62">
        <v>48.4</v>
      </c>
      <c r="M717" s="103">
        <v>69</v>
      </c>
      <c r="N717" s="28">
        <f t="shared" si="174"/>
        <v>2813800.8</v>
      </c>
      <c r="O717" s="62">
        <v>0</v>
      </c>
      <c r="P717" s="62">
        <f t="shared" si="178"/>
        <v>0</v>
      </c>
      <c r="Q717" s="236"/>
      <c r="R717" s="236"/>
      <c r="S717" s="62"/>
      <c r="T717" s="236"/>
      <c r="U717" s="236"/>
      <c r="V717" s="28">
        <v>91454.65</v>
      </c>
      <c r="W717" s="235"/>
      <c r="X717" s="235"/>
      <c r="Y717" s="28">
        <v>1189308.1399999999</v>
      </c>
      <c r="Z717" s="235"/>
      <c r="AA717" s="235"/>
      <c r="AB717" s="28">
        <v>1533038.01</v>
      </c>
      <c r="AC717" s="28"/>
      <c r="AD717" s="28"/>
      <c r="AE717" s="62">
        <v>16969.400865557</v>
      </c>
      <c r="AF717" s="62">
        <v>1267.2830200640001</v>
      </c>
      <c r="AG717" s="33">
        <v>2024</v>
      </c>
      <c r="AH717" s="98"/>
      <c r="AI717" s="5">
        <f>+(K717*12.98+L717*25.97)*12*0.85</f>
        <v>169246.74359999999</v>
      </c>
      <c r="AJ717" s="5">
        <f>+(K717*12.98+L717*25.97)*12*30-[3]Лист1!$AQ$277</f>
        <v>1189308.1399999997</v>
      </c>
      <c r="AK717" s="5">
        <f>AJ717-Y717</f>
        <v>0</v>
      </c>
      <c r="AL717" s="28">
        <f>'Приложение №2'!E715</f>
        <v>0</v>
      </c>
      <c r="AM717" s="62">
        <v>2813800.8</v>
      </c>
      <c r="AN717" s="62"/>
      <c r="AO717" s="62"/>
      <c r="AP717" s="62"/>
      <c r="AQ717" s="62"/>
      <c r="AR717" s="62"/>
      <c r="AS717" s="62"/>
      <c r="AT717" s="62">
        <v>0</v>
      </c>
      <c r="AU717" s="62"/>
      <c r="AV717" s="62">
        <v>0</v>
      </c>
      <c r="AW717" s="62"/>
      <c r="AX717" s="62"/>
      <c r="AY717" s="62"/>
      <c r="AZ717" s="62"/>
      <c r="BA717" s="151"/>
      <c r="BB717" s="237">
        <f t="shared" si="176"/>
        <v>1</v>
      </c>
    </row>
    <row r="718" spans="1:57" ht="15.75" hidden="1">
      <c r="A718" s="234">
        <f t="shared" si="177"/>
        <v>693</v>
      </c>
      <c r="B718" s="101">
        <f>B714+1</f>
        <v>226</v>
      </c>
      <c r="C718" s="101" t="s">
        <v>185</v>
      </c>
      <c r="D718" s="101" t="s">
        <v>532</v>
      </c>
      <c r="E718" s="102">
        <v>1972</v>
      </c>
      <c r="F718" s="102">
        <v>2013</v>
      </c>
      <c r="G718" s="102" t="s">
        <v>3</v>
      </c>
      <c r="H718" s="102">
        <v>4</v>
      </c>
      <c r="I718" s="102">
        <v>4</v>
      </c>
      <c r="J718" s="62">
        <v>3047.8</v>
      </c>
      <c r="K718" s="62">
        <v>2789.4</v>
      </c>
      <c r="L718" s="62">
        <v>0</v>
      </c>
      <c r="M718" s="103">
        <v>107</v>
      </c>
      <c r="N718" s="28">
        <f t="shared" si="174"/>
        <v>1429584.02</v>
      </c>
      <c r="O718" s="62"/>
      <c r="P718" s="62">
        <f t="shared" si="178"/>
        <v>0</v>
      </c>
      <c r="Q718" s="235"/>
      <c r="R718" s="235"/>
      <c r="S718" s="62"/>
      <c r="T718" s="236"/>
      <c r="U718" s="236"/>
      <c r="V718" s="28">
        <v>298744.74</v>
      </c>
      <c r="W718" s="235"/>
      <c r="X718" s="235"/>
      <c r="Y718" s="28">
        <v>1130839.28</v>
      </c>
      <c r="Z718" s="235"/>
      <c r="AA718" s="235"/>
      <c r="AB718" s="28"/>
      <c r="AC718" s="28"/>
      <c r="AD718" s="28"/>
      <c r="AE718" s="62">
        <v>7603.05611937301</v>
      </c>
      <c r="AF718" s="62">
        <v>7603.05611937301</v>
      </c>
      <c r="AG718" s="33">
        <v>2024</v>
      </c>
      <c r="AH718" s="18">
        <f>1184908.35-361522.2864-V271</f>
        <v>0</v>
      </c>
      <c r="AI718" s="5">
        <f>+(K718*12.98+L718*25.97)*12*0.85</f>
        <v>369305.40240000002</v>
      </c>
      <c r="AJ718" s="5">
        <f>+(K718*12.98+L718*25.97)*12*30-[3]Лист1!$AQ$291</f>
        <v>12544663.75</v>
      </c>
      <c r="AL718" s="28">
        <f>'Приложение №2'!E716</f>
        <v>0</v>
      </c>
      <c r="AM718" s="62"/>
      <c r="AN718" s="62"/>
      <c r="AO718" s="62"/>
      <c r="AP718" s="62"/>
      <c r="AQ718" s="62">
        <v>1361334.68</v>
      </c>
      <c r="AR718" s="62"/>
      <c r="AS718" s="62">
        <v>0</v>
      </c>
      <c r="AT718" s="62">
        <v>0</v>
      </c>
      <c r="AU718" s="62"/>
      <c r="AV718" s="62">
        <v>0</v>
      </c>
      <c r="AW718" s="62"/>
      <c r="AX718" s="62"/>
      <c r="AY718" s="62"/>
      <c r="AZ718" s="62"/>
      <c r="BA718" s="151"/>
      <c r="BB718" s="237">
        <f t="shared" si="176"/>
        <v>1</v>
      </c>
    </row>
    <row r="719" spans="1:57" ht="15.75" hidden="1">
      <c r="A719" s="234">
        <f t="shared" si="177"/>
        <v>694</v>
      </c>
      <c r="B719" s="101">
        <f>B718+1</f>
        <v>227</v>
      </c>
      <c r="C719" s="101" t="s">
        <v>185</v>
      </c>
      <c r="D719" s="101" t="s">
        <v>276</v>
      </c>
      <c r="E719" s="102">
        <v>1964</v>
      </c>
      <c r="F719" s="102">
        <v>2013</v>
      </c>
      <c r="G719" s="102" t="s">
        <v>3</v>
      </c>
      <c r="H719" s="102">
        <v>4</v>
      </c>
      <c r="I719" s="102">
        <v>2</v>
      </c>
      <c r="J719" s="62">
        <v>1348</v>
      </c>
      <c r="K719" s="62">
        <v>1248.9000000000001</v>
      </c>
      <c r="L719" s="62">
        <v>0</v>
      </c>
      <c r="M719" s="103">
        <v>74</v>
      </c>
      <c r="N719" s="28">
        <f t="shared" si="174"/>
        <v>1265830.5</v>
      </c>
      <c r="O719" s="62"/>
      <c r="P719" s="62">
        <f t="shared" si="178"/>
        <v>0</v>
      </c>
      <c r="Q719" s="235"/>
      <c r="R719" s="235"/>
      <c r="S719" s="62"/>
      <c r="T719" s="236"/>
      <c r="U719" s="236"/>
      <c r="V719" s="28">
        <v>147132.91</v>
      </c>
      <c r="W719" s="235"/>
      <c r="X719" s="235"/>
      <c r="Y719" s="28">
        <v>1118697.5900000001</v>
      </c>
      <c r="Z719" s="235"/>
      <c r="AA719" s="235"/>
      <c r="AB719" s="28"/>
      <c r="AC719" s="28"/>
      <c r="AD719" s="28"/>
      <c r="AE719" s="62">
        <v>1159.19327605836</v>
      </c>
      <c r="AF719" s="62">
        <v>1159.19327605836</v>
      </c>
      <c r="AG719" s="33">
        <v>2024</v>
      </c>
      <c r="AI719" s="5">
        <f>+(K719*12.98+L719*25.97)*12*0.85</f>
        <v>165349.36440000002</v>
      </c>
      <c r="AJ719" s="5">
        <f>+(K719*12.98+L719*25.97)*12*30-[3]Лист1!$AQ$308</f>
        <v>2340559.7400000007</v>
      </c>
      <c r="AL719" s="28">
        <f>'Приложение №2'!E717</f>
        <v>0</v>
      </c>
      <c r="AM719" s="62"/>
      <c r="AN719" s="62">
        <v>773824.99</v>
      </c>
      <c r="AO719" s="62"/>
      <c r="AP719" s="62">
        <v>492005.51</v>
      </c>
      <c r="AQ719" s="62"/>
      <c r="AR719" s="62"/>
      <c r="AS719" s="62"/>
      <c r="AT719" s="62">
        <v>0</v>
      </c>
      <c r="AU719" s="62"/>
      <c r="AV719" s="62">
        <v>0</v>
      </c>
      <c r="AW719" s="62">
        <v>0</v>
      </c>
      <c r="AX719" s="62">
        <v>0</v>
      </c>
      <c r="AY719" s="62"/>
      <c r="AZ719" s="62"/>
      <c r="BA719" s="151"/>
      <c r="BB719" s="237">
        <f t="shared" si="176"/>
        <v>2</v>
      </c>
    </row>
    <row r="720" spans="1:57" ht="15.75" hidden="1">
      <c r="A720" s="234">
        <f t="shared" si="177"/>
        <v>695</v>
      </c>
      <c r="B720" s="101" t="s">
        <v>96</v>
      </c>
      <c r="C720" s="101" t="s">
        <v>185</v>
      </c>
      <c r="D720" s="101" t="s">
        <v>434</v>
      </c>
      <c r="E720" s="102">
        <v>1981</v>
      </c>
      <c r="F720" s="102">
        <v>2013</v>
      </c>
      <c r="G720" s="102" t="s">
        <v>3</v>
      </c>
      <c r="H720" s="102">
        <v>5</v>
      </c>
      <c r="I720" s="102">
        <v>4</v>
      </c>
      <c r="J720" s="62">
        <v>4887.3</v>
      </c>
      <c r="K720" s="62">
        <v>4312.8999999999996</v>
      </c>
      <c r="L720" s="62">
        <v>0</v>
      </c>
      <c r="M720" s="103">
        <v>195</v>
      </c>
      <c r="N720" s="28">
        <f t="shared" si="174"/>
        <v>18727527.809999999</v>
      </c>
      <c r="O720" s="62"/>
      <c r="P720" s="62">
        <f t="shared" si="178"/>
        <v>0</v>
      </c>
      <c r="Q720" s="235"/>
      <c r="R720" s="235"/>
      <c r="S720" s="62"/>
      <c r="T720" s="236"/>
      <c r="U720" s="236"/>
      <c r="V720" s="28"/>
      <c r="W720" s="235"/>
      <c r="X720" s="235"/>
      <c r="Y720" s="28">
        <v>14847554.67</v>
      </c>
      <c r="Z720" s="235"/>
      <c r="AA720" s="235"/>
      <c r="AB720" s="28">
        <v>3879973.14</v>
      </c>
      <c r="AC720" s="28"/>
      <c r="AD720" s="28"/>
      <c r="AE720" s="62">
        <v>16925.260160487898</v>
      </c>
      <c r="AF720" s="62">
        <v>1306.2830200640001</v>
      </c>
      <c r="AG720" s="33">
        <v>2024</v>
      </c>
      <c r="AH720" s="18"/>
      <c r="AI720" s="5">
        <f>+(K720*12.98+L720*25.97)*12*0.85</f>
        <v>571010.7084</v>
      </c>
      <c r="AJ720" s="5">
        <f>+(K720*12.98+L720*25.97)*12*30-[3]Лист1!$AQ$313</f>
        <v>14847554.670000002</v>
      </c>
      <c r="AL720" s="28">
        <f>'Приложение №2'!E718</f>
        <v>0</v>
      </c>
      <c r="AM720" s="62">
        <v>9534404.9800000004</v>
      </c>
      <c r="AN720" s="62">
        <v>5463949.4500000002</v>
      </c>
      <c r="AO720" s="62"/>
      <c r="AP720" s="62">
        <v>3729173.38</v>
      </c>
      <c r="AQ720" s="62"/>
      <c r="AR720" s="62"/>
      <c r="AS720" s="62"/>
      <c r="AT720" s="62"/>
      <c r="AU720" s="62"/>
      <c r="AV720" s="62">
        <v>0</v>
      </c>
      <c r="AW720" s="62"/>
      <c r="AX720" s="62"/>
      <c r="AY720" s="62"/>
      <c r="AZ720" s="62"/>
      <c r="BA720" s="151"/>
      <c r="BB720" s="237">
        <f t="shared" si="176"/>
        <v>3</v>
      </c>
    </row>
    <row r="721" spans="1:57" ht="15.75" hidden="1">
      <c r="A721" s="234">
        <f t="shared" si="177"/>
        <v>696</v>
      </c>
      <c r="B721" s="101">
        <f>B719+1</f>
        <v>228</v>
      </c>
      <c r="C721" s="101" t="s">
        <v>185</v>
      </c>
      <c r="D721" s="101" t="s">
        <v>568</v>
      </c>
      <c r="E721" s="102">
        <v>1973</v>
      </c>
      <c r="F721" s="102">
        <v>2011</v>
      </c>
      <c r="G721" s="102" t="s">
        <v>3</v>
      </c>
      <c r="H721" s="102">
        <v>5</v>
      </c>
      <c r="I721" s="102">
        <v>4</v>
      </c>
      <c r="J721" s="62">
        <v>3343.7</v>
      </c>
      <c r="K721" s="62">
        <v>3061.9</v>
      </c>
      <c r="L721" s="62">
        <v>0</v>
      </c>
      <c r="M721" s="103">
        <v>160</v>
      </c>
      <c r="N721" s="28">
        <f t="shared" si="174"/>
        <v>1864807.79</v>
      </c>
      <c r="O721" s="62"/>
      <c r="P721" s="62">
        <f t="shared" si="178"/>
        <v>0</v>
      </c>
      <c r="Q721" s="236"/>
      <c r="R721" s="236"/>
      <c r="S721" s="62"/>
      <c r="T721" s="236"/>
      <c r="U721" s="236"/>
      <c r="V721" s="28">
        <v>360722.44</v>
      </c>
      <c r="W721" s="235"/>
      <c r="X721" s="235"/>
      <c r="Y721" s="28">
        <v>1504085.35</v>
      </c>
      <c r="Z721" s="235"/>
      <c r="AA721" s="235"/>
      <c r="AB721" s="28">
        <v>0</v>
      </c>
      <c r="AC721" s="28"/>
      <c r="AD721" s="28"/>
      <c r="AE721" s="62">
        <v>5206.53421589557</v>
      </c>
      <c r="AF721" s="62">
        <v>5206.53421589557</v>
      </c>
      <c r="AG721" s="33">
        <v>2024</v>
      </c>
      <c r="AI721" s="5">
        <f>+(K721*12.71+L721*25.41)*12*0.85</f>
        <v>396950.83980000002</v>
      </c>
      <c r="AJ721" s="5">
        <f>+(K721*12.71+L721*25.41)*12*30-[3]Лист1!$AQ$323</f>
        <v>8092122.2100000009</v>
      </c>
      <c r="AL721" s="28">
        <f>'Приложение №2'!E719</f>
        <v>0</v>
      </c>
      <c r="AM721" s="62">
        <v>0</v>
      </c>
      <c r="AN721" s="62">
        <v>0</v>
      </c>
      <c r="AO721" s="62">
        <v>2606967.9700000002</v>
      </c>
      <c r="AP721" s="62">
        <v>0</v>
      </c>
      <c r="AQ721" s="62">
        <v>0</v>
      </c>
      <c r="AR721" s="62"/>
      <c r="AS721" s="62"/>
      <c r="AT721" s="62">
        <v>0</v>
      </c>
      <c r="AU721" s="62"/>
      <c r="AV721" s="62">
        <v>0</v>
      </c>
      <c r="AW721" s="62"/>
      <c r="AX721" s="62">
        <v>0</v>
      </c>
      <c r="AY721" s="62"/>
      <c r="AZ721" s="62"/>
      <c r="BA721" s="151"/>
      <c r="BB721" s="237">
        <f t="shared" si="176"/>
        <v>1</v>
      </c>
    </row>
    <row r="722" spans="1:57" ht="15.75" hidden="1">
      <c r="A722" s="234">
        <f t="shared" si="177"/>
        <v>697</v>
      </c>
      <c r="B722" s="101" t="s">
        <v>96</v>
      </c>
      <c r="C722" s="101" t="s">
        <v>185</v>
      </c>
      <c r="D722" s="101" t="s">
        <v>307</v>
      </c>
      <c r="E722" s="102">
        <v>1966</v>
      </c>
      <c r="F722" s="102">
        <v>2013</v>
      </c>
      <c r="G722" s="102" t="s">
        <v>3</v>
      </c>
      <c r="H722" s="102">
        <v>4</v>
      </c>
      <c r="I722" s="102">
        <v>6</v>
      </c>
      <c r="J722" s="62">
        <v>2829.5</v>
      </c>
      <c r="K722" s="62">
        <v>2537.8000000000002</v>
      </c>
      <c r="L722" s="62">
        <v>230.6</v>
      </c>
      <c r="M722" s="103">
        <v>144</v>
      </c>
      <c r="N722" s="28">
        <f t="shared" si="174"/>
        <v>1245773.46</v>
      </c>
      <c r="O722" s="62"/>
      <c r="P722" s="62">
        <f t="shared" si="178"/>
        <v>0</v>
      </c>
      <c r="Q722" s="235"/>
      <c r="R722" s="235"/>
      <c r="S722" s="62"/>
      <c r="T722" s="236"/>
      <c r="U722" s="236"/>
      <c r="V722" s="28">
        <v>46977.83</v>
      </c>
      <c r="W722" s="235"/>
      <c r="X722" s="235"/>
      <c r="Y722" s="28">
        <v>251597.14</v>
      </c>
      <c r="Z722" s="235"/>
      <c r="AA722" s="235"/>
      <c r="AB722" s="28">
        <v>947198.49</v>
      </c>
      <c r="AC722" s="28"/>
      <c r="AD722" s="28"/>
      <c r="AE722" s="62">
        <v>10013.2315696325</v>
      </c>
      <c r="AF722" s="62">
        <v>1324.2830200640001</v>
      </c>
      <c r="AG722" s="33">
        <v>2024</v>
      </c>
      <c r="AH722" s="166"/>
      <c r="AI722" s="5">
        <f t="shared" ref="AI722:AI727" si="179">+(K722*12.98+L722*25.97)*12*0.85</f>
        <v>397079.12520000001</v>
      </c>
      <c r="AJ722" s="5">
        <f>+(K722*12.98+L722*25.97)*12*30-[3]Лист1!$AQ$327</f>
        <v>-184243.98000000045</v>
      </c>
      <c r="AL722" s="28">
        <f>'Приложение №2'!E720</f>
        <v>0</v>
      </c>
      <c r="AM722" s="62"/>
      <c r="AN722" s="62">
        <v>1245773.46</v>
      </c>
      <c r="AO722" s="62"/>
      <c r="AP722" s="62"/>
      <c r="AQ722" s="62"/>
      <c r="AR722" s="62"/>
      <c r="AS722" s="62"/>
      <c r="AT722" s="62"/>
      <c r="AU722" s="62"/>
      <c r="AV722" s="62">
        <v>0</v>
      </c>
      <c r="AW722" s="62"/>
      <c r="AX722" s="62"/>
      <c r="AY722" s="62"/>
      <c r="AZ722" s="62"/>
      <c r="BA722" s="151"/>
      <c r="BB722" s="237">
        <f t="shared" si="176"/>
        <v>1</v>
      </c>
    </row>
    <row r="723" spans="1:57" ht="15.75" hidden="1">
      <c r="A723" s="234">
        <f t="shared" si="177"/>
        <v>698</v>
      </c>
      <c r="B723" s="101">
        <f>B721+1</f>
        <v>229</v>
      </c>
      <c r="C723" s="101" t="s">
        <v>185</v>
      </c>
      <c r="D723" s="101" t="s">
        <v>579</v>
      </c>
      <c r="E723" s="102">
        <v>1968</v>
      </c>
      <c r="F723" s="102">
        <v>2013</v>
      </c>
      <c r="G723" s="102" t="s">
        <v>3</v>
      </c>
      <c r="H723" s="102">
        <v>5</v>
      </c>
      <c r="I723" s="102">
        <v>5</v>
      </c>
      <c r="J723" s="62">
        <v>3261.1</v>
      </c>
      <c r="K723" s="62">
        <v>2512.5</v>
      </c>
      <c r="L723" s="62">
        <v>664.8</v>
      </c>
      <c r="M723" s="103">
        <v>128</v>
      </c>
      <c r="N723" s="28">
        <f t="shared" si="174"/>
        <v>1676753.94</v>
      </c>
      <c r="O723" s="62"/>
      <c r="P723" s="62">
        <f t="shared" si="178"/>
        <v>0</v>
      </c>
      <c r="Q723" s="236"/>
      <c r="R723" s="236"/>
      <c r="S723" s="62"/>
      <c r="T723" s="236"/>
      <c r="U723" s="236"/>
      <c r="V723" s="28">
        <v>452637.8</v>
      </c>
      <c r="W723" s="235"/>
      <c r="X723" s="235"/>
      <c r="Y723" s="28">
        <v>1224116.1399999999</v>
      </c>
      <c r="Z723" s="235"/>
      <c r="AA723" s="235"/>
      <c r="AB723" s="28"/>
      <c r="AC723" s="28"/>
      <c r="AD723" s="28"/>
      <c r="AE723" s="62">
        <v>1016.77576941163</v>
      </c>
      <c r="AF723" s="62">
        <v>1016.77576941163</v>
      </c>
      <c r="AG723" s="33">
        <v>2024</v>
      </c>
      <c r="AI723" s="5">
        <f t="shared" si="179"/>
        <v>508746.48119999998</v>
      </c>
      <c r="AJ723" s="5">
        <f>+(K723*12.98+L723*25.97)*12*30-[3]Лист1!$AQ$332</f>
        <v>14071234.810000001</v>
      </c>
      <c r="AL723" s="28">
        <f>'Приложение №2'!E721</f>
        <v>0</v>
      </c>
      <c r="AM723" s="62"/>
      <c r="AN723" s="62"/>
      <c r="AO723" s="62">
        <v>705392.72</v>
      </c>
      <c r="AP723" s="62"/>
      <c r="AQ723" s="62"/>
      <c r="AR723" s="62"/>
      <c r="AS723" s="62"/>
      <c r="AT723" s="62"/>
      <c r="AU723" s="62"/>
      <c r="AV723" s="62"/>
      <c r="AW723" s="62"/>
      <c r="AX723" s="62">
        <v>0</v>
      </c>
      <c r="AY723" s="62"/>
      <c r="AZ723" s="62"/>
      <c r="BA723" s="151"/>
      <c r="BB723" s="237">
        <f t="shared" si="176"/>
        <v>1</v>
      </c>
    </row>
    <row r="724" spans="1:57" s="142" customFormat="1" ht="15.75" hidden="1">
      <c r="A724" s="234">
        <f t="shared" si="177"/>
        <v>699</v>
      </c>
      <c r="B724" s="101" t="s">
        <v>96</v>
      </c>
      <c r="C724" s="101" t="s">
        <v>185</v>
      </c>
      <c r="D724" s="101" t="s">
        <v>319</v>
      </c>
      <c r="E724" s="102" t="s">
        <v>81</v>
      </c>
      <c r="F724" s="102"/>
      <c r="G724" s="102" t="s">
        <v>3</v>
      </c>
      <c r="H724" s="102" t="s">
        <v>183</v>
      </c>
      <c r="I724" s="102" t="s">
        <v>316</v>
      </c>
      <c r="J724" s="62">
        <v>5678.2</v>
      </c>
      <c r="K724" s="62">
        <v>4923.8</v>
      </c>
      <c r="L724" s="62">
        <v>69.900000000000006</v>
      </c>
      <c r="M724" s="103">
        <v>234</v>
      </c>
      <c r="N724" s="28">
        <f t="shared" si="174"/>
        <v>19359818.41</v>
      </c>
      <c r="O724" s="62">
        <v>0</v>
      </c>
      <c r="P724" s="62">
        <f t="shared" si="178"/>
        <v>0</v>
      </c>
      <c r="Q724" s="236"/>
      <c r="R724" s="236"/>
      <c r="S724" s="62"/>
      <c r="T724" s="236"/>
      <c r="U724" s="236"/>
      <c r="V724" s="28">
        <v>1546146.95</v>
      </c>
      <c r="W724" s="235"/>
      <c r="X724" s="235"/>
      <c r="Y724" s="28">
        <v>3789801.97</v>
      </c>
      <c r="Z724" s="235"/>
      <c r="AA724" s="235"/>
      <c r="AB724" s="28">
        <v>14023869.49</v>
      </c>
      <c r="AC724" s="28"/>
      <c r="AD724" s="28"/>
      <c r="AE724" s="62">
        <v>2000.17354200408</v>
      </c>
      <c r="AF724" s="62">
        <v>2000.17354200408</v>
      </c>
      <c r="AG724" s="33">
        <v>2024</v>
      </c>
      <c r="AH724" s="157"/>
      <c r="AI724" s="5">
        <f t="shared" si="179"/>
        <v>670407.51540000015</v>
      </c>
      <c r="AJ724" s="5">
        <f>+(K724*12.98+L724*25.97)*12*30-[3]Лист1!$AQ$335</f>
        <v>3992439.8600000069</v>
      </c>
      <c r="AK724" s="5">
        <f>N724-AL724</f>
        <v>19359818.41</v>
      </c>
      <c r="AL724" s="28">
        <f>'Приложение №2'!E722</f>
        <v>0</v>
      </c>
      <c r="AM724" s="62">
        <v>8642752.7599999998</v>
      </c>
      <c r="AN724" s="62">
        <v>3166684.8</v>
      </c>
      <c r="AO724" s="62">
        <v>2702263.7</v>
      </c>
      <c r="AP724" s="62">
        <v>4214244.96</v>
      </c>
      <c r="AQ724" s="62"/>
      <c r="AR724" s="62"/>
      <c r="AS724" s="62"/>
      <c r="AT724" s="62"/>
      <c r="AU724" s="62"/>
      <c r="AV724" s="62"/>
      <c r="AW724" s="62"/>
      <c r="AX724" s="62"/>
      <c r="AY724" s="62"/>
      <c r="AZ724" s="62"/>
      <c r="BA724" s="151"/>
      <c r="BB724" s="237">
        <f t="shared" si="176"/>
        <v>4</v>
      </c>
    </row>
    <row r="725" spans="1:57" s="142" customFormat="1" ht="15.75" hidden="1">
      <c r="A725" s="234">
        <f t="shared" si="177"/>
        <v>700</v>
      </c>
      <c r="B725" s="101" t="s">
        <v>96</v>
      </c>
      <c r="C725" s="101" t="s">
        <v>185</v>
      </c>
      <c r="D725" s="101" t="s">
        <v>470</v>
      </c>
      <c r="E725" s="102" t="s">
        <v>81</v>
      </c>
      <c r="F725" s="102"/>
      <c r="G725" s="102" t="s">
        <v>3</v>
      </c>
      <c r="H725" s="102" t="s">
        <v>183</v>
      </c>
      <c r="I725" s="102" t="s">
        <v>316</v>
      </c>
      <c r="J725" s="62">
        <v>5563.5</v>
      </c>
      <c r="K725" s="62">
        <v>4878.8999999999996</v>
      </c>
      <c r="L725" s="62">
        <v>141.30000000000001</v>
      </c>
      <c r="M725" s="103">
        <v>240</v>
      </c>
      <c r="N725" s="28">
        <f t="shared" si="174"/>
        <v>19410940.600000001</v>
      </c>
      <c r="O725" s="62">
        <v>0</v>
      </c>
      <c r="P725" s="62">
        <f t="shared" si="178"/>
        <v>0</v>
      </c>
      <c r="Q725" s="235"/>
      <c r="R725" s="235"/>
      <c r="S725" s="62"/>
      <c r="T725" s="236"/>
      <c r="U725" s="236"/>
      <c r="V725" s="28">
        <v>910350.06</v>
      </c>
      <c r="W725" s="235"/>
      <c r="X725" s="235"/>
      <c r="Y725" s="28">
        <v>4414762.79</v>
      </c>
      <c r="Z725" s="235"/>
      <c r="AA725" s="235"/>
      <c r="AB725" s="28">
        <v>14085827.75</v>
      </c>
      <c r="AC725" s="28"/>
      <c r="AD725" s="28"/>
      <c r="AE725" s="62">
        <v>10763.816116219699</v>
      </c>
      <c r="AF725" s="62">
        <v>10763.816116219699</v>
      </c>
      <c r="AG725" s="33">
        <v>2024</v>
      </c>
      <c r="AH725" s="157"/>
      <c r="AI725" s="5">
        <f t="shared" si="179"/>
        <v>683376.36659999983</v>
      </c>
      <c r="AJ725" s="5">
        <f>+(K725*12.98+L725*25.97)*12*30-[3]Лист1!$AQ$336</f>
        <v>4113347.7299999967</v>
      </c>
      <c r="AK725" s="5"/>
      <c r="AL725" s="28">
        <f>'Приложение №2'!E723</f>
        <v>0</v>
      </c>
      <c r="AM725" s="62">
        <v>8489249.9199999999</v>
      </c>
      <c r="AN725" s="62">
        <v>3460760.4</v>
      </c>
      <c r="AO725" s="62">
        <v>2702263.7</v>
      </c>
      <c r="AP725" s="62">
        <v>4124794.39</v>
      </c>
      <c r="AQ725" s="62"/>
      <c r="AR725" s="62"/>
      <c r="AS725" s="62"/>
      <c r="AT725" s="62"/>
      <c r="AU725" s="62"/>
      <c r="AV725" s="62"/>
      <c r="AW725" s="62"/>
      <c r="AX725" s="62"/>
      <c r="AY725" s="62"/>
      <c r="AZ725" s="62"/>
      <c r="BA725" s="151"/>
      <c r="BB725" s="237">
        <f t="shared" si="176"/>
        <v>4</v>
      </c>
      <c r="BE725" s="240"/>
    </row>
    <row r="726" spans="1:57" ht="15.75" hidden="1">
      <c r="A726" s="234">
        <f t="shared" si="177"/>
        <v>701</v>
      </c>
      <c r="B726" s="101" t="s">
        <v>96</v>
      </c>
      <c r="C726" s="101" t="s">
        <v>185</v>
      </c>
      <c r="D726" s="101" t="s">
        <v>331</v>
      </c>
      <c r="E726" s="102">
        <v>1975</v>
      </c>
      <c r="F726" s="102">
        <v>2013</v>
      </c>
      <c r="G726" s="102" t="s">
        <v>3</v>
      </c>
      <c r="H726" s="102">
        <v>4</v>
      </c>
      <c r="I726" s="102">
        <v>6</v>
      </c>
      <c r="J726" s="62">
        <v>5531.3</v>
      </c>
      <c r="K726" s="62">
        <v>4842.7</v>
      </c>
      <c r="L726" s="62">
        <v>189.7</v>
      </c>
      <c r="M726" s="103">
        <v>235</v>
      </c>
      <c r="N726" s="28">
        <f t="shared" si="174"/>
        <v>7650833.6500000004</v>
      </c>
      <c r="O726" s="62"/>
      <c r="P726" s="62">
        <f t="shared" si="178"/>
        <v>0</v>
      </c>
      <c r="Q726" s="236"/>
      <c r="R726" s="236"/>
      <c r="S726" s="62"/>
      <c r="T726" s="236"/>
      <c r="U726" s="236"/>
      <c r="V726" s="28">
        <v>1026537.41</v>
      </c>
      <c r="W726" s="235"/>
      <c r="X726" s="235"/>
      <c r="Y726" s="28">
        <v>6624296.2400000002</v>
      </c>
      <c r="Z726" s="235"/>
      <c r="AA726" s="235"/>
      <c r="AB726" s="28"/>
      <c r="AC726" s="28"/>
      <c r="AD726" s="28"/>
      <c r="AE726" s="62">
        <v>2581.2418368050999</v>
      </c>
      <c r="AF726" s="62">
        <v>2581.2418368050999</v>
      </c>
      <c r="AG726" s="33">
        <v>2024</v>
      </c>
      <c r="AH726" s="18"/>
      <c r="AI726" s="5">
        <f t="shared" si="179"/>
        <v>691404.50100000005</v>
      </c>
      <c r="AJ726" s="5">
        <f>+(K726*12.98+L726*25.97)*12*30-[3]Лист1!$AQ$343</f>
        <v>21447104.530000001</v>
      </c>
      <c r="AL726" s="28">
        <f>'Приложение №2'!E724</f>
        <v>0</v>
      </c>
      <c r="AM726" s="62"/>
      <c r="AN726" s="62">
        <v>5132408.83</v>
      </c>
      <c r="AO726" s="62"/>
      <c r="AP726" s="62">
        <v>2627357.42</v>
      </c>
      <c r="AQ726" s="62"/>
      <c r="AR726" s="62"/>
      <c r="AS726" s="62"/>
      <c r="AT726" s="62">
        <v>0</v>
      </c>
      <c r="AU726" s="62"/>
      <c r="AV726" s="62">
        <v>0</v>
      </c>
      <c r="AW726" s="62"/>
      <c r="AX726" s="62"/>
      <c r="AY726" s="62"/>
      <c r="AZ726" s="62"/>
      <c r="BA726" s="151"/>
      <c r="BB726" s="237">
        <f t="shared" si="176"/>
        <v>2</v>
      </c>
    </row>
    <row r="727" spans="1:57" ht="15.75" hidden="1">
      <c r="A727" s="234">
        <f t="shared" si="177"/>
        <v>702</v>
      </c>
      <c r="B727" s="101">
        <f>B723+1</f>
        <v>230</v>
      </c>
      <c r="C727" s="101" t="s">
        <v>185</v>
      </c>
      <c r="D727" s="101" t="s">
        <v>333</v>
      </c>
      <c r="E727" s="102">
        <v>1974</v>
      </c>
      <c r="F727" s="102">
        <v>2013</v>
      </c>
      <c r="G727" s="102" t="s">
        <v>3</v>
      </c>
      <c r="H727" s="102">
        <v>4</v>
      </c>
      <c r="I727" s="102">
        <v>4</v>
      </c>
      <c r="J727" s="62">
        <v>3940.9</v>
      </c>
      <c r="K727" s="62">
        <v>3373.8</v>
      </c>
      <c r="L727" s="62">
        <v>212.7</v>
      </c>
      <c r="M727" s="103">
        <v>166</v>
      </c>
      <c r="N727" s="28">
        <f t="shared" si="174"/>
        <v>1950514.2999999998</v>
      </c>
      <c r="O727" s="62"/>
      <c r="P727" s="62">
        <f t="shared" si="178"/>
        <v>0</v>
      </c>
      <c r="Q727" s="236"/>
      <c r="R727" s="236"/>
      <c r="S727" s="62"/>
      <c r="T727" s="236"/>
      <c r="U727" s="236"/>
      <c r="V727" s="28">
        <v>396466.4</v>
      </c>
      <c r="W727" s="235"/>
      <c r="X727" s="235"/>
      <c r="Y727" s="28">
        <v>1554047.9</v>
      </c>
      <c r="Z727" s="235"/>
      <c r="AA727" s="235"/>
      <c r="AB727" s="28">
        <v>0</v>
      </c>
      <c r="AC727" s="28"/>
      <c r="AD727" s="28"/>
      <c r="AE727" s="62">
        <v>614.24072110434702</v>
      </c>
      <c r="AF727" s="62">
        <v>614.24072110434702</v>
      </c>
      <c r="AG727" s="33">
        <v>2024</v>
      </c>
      <c r="AH727" s="18"/>
      <c r="AI727" s="5">
        <f t="shared" si="179"/>
        <v>503020.57859999995</v>
      </c>
      <c r="AJ727" s="5">
        <f>+(K727*12.98+L727*25.97)*12*30-[3]Лист1!$AQ$344</f>
        <v>6772430.1699999999</v>
      </c>
      <c r="AK727" s="5">
        <f>+N727-AL727</f>
        <v>1950514.2999999998</v>
      </c>
      <c r="AL727" s="28">
        <f>'Приложение №2'!E725</f>
        <v>0</v>
      </c>
      <c r="AM727" s="62"/>
      <c r="AN727" s="110">
        <v>1950514.3</v>
      </c>
      <c r="AO727" s="62"/>
      <c r="AP727" s="62"/>
      <c r="AQ727" s="62"/>
      <c r="AR727" s="62"/>
      <c r="AS727" s="62"/>
      <c r="AT727" s="62"/>
      <c r="AU727" s="62"/>
      <c r="AV727" s="62"/>
      <c r="AW727" s="62"/>
      <c r="AX727" s="62"/>
      <c r="AY727" s="62"/>
      <c r="AZ727" s="62"/>
      <c r="BA727" s="151"/>
      <c r="BB727" s="237">
        <f t="shared" si="176"/>
        <v>1</v>
      </c>
      <c r="BC727" s="5"/>
    </row>
    <row r="728" spans="1:57" ht="15.75" hidden="1">
      <c r="A728" s="234">
        <f t="shared" si="177"/>
        <v>703</v>
      </c>
      <c r="B728" s="101" t="s">
        <v>96</v>
      </c>
      <c r="C728" s="101" t="s">
        <v>185</v>
      </c>
      <c r="D728" s="101" t="s">
        <v>334</v>
      </c>
      <c r="E728" s="102">
        <v>1977</v>
      </c>
      <c r="F728" s="102">
        <v>2013</v>
      </c>
      <c r="G728" s="102" t="s">
        <v>3</v>
      </c>
      <c r="H728" s="102">
        <v>9</v>
      </c>
      <c r="I728" s="102">
        <v>1</v>
      </c>
      <c r="J728" s="62">
        <v>2362.6</v>
      </c>
      <c r="K728" s="62">
        <v>1902.4</v>
      </c>
      <c r="L728" s="62">
        <v>195.5</v>
      </c>
      <c r="M728" s="103">
        <v>72</v>
      </c>
      <c r="N728" s="28">
        <f t="shared" si="174"/>
        <v>1397547.49</v>
      </c>
      <c r="O728" s="62"/>
      <c r="P728" s="62">
        <f t="shared" si="178"/>
        <v>0</v>
      </c>
      <c r="Q728" s="235"/>
      <c r="R728" s="235"/>
      <c r="S728" s="62"/>
      <c r="T728" s="236"/>
      <c r="U728" s="236"/>
      <c r="V728" s="28"/>
      <c r="W728" s="235"/>
      <c r="X728" s="235"/>
      <c r="Y728" s="28">
        <v>1397547.49</v>
      </c>
      <c r="Z728" s="235"/>
      <c r="AA728" s="235"/>
      <c r="AB728" s="28"/>
      <c r="AC728" s="28"/>
      <c r="AD728" s="28"/>
      <c r="AE728" s="62">
        <v>10664.5584199513</v>
      </c>
      <c r="AF728" s="62">
        <v>1341.2830200640001</v>
      </c>
      <c r="AG728" s="33">
        <v>2024</v>
      </c>
      <c r="AH728" s="18"/>
      <c r="AI728" s="5">
        <f>+(K728*17.26+L728*29.25)*12*0.85</f>
        <v>393248.74980000011</v>
      </c>
      <c r="AJ728" s="5">
        <f>+(K728*17.26+L728*29.25)*12*30-[3]Лист1!$AQ$345</f>
        <v>9294693.3400000036</v>
      </c>
      <c r="AL728" s="28">
        <f>'Приложение №2'!E726</f>
        <v>0</v>
      </c>
      <c r="AM728" s="62"/>
      <c r="AN728" s="62">
        <v>1397547.49</v>
      </c>
      <c r="AO728" s="62"/>
      <c r="AP728" s="62"/>
      <c r="AQ728" s="62"/>
      <c r="AR728" s="62"/>
      <c r="AS728" s="62"/>
      <c r="AT728" s="62">
        <v>0</v>
      </c>
      <c r="AU728" s="62">
        <v>0</v>
      </c>
      <c r="AV728" s="62">
        <v>0</v>
      </c>
      <c r="AW728" s="62"/>
      <c r="AX728" s="62">
        <v>0</v>
      </c>
      <c r="AY728" s="62"/>
      <c r="AZ728" s="62"/>
      <c r="BA728" s="151"/>
      <c r="BB728" s="237">
        <f t="shared" si="176"/>
        <v>1</v>
      </c>
    </row>
    <row r="729" spans="1:57" ht="15.75" hidden="1">
      <c r="A729" s="234">
        <f t="shared" si="177"/>
        <v>704</v>
      </c>
      <c r="B729" s="101" t="s">
        <v>96</v>
      </c>
      <c r="C729" s="101" t="s">
        <v>185</v>
      </c>
      <c r="D729" s="101" t="s">
        <v>325</v>
      </c>
      <c r="E729" s="102">
        <v>1977</v>
      </c>
      <c r="F729" s="102">
        <v>2013</v>
      </c>
      <c r="G729" s="102" t="s">
        <v>3</v>
      </c>
      <c r="H729" s="102">
        <v>9</v>
      </c>
      <c r="I729" s="102">
        <v>1</v>
      </c>
      <c r="J729" s="62">
        <v>2365.9899999999998</v>
      </c>
      <c r="K729" s="62">
        <v>1903.5</v>
      </c>
      <c r="L729" s="62">
        <v>136</v>
      </c>
      <c r="M729" s="103">
        <v>71</v>
      </c>
      <c r="N729" s="28">
        <f t="shared" si="174"/>
        <v>2108794.91</v>
      </c>
      <c r="O729" s="62"/>
      <c r="P729" s="62">
        <f t="shared" si="178"/>
        <v>0</v>
      </c>
      <c r="Q729" s="235"/>
      <c r="R729" s="235"/>
      <c r="S729" s="62"/>
      <c r="T729" s="236"/>
      <c r="U729" s="236"/>
      <c r="V729" s="28"/>
      <c r="W729" s="235"/>
      <c r="X729" s="235"/>
      <c r="Y729" s="28">
        <v>2108794.91</v>
      </c>
      <c r="Z729" s="235"/>
      <c r="AA729" s="235"/>
      <c r="AB729" s="28">
        <v>0</v>
      </c>
      <c r="AC729" s="28"/>
      <c r="AD729" s="28"/>
      <c r="AE729" s="62">
        <v>10343.456748720901</v>
      </c>
      <c r="AF729" s="62">
        <v>1334.2830200640001</v>
      </c>
      <c r="AG729" s="33">
        <v>2024</v>
      </c>
      <c r="AH729" s="18"/>
      <c r="AI729" s="5">
        <f>+(K729*17.26+L729*29.25)*12*0.85</f>
        <v>375690.58200000005</v>
      </c>
      <c r="AJ729" s="5">
        <f>+(K729*17.26+L729*29.25)*12*30-[3]Лист1!$AQ$346</f>
        <v>10006024.800000001</v>
      </c>
      <c r="AK729" s="5">
        <f>+N729-AL729</f>
        <v>2108794.91</v>
      </c>
      <c r="AL729" s="28">
        <f>'Приложение №2'!E727</f>
        <v>0</v>
      </c>
      <c r="AM729" s="62"/>
      <c r="AN729" s="62">
        <v>1063489.17</v>
      </c>
      <c r="AO729" s="62">
        <v>0</v>
      </c>
      <c r="AP729" s="62">
        <v>1045305.74</v>
      </c>
      <c r="AQ729" s="62"/>
      <c r="AR729" s="62"/>
      <c r="AS729" s="62"/>
      <c r="AT729" s="62">
        <v>0</v>
      </c>
      <c r="AU729" s="62">
        <v>0</v>
      </c>
      <c r="AV729" s="62">
        <v>0</v>
      </c>
      <c r="AW729" s="62"/>
      <c r="AX729" s="62">
        <v>0</v>
      </c>
      <c r="AY729" s="62"/>
      <c r="AZ729" s="62"/>
      <c r="BA729" s="151"/>
      <c r="BB729" s="237">
        <f t="shared" si="176"/>
        <v>2</v>
      </c>
    </row>
    <row r="730" spans="1:57" ht="15.75" hidden="1">
      <c r="A730" s="234">
        <f t="shared" si="177"/>
        <v>705</v>
      </c>
      <c r="B730" s="101" t="s">
        <v>96</v>
      </c>
      <c r="C730" s="101" t="s">
        <v>185</v>
      </c>
      <c r="D730" s="101" t="s">
        <v>479</v>
      </c>
      <c r="E730" s="102">
        <v>1977</v>
      </c>
      <c r="F730" s="102">
        <v>2013</v>
      </c>
      <c r="G730" s="102" t="s">
        <v>3</v>
      </c>
      <c r="H730" s="102">
        <v>9</v>
      </c>
      <c r="I730" s="102">
        <v>1</v>
      </c>
      <c r="J730" s="62">
        <v>2366.89</v>
      </c>
      <c r="K730" s="62">
        <v>1904.8</v>
      </c>
      <c r="L730" s="62">
        <v>41.8</v>
      </c>
      <c r="M730" s="103">
        <v>59</v>
      </c>
      <c r="N730" s="28">
        <f t="shared" si="174"/>
        <v>2371403.7999999998</v>
      </c>
      <c r="O730" s="62"/>
      <c r="P730" s="62">
        <f t="shared" si="178"/>
        <v>0</v>
      </c>
      <c r="Q730" s="235"/>
      <c r="R730" s="235"/>
      <c r="S730" s="62"/>
      <c r="T730" s="236"/>
      <c r="U730" s="236"/>
      <c r="V730" s="28"/>
      <c r="W730" s="235"/>
      <c r="X730" s="235"/>
      <c r="Y730" s="28">
        <v>2371403.7999999998</v>
      </c>
      <c r="Z730" s="235"/>
      <c r="AA730" s="235"/>
      <c r="AB730" s="28"/>
      <c r="AC730" s="28"/>
      <c r="AD730" s="28"/>
      <c r="AE730" s="62">
        <v>9884.3203175609106</v>
      </c>
      <c r="AF730" s="62">
        <v>1335.2830200640001</v>
      </c>
      <c r="AG730" s="33">
        <v>2024</v>
      </c>
      <c r="AH730" s="18"/>
      <c r="AI730" s="5">
        <f>+(K730*17.26+L730*29.25)*12*0.85</f>
        <v>347814.87960000004</v>
      </c>
      <c r="AJ730" s="5">
        <f>+(K730*17.26+L730*29.25)*12*30-[3]Лист1!$AQ$347</f>
        <v>8962102.0800000019</v>
      </c>
      <c r="AL730" s="28">
        <f>'Приложение №2'!E728</f>
        <v>0</v>
      </c>
      <c r="AM730" s="62"/>
      <c r="AN730" s="62">
        <v>1063489.17</v>
      </c>
      <c r="AO730" s="62"/>
      <c r="AP730" s="62">
        <v>1307914.6299999999</v>
      </c>
      <c r="AQ730" s="62"/>
      <c r="AR730" s="62"/>
      <c r="AS730" s="62"/>
      <c r="AT730" s="62">
        <v>0</v>
      </c>
      <c r="AU730" s="62">
        <v>0</v>
      </c>
      <c r="AV730" s="62">
        <v>0</v>
      </c>
      <c r="AW730" s="62"/>
      <c r="AX730" s="62">
        <v>0</v>
      </c>
      <c r="AY730" s="62"/>
      <c r="AZ730" s="62"/>
      <c r="BA730" s="151"/>
      <c r="BB730" s="237">
        <f t="shared" si="176"/>
        <v>2</v>
      </c>
      <c r="BD730" s="5"/>
    </row>
    <row r="731" spans="1:57" ht="15.75" hidden="1">
      <c r="A731" s="234">
        <f t="shared" si="177"/>
        <v>706</v>
      </c>
      <c r="B731" s="101">
        <f>B727+1</f>
        <v>231</v>
      </c>
      <c r="C731" s="101" t="s">
        <v>104</v>
      </c>
      <c r="D731" s="101" t="s">
        <v>625</v>
      </c>
      <c r="E731" s="102">
        <v>1982</v>
      </c>
      <c r="F731" s="102"/>
      <c r="G731" s="102" t="s">
        <v>3</v>
      </c>
      <c r="H731" s="102">
        <v>5</v>
      </c>
      <c r="I731" s="102">
        <v>4</v>
      </c>
      <c r="J731" s="62">
        <v>3359.7</v>
      </c>
      <c r="K731" s="62">
        <v>2436.8000000000002</v>
      </c>
      <c r="L731" s="62">
        <v>338.7</v>
      </c>
      <c r="M731" s="103">
        <v>80</v>
      </c>
      <c r="N731" s="28">
        <f t="shared" si="174"/>
        <v>520542.46</v>
      </c>
      <c r="O731" s="62"/>
      <c r="P731" s="62">
        <f t="shared" si="178"/>
        <v>0</v>
      </c>
      <c r="Q731" s="236"/>
      <c r="R731" s="236"/>
      <c r="S731" s="62"/>
      <c r="T731" s="236"/>
      <c r="U731" s="236"/>
      <c r="V731" s="28">
        <v>520542.46</v>
      </c>
      <c r="W731" s="235"/>
      <c r="X731" s="235"/>
      <c r="Y731" s="62">
        <v>0</v>
      </c>
      <c r="Z731" s="236"/>
      <c r="AA731" s="236"/>
      <c r="AB731" s="28">
        <v>0</v>
      </c>
      <c r="AC731" s="28"/>
      <c r="AD731" s="28"/>
      <c r="AE731" s="62">
        <v>187.549075842191</v>
      </c>
      <c r="AF731" s="62">
        <v>187.549075842191</v>
      </c>
      <c r="AG731" s="33">
        <v>2024</v>
      </c>
      <c r="AH731" s="166">
        <v>1376675.93</v>
      </c>
      <c r="AI731" s="5">
        <f t="shared" ref="AI731:AI740" si="180">+(K731*12.71+L731*25.41)*12*0.85</f>
        <v>403696.56900000002</v>
      </c>
      <c r="AJ731" s="5">
        <f>+(K731*12.71+L731*25.41)*12*30</f>
        <v>14248114.200000001</v>
      </c>
      <c r="AK731" s="5">
        <f t="shared" ref="AK731:AK741" si="181">+N731-AL731</f>
        <v>520542.46</v>
      </c>
      <c r="AL731" s="28">
        <f>'Приложение №2'!E729</f>
        <v>0</v>
      </c>
      <c r="AM731" s="62"/>
      <c r="AN731" s="62"/>
      <c r="AO731" s="62"/>
      <c r="AP731" s="62">
        <v>520542.46</v>
      </c>
      <c r="AQ731" s="62"/>
      <c r="AR731" s="62"/>
      <c r="AS731" s="62"/>
      <c r="AT731" s="62"/>
      <c r="AU731" s="62"/>
      <c r="AV731" s="62"/>
      <c r="AW731" s="62"/>
      <c r="AX731" s="62"/>
      <c r="AY731" s="62"/>
      <c r="AZ731" s="62"/>
      <c r="BA731" s="151"/>
      <c r="BB731" s="237">
        <f t="shared" si="176"/>
        <v>1</v>
      </c>
    </row>
    <row r="732" spans="1:57" ht="15.75" hidden="1">
      <c r="A732" s="234">
        <f t="shared" si="177"/>
        <v>707</v>
      </c>
      <c r="B732" s="101">
        <f>B731+1</f>
        <v>232</v>
      </c>
      <c r="C732" s="101" t="s">
        <v>104</v>
      </c>
      <c r="D732" s="101" t="s">
        <v>627</v>
      </c>
      <c r="E732" s="102">
        <v>1965</v>
      </c>
      <c r="F732" s="102">
        <v>2006</v>
      </c>
      <c r="G732" s="102" t="s">
        <v>3</v>
      </c>
      <c r="H732" s="102">
        <v>3</v>
      </c>
      <c r="I732" s="102">
        <v>2</v>
      </c>
      <c r="J732" s="62">
        <v>1057</v>
      </c>
      <c r="K732" s="62">
        <v>910.1</v>
      </c>
      <c r="L732" s="62">
        <v>0</v>
      </c>
      <c r="M732" s="103">
        <v>42</v>
      </c>
      <c r="N732" s="28">
        <f t="shared" si="174"/>
        <v>1293781.6000000001</v>
      </c>
      <c r="O732" s="62"/>
      <c r="P732" s="62">
        <f t="shared" si="178"/>
        <v>0</v>
      </c>
      <c r="Q732" s="236"/>
      <c r="R732" s="236"/>
      <c r="S732" s="62"/>
      <c r="T732" s="236"/>
      <c r="U732" s="236"/>
      <c r="V732" s="28">
        <v>107218.88</v>
      </c>
      <c r="W732" s="235"/>
      <c r="X732" s="235"/>
      <c r="Y732" s="28">
        <v>1186562.72</v>
      </c>
      <c r="Z732" s="235"/>
      <c r="AA732" s="235"/>
      <c r="AB732" s="28">
        <v>0</v>
      </c>
      <c r="AC732" s="28"/>
      <c r="AD732" s="28"/>
      <c r="AE732" s="62">
        <v>1500.06317892166</v>
      </c>
      <c r="AF732" s="62">
        <v>1500.06317892166</v>
      </c>
      <c r="AG732" s="33">
        <v>2024</v>
      </c>
      <c r="AI732" s="5">
        <f t="shared" si="180"/>
        <v>117987.18420000002</v>
      </c>
      <c r="AJ732" s="5">
        <f>+(K732*12.71+L732*25.41)*12*30-[3]Лист1!$AQ$28</f>
        <v>3980229.0600000005</v>
      </c>
      <c r="AK732" s="5">
        <f t="shared" si="181"/>
        <v>1293781.6000000001</v>
      </c>
      <c r="AL732" s="28">
        <f>'Приложение №2'!E730</f>
        <v>0</v>
      </c>
      <c r="AM732" s="62"/>
      <c r="AN732" s="62"/>
      <c r="AO732" s="110">
        <v>1293781.6000000001</v>
      </c>
      <c r="AP732" s="62">
        <v>0</v>
      </c>
      <c r="AQ732" s="62">
        <v>0</v>
      </c>
      <c r="AR732" s="62"/>
      <c r="AS732" s="62"/>
      <c r="AT732" s="62">
        <v>0</v>
      </c>
      <c r="AU732" s="62">
        <v>0</v>
      </c>
      <c r="AV732" s="62">
        <v>0</v>
      </c>
      <c r="AW732" s="62">
        <v>0</v>
      </c>
      <c r="AX732" s="62">
        <v>0</v>
      </c>
      <c r="AY732" s="62"/>
      <c r="AZ732" s="62"/>
      <c r="BA732" s="151"/>
      <c r="BB732" s="237">
        <f t="shared" si="176"/>
        <v>1</v>
      </c>
      <c r="BD732" s="5"/>
    </row>
    <row r="733" spans="1:57" ht="15.75" hidden="1">
      <c r="A733" s="234">
        <f t="shared" si="177"/>
        <v>708</v>
      </c>
      <c r="B733" s="101" t="s">
        <v>96</v>
      </c>
      <c r="C733" s="101" t="s">
        <v>104</v>
      </c>
      <c r="D733" s="101" t="s">
        <v>513</v>
      </c>
      <c r="E733" s="102">
        <v>1993</v>
      </c>
      <c r="F733" s="102">
        <v>2013</v>
      </c>
      <c r="G733" s="102" t="s">
        <v>3</v>
      </c>
      <c r="H733" s="102">
        <v>5</v>
      </c>
      <c r="I733" s="102">
        <v>4</v>
      </c>
      <c r="J733" s="62">
        <v>3395.5</v>
      </c>
      <c r="K733" s="62">
        <v>2227.23</v>
      </c>
      <c r="L733" s="62">
        <v>0</v>
      </c>
      <c r="M733" s="103">
        <v>37</v>
      </c>
      <c r="N733" s="28">
        <f t="shared" si="174"/>
        <v>1598147.38</v>
      </c>
      <c r="O733" s="62"/>
      <c r="P733" s="62">
        <f t="shared" si="178"/>
        <v>0</v>
      </c>
      <c r="Q733" s="236"/>
      <c r="R733" s="236"/>
      <c r="S733" s="62"/>
      <c r="T733" s="236"/>
      <c r="U733" s="236"/>
      <c r="V733" s="28"/>
      <c r="W733" s="235"/>
      <c r="X733" s="235"/>
      <c r="Y733" s="28">
        <v>1598147.38</v>
      </c>
      <c r="Z733" s="235"/>
      <c r="AA733" s="235"/>
      <c r="AB733" s="228"/>
      <c r="AC733" s="228"/>
      <c r="AD733" s="228"/>
      <c r="AE733" s="62">
        <v>2851.0892429610399</v>
      </c>
      <c r="AF733" s="62">
        <v>2851.0892429610399</v>
      </c>
      <c r="AG733" s="33">
        <v>2024</v>
      </c>
      <c r="AH733" s="1">
        <v>77200.679999999993</v>
      </c>
      <c r="AI733" s="5">
        <f t="shared" si="180"/>
        <v>288742.55166</v>
      </c>
      <c r="AJ733" s="5">
        <f>+(K733*12.71+L733*25.41)*12*30</f>
        <v>10190913.588</v>
      </c>
      <c r="AK733" s="5">
        <f t="shared" si="181"/>
        <v>1598147.38</v>
      </c>
      <c r="AL733" s="28">
        <f>'Приложение №2'!E731</f>
        <v>0</v>
      </c>
      <c r="AM733" s="62">
        <v>0</v>
      </c>
      <c r="AN733" s="62">
        <v>0</v>
      </c>
      <c r="AO733" s="62"/>
      <c r="AP733" s="62">
        <v>1598147.38</v>
      </c>
      <c r="AQ733" s="62">
        <v>0</v>
      </c>
      <c r="AR733" s="62"/>
      <c r="AS733" s="62"/>
      <c r="AT733" s="62">
        <v>0</v>
      </c>
      <c r="AU733" s="62">
        <v>0</v>
      </c>
      <c r="AV733" s="62">
        <v>0</v>
      </c>
      <c r="AW733" s="62">
        <v>0</v>
      </c>
      <c r="AX733" s="62">
        <v>0</v>
      </c>
      <c r="AY733" s="62"/>
      <c r="AZ733" s="62"/>
      <c r="BA733" s="151"/>
      <c r="BB733" s="237">
        <f t="shared" si="176"/>
        <v>1</v>
      </c>
    </row>
    <row r="734" spans="1:57" ht="15.75" hidden="1">
      <c r="A734" s="234">
        <f t="shared" si="177"/>
        <v>709</v>
      </c>
      <c r="B734" s="101" t="s">
        <v>96</v>
      </c>
      <c r="C734" s="101" t="s">
        <v>104</v>
      </c>
      <c r="D734" s="101" t="s">
        <v>521</v>
      </c>
      <c r="E734" s="102">
        <v>1965</v>
      </c>
      <c r="F734" s="102">
        <v>2006</v>
      </c>
      <c r="G734" s="102" t="s">
        <v>3</v>
      </c>
      <c r="H734" s="102">
        <v>3</v>
      </c>
      <c r="I734" s="102">
        <v>2</v>
      </c>
      <c r="J734" s="62">
        <v>1034.0999999999999</v>
      </c>
      <c r="K734" s="62">
        <v>959.8</v>
      </c>
      <c r="L734" s="62">
        <v>0</v>
      </c>
      <c r="M734" s="103">
        <v>25</v>
      </c>
      <c r="N734" s="28">
        <f t="shared" si="174"/>
        <v>1245617.8799999999</v>
      </c>
      <c r="O734" s="62"/>
      <c r="P734" s="62">
        <f t="shared" si="178"/>
        <v>0</v>
      </c>
      <c r="Q734" s="235"/>
      <c r="R734" s="235"/>
      <c r="S734" s="62"/>
      <c r="T734" s="236"/>
      <c r="U734" s="236"/>
      <c r="V734" s="28"/>
      <c r="W734" s="235"/>
      <c r="X734" s="235"/>
      <c r="Y734" s="28">
        <v>1245617.8799999999</v>
      </c>
      <c r="Z734" s="235"/>
      <c r="AA734" s="235"/>
      <c r="AB734" s="62">
        <v>0</v>
      </c>
      <c r="AC734" s="62"/>
      <c r="AD734" s="62"/>
      <c r="AE734" s="62">
        <v>7746.6906716509002</v>
      </c>
      <c r="AF734" s="62">
        <v>7746.6906716509002</v>
      </c>
      <c r="AG734" s="33">
        <v>2024</v>
      </c>
      <c r="AI734" s="5">
        <f t="shared" si="180"/>
        <v>124430.39159999999</v>
      </c>
      <c r="AJ734" s="5">
        <f>+(K734*12.71+L734*25.41)*12*30-[3]Лист1!$AQ$34</f>
        <v>3637065.44</v>
      </c>
      <c r="AK734" s="5">
        <f t="shared" si="181"/>
        <v>1245617.8799999999</v>
      </c>
      <c r="AL734" s="28">
        <f>'Приложение №2'!E732</f>
        <v>0</v>
      </c>
      <c r="AM734" s="62"/>
      <c r="AN734" s="62"/>
      <c r="AO734" s="110">
        <v>1245617.8799999999</v>
      </c>
      <c r="AP734" s="62">
        <v>0</v>
      </c>
      <c r="AQ734" s="62">
        <v>0</v>
      </c>
      <c r="AR734" s="62"/>
      <c r="AS734" s="62"/>
      <c r="AT734" s="62">
        <v>0</v>
      </c>
      <c r="AU734" s="62"/>
      <c r="AV734" s="62">
        <v>0</v>
      </c>
      <c r="AW734" s="62"/>
      <c r="AX734" s="62">
        <v>0</v>
      </c>
      <c r="AY734" s="62"/>
      <c r="AZ734" s="62"/>
      <c r="BA734" s="151"/>
      <c r="BB734" s="237">
        <f t="shared" si="176"/>
        <v>1</v>
      </c>
    </row>
    <row r="735" spans="1:57" ht="15.75" hidden="1">
      <c r="A735" s="234">
        <f t="shared" si="177"/>
        <v>710</v>
      </c>
      <c r="B735" s="101">
        <f>B732+1</f>
        <v>233</v>
      </c>
      <c r="C735" s="101" t="s">
        <v>104</v>
      </c>
      <c r="D735" s="101" t="s">
        <v>630</v>
      </c>
      <c r="E735" s="102">
        <v>1975</v>
      </c>
      <c r="F735" s="102"/>
      <c r="G735" s="102" t="s">
        <v>3</v>
      </c>
      <c r="H735" s="102">
        <v>4</v>
      </c>
      <c r="I735" s="102">
        <v>3</v>
      </c>
      <c r="J735" s="62">
        <v>2248.5</v>
      </c>
      <c r="K735" s="62">
        <v>1870.6</v>
      </c>
      <c r="L735" s="62">
        <v>291.10000000000002</v>
      </c>
      <c r="M735" s="103">
        <v>72</v>
      </c>
      <c r="N735" s="28">
        <f t="shared" si="174"/>
        <v>640276.6</v>
      </c>
      <c r="O735" s="62"/>
      <c r="P735" s="62">
        <f t="shared" si="178"/>
        <v>0</v>
      </c>
      <c r="Q735" s="236"/>
      <c r="R735" s="236"/>
      <c r="S735" s="62"/>
      <c r="T735" s="236"/>
      <c r="U735" s="236"/>
      <c r="V735" s="28">
        <v>640276.6</v>
      </c>
      <c r="W735" s="235"/>
      <c r="X735" s="235"/>
      <c r="Y735" s="62">
        <v>0</v>
      </c>
      <c r="Z735" s="236"/>
      <c r="AA735" s="236"/>
      <c r="AB735" s="228">
        <v>0</v>
      </c>
      <c r="AC735" s="228"/>
      <c r="AD735" s="228"/>
      <c r="AE735" s="62">
        <v>296.19123837720298</v>
      </c>
      <c r="AF735" s="62">
        <v>296.19123837720298</v>
      </c>
      <c r="AG735" s="33">
        <v>2024</v>
      </c>
      <c r="AH735" s="166">
        <v>344959.67</v>
      </c>
      <c r="AI735" s="5">
        <f t="shared" si="180"/>
        <v>317956.20540000004</v>
      </c>
      <c r="AJ735" s="5">
        <f>+(K735*12.71+L735*25.41)*12*30</f>
        <v>11221983.720000003</v>
      </c>
      <c r="AK735" s="5">
        <f t="shared" si="181"/>
        <v>640276.6</v>
      </c>
      <c r="AL735" s="28">
        <f>'Приложение №2'!E733</f>
        <v>0</v>
      </c>
      <c r="AM735" s="62"/>
      <c r="AN735" s="62"/>
      <c r="AO735" s="62"/>
      <c r="AP735" s="62">
        <v>640276.6</v>
      </c>
      <c r="AQ735" s="62"/>
      <c r="AR735" s="62"/>
      <c r="AS735" s="62"/>
      <c r="AT735" s="62"/>
      <c r="AU735" s="62"/>
      <c r="AV735" s="62"/>
      <c r="AW735" s="62"/>
      <c r="AX735" s="62"/>
      <c r="AY735" s="62"/>
      <c r="AZ735" s="62"/>
      <c r="BA735" s="151"/>
      <c r="BB735" s="237">
        <f t="shared" si="176"/>
        <v>1</v>
      </c>
    </row>
    <row r="736" spans="1:57" ht="15.75" hidden="1">
      <c r="A736" s="234">
        <f t="shared" si="177"/>
        <v>711</v>
      </c>
      <c r="B736" s="101">
        <f>B735+1</f>
        <v>234</v>
      </c>
      <c r="C736" s="101" t="s">
        <v>104</v>
      </c>
      <c r="D736" s="101" t="s">
        <v>632</v>
      </c>
      <c r="E736" s="102">
        <v>1974</v>
      </c>
      <c r="F736" s="102">
        <v>2013</v>
      </c>
      <c r="G736" s="102" t="s">
        <v>3</v>
      </c>
      <c r="H736" s="102">
        <v>4</v>
      </c>
      <c r="I736" s="102">
        <v>3</v>
      </c>
      <c r="J736" s="62">
        <v>2238.1999999999998</v>
      </c>
      <c r="K736" s="62">
        <v>2068.4499999999998</v>
      </c>
      <c r="L736" s="62">
        <v>0</v>
      </c>
      <c r="M736" s="103">
        <v>74</v>
      </c>
      <c r="N736" s="28">
        <f t="shared" si="174"/>
        <v>2435971.4900000002</v>
      </c>
      <c r="O736" s="62"/>
      <c r="P736" s="62">
        <f t="shared" si="178"/>
        <v>0</v>
      </c>
      <c r="Q736" s="236"/>
      <c r="R736" s="236"/>
      <c r="S736" s="62"/>
      <c r="T736" s="236"/>
      <c r="U736" s="236"/>
      <c r="V736" s="28">
        <v>930049.2</v>
      </c>
      <c r="W736" s="235"/>
      <c r="X736" s="235"/>
      <c r="Y736" s="28">
        <v>1505922.29</v>
      </c>
      <c r="Z736" s="235"/>
      <c r="AA736" s="235"/>
      <c r="AB736" s="62"/>
      <c r="AC736" s="62"/>
      <c r="AD736" s="62"/>
      <c r="AE736" s="62">
        <v>1511.8307310151599</v>
      </c>
      <c r="AF736" s="62">
        <v>1511.8307310151599</v>
      </c>
      <c r="AG736" s="33">
        <v>2024</v>
      </c>
      <c r="AH736" s="1">
        <v>686365.11</v>
      </c>
      <c r="AI736" s="5">
        <f t="shared" si="180"/>
        <v>268157.99489999993</v>
      </c>
      <c r="AJ736" s="5">
        <f>+(K736*12.71+L736*25.41)*12*30</f>
        <v>9464399.8199999984</v>
      </c>
      <c r="AK736" s="5">
        <f t="shared" si="181"/>
        <v>2435971.4900000002</v>
      </c>
      <c r="AL736" s="28">
        <f>'Приложение №2'!E734</f>
        <v>0</v>
      </c>
      <c r="AM736" s="62">
        <v>0</v>
      </c>
      <c r="AN736" s="62">
        <v>0</v>
      </c>
      <c r="AO736" s="110">
        <v>2435971.4900000002</v>
      </c>
      <c r="AP736" s="62">
        <v>0</v>
      </c>
      <c r="AQ736" s="62">
        <v>0</v>
      </c>
      <c r="AR736" s="62"/>
      <c r="AS736" s="62"/>
      <c r="AT736" s="62">
        <v>0</v>
      </c>
      <c r="AU736" s="62">
        <v>0</v>
      </c>
      <c r="AV736" s="62">
        <v>0</v>
      </c>
      <c r="AW736" s="62">
        <v>0</v>
      </c>
      <c r="AX736" s="62">
        <v>0</v>
      </c>
      <c r="AY736" s="62"/>
      <c r="AZ736" s="62"/>
      <c r="BA736" s="151"/>
      <c r="BB736" s="237">
        <f t="shared" si="176"/>
        <v>1</v>
      </c>
    </row>
    <row r="737" spans="1:57" ht="15.75" hidden="1">
      <c r="A737" s="234">
        <f t="shared" si="177"/>
        <v>712</v>
      </c>
      <c r="B737" s="101">
        <f>B736+1</f>
        <v>235</v>
      </c>
      <c r="C737" s="101" t="s">
        <v>104</v>
      </c>
      <c r="D737" s="101" t="s">
        <v>633</v>
      </c>
      <c r="E737" s="102">
        <v>1976</v>
      </c>
      <c r="F737" s="102"/>
      <c r="G737" s="102" t="s">
        <v>3</v>
      </c>
      <c r="H737" s="102">
        <v>4</v>
      </c>
      <c r="I737" s="102">
        <v>6</v>
      </c>
      <c r="J737" s="62">
        <v>4614</v>
      </c>
      <c r="K737" s="62">
        <v>4270.7</v>
      </c>
      <c r="L737" s="62">
        <v>0</v>
      </c>
      <c r="M737" s="103">
        <v>148</v>
      </c>
      <c r="N737" s="28">
        <f t="shared" si="174"/>
        <v>1357157.63</v>
      </c>
      <c r="O737" s="62"/>
      <c r="P737" s="62">
        <f t="shared" si="178"/>
        <v>0</v>
      </c>
      <c r="Q737" s="236"/>
      <c r="R737" s="236"/>
      <c r="S737" s="62"/>
      <c r="T737" s="236"/>
      <c r="U737" s="236"/>
      <c r="V737" s="28">
        <v>503131.17</v>
      </c>
      <c r="W737" s="235"/>
      <c r="X737" s="235"/>
      <c r="Y737" s="28">
        <v>854026.46</v>
      </c>
      <c r="Z737" s="235"/>
      <c r="AA737" s="235"/>
      <c r="AB737" s="228">
        <v>0</v>
      </c>
      <c r="AC737" s="228"/>
      <c r="AD737" s="228"/>
      <c r="AE737" s="62">
        <v>317.78341489685499</v>
      </c>
      <c r="AF737" s="62">
        <v>317.78341489685499</v>
      </c>
      <c r="AG737" s="33">
        <v>2024</v>
      </c>
      <c r="AH737" s="166"/>
      <c r="AI737" s="5">
        <f t="shared" si="180"/>
        <v>553662.08939999994</v>
      </c>
      <c r="AJ737" s="5">
        <f>+(K737*12.71+L737*25.41)*12*30-[3]Лист1!$AQ$39</f>
        <v>19261635.52</v>
      </c>
      <c r="AK737" s="5">
        <f t="shared" si="181"/>
        <v>1357157.63</v>
      </c>
      <c r="AL737" s="28">
        <f>'Приложение №2'!E735</f>
        <v>0</v>
      </c>
      <c r="AM737" s="62"/>
      <c r="AN737" s="62"/>
      <c r="AO737" s="62"/>
      <c r="AP737" s="62">
        <v>1357157.63</v>
      </c>
      <c r="AQ737" s="62"/>
      <c r="AR737" s="62"/>
      <c r="AS737" s="62"/>
      <c r="AT737" s="62"/>
      <c r="AU737" s="62"/>
      <c r="AV737" s="62"/>
      <c r="AW737" s="62"/>
      <c r="AX737" s="62"/>
      <c r="AY737" s="62"/>
      <c r="AZ737" s="62"/>
      <c r="BA737" s="151"/>
      <c r="BB737" s="237">
        <f t="shared" si="176"/>
        <v>1</v>
      </c>
    </row>
    <row r="738" spans="1:57" ht="15.75" hidden="1">
      <c r="A738" s="234">
        <f t="shared" si="177"/>
        <v>713</v>
      </c>
      <c r="B738" s="101">
        <f>B737+1</f>
        <v>236</v>
      </c>
      <c r="C738" s="101" t="s">
        <v>104</v>
      </c>
      <c r="D738" s="101" t="s">
        <v>634</v>
      </c>
      <c r="E738" s="102">
        <v>1981</v>
      </c>
      <c r="F738" s="102"/>
      <c r="G738" s="102" t="s">
        <v>3</v>
      </c>
      <c r="H738" s="102">
        <v>5</v>
      </c>
      <c r="I738" s="102">
        <v>4</v>
      </c>
      <c r="J738" s="62">
        <v>3315.7</v>
      </c>
      <c r="K738" s="62">
        <v>2406</v>
      </c>
      <c r="L738" s="62">
        <v>444.3</v>
      </c>
      <c r="M738" s="103">
        <v>83</v>
      </c>
      <c r="N738" s="28">
        <f t="shared" ref="N738:N769" si="182">P738+S738+V738+Y738+AB738</f>
        <v>530132.51</v>
      </c>
      <c r="O738" s="62"/>
      <c r="P738" s="62">
        <f t="shared" si="178"/>
        <v>0</v>
      </c>
      <c r="Q738" s="236"/>
      <c r="R738" s="236"/>
      <c r="S738" s="62"/>
      <c r="T738" s="236"/>
      <c r="U738" s="236"/>
      <c r="V738" s="28">
        <v>530132.51</v>
      </c>
      <c r="W738" s="235"/>
      <c r="X738" s="235"/>
      <c r="Y738" s="28">
        <v>0</v>
      </c>
      <c r="Z738" s="235"/>
      <c r="AA738" s="235"/>
      <c r="AB738" s="228">
        <v>0</v>
      </c>
      <c r="AC738" s="228"/>
      <c r="AD738" s="228"/>
      <c r="AE738" s="62">
        <v>185.99182893028799</v>
      </c>
      <c r="AF738" s="62">
        <v>185.99182893028799</v>
      </c>
      <c r="AG738" s="33">
        <v>2024</v>
      </c>
      <c r="AH738" s="166">
        <v>1643663.48</v>
      </c>
      <c r="AI738" s="5">
        <f t="shared" si="180"/>
        <v>427073.21460000001</v>
      </c>
      <c r="AJ738" s="5">
        <f>+(K738*12.71+L738*25.41)*12*30</f>
        <v>15073172.279999999</v>
      </c>
      <c r="AK738" s="5">
        <f t="shared" si="181"/>
        <v>530132.51</v>
      </c>
      <c r="AL738" s="28">
        <f>'Приложение №2'!E736</f>
        <v>0</v>
      </c>
      <c r="AM738" s="62"/>
      <c r="AN738" s="62"/>
      <c r="AO738" s="62"/>
      <c r="AP738" s="62">
        <v>530132.51</v>
      </c>
      <c r="AQ738" s="62"/>
      <c r="AR738" s="62"/>
      <c r="AS738" s="62"/>
      <c r="AT738" s="62"/>
      <c r="AU738" s="62"/>
      <c r="AV738" s="62"/>
      <c r="AW738" s="62"/>
      <c r="AX738" s="62"/>
      <c r="AY738" s="62"/>
      <c r="AZ738" s="62"/>
      <c r="BA738" s="151"/>
      <c r="BB738" s="237">
        <f t="shared" ref="BB738:BB769" si="183">COUNTIF(AM738:AX738, "&gt;0")</f>
        <v>1</v>
      </c>
    </row>
    <row r="739" spans="1:57" ht="15.75" hidden="1">
      <c r="A739" s="234">
        <f t="shared" ref="A739:A770" si="184">A738+1</f>
        <v>714</v>
      </c>
      <c r="B739" s="101" t="s">
        <v>96</v>
      </c>
      <c r="C739" s="101" t="s">
        <v>355</v>
      </c>
      <c r="D739" s="101" t="s">
        <v>358</v>
      </c>
      <c r="E739" s="102">
        <v>1969</v>
      </c>
      <c r="F739" s="102">
        <v>1969</v>
      </c>
      <c r="G739" s="102" t="s">
        <v>3</v>
      </c>
      <c r="H739" s="102">
        <v>4</v>
      </c>
      <c r="I739" s="102">
        <v>4</v>
      </c>
      <c r="J739" s="62">
        <v>1301.0999999999999</v>
      </c>
      <c r="K739" s="62">
        <v>1206.0999999999999</v>
      </c>
      <c r="L739" s="62">
        <v>0</v>
      </c>
      <c r="M739" s="103">
        <v>55</v>
      </c>
      <c r="N739" s="28">
        <f t="shared" si="182"/>
        <v>1303632.49</v>
      </c>
      <c r="O739" s="62"/>
      <c r="P739" s="62">
        <f t="shared" si="178"/>
        <v>0</v>
      </c>
      <c r="Q739" s="236"/>
      <c r="R739" s="236"/>
      <c r="S739" s="62"/>
      <c r="T739" s="236"/>
      <c r="U739" s="236"/>
      <c r="V739" s="28">
        <v>129173.31</v>
      </c>
      <c r="W739" s="235"/>
      <c r="X739" s="235"/>
      <c r="Y739" s="28">
        <v>1174459.18</v>
      </c>
      <c r="Z739" s="235"/>
      <c r="AA739" s="235"/>
      <c r="AB739" s="28"/>
      <c r="AC739" s="28"/>
      <c r="AD739" s="28"/>
      <c r="AE739" s="62">
        <v>6767.5078687261102</v>
      </c>
      <c r="AF739" s="62">
        <v>1365.2830200640001</v>
      </c>
      <c r="AG739" s="33">
        <v>2024</v>
      </c>
      <c r="AH739" s="18"/>
      <c r="AI739" s="5">
        <f t="shared" si="180"/>
        <v>156361.21619999997</v>
      </c>
      <c r="AJ739" s="5">
        <f>+(K739*12.71+L739*25.41)*12*30-[3]Лист1!$AQ$49</f>
        <v>4797243.3699999992</v>
      </c>
      <c r="AK739" s="5">
        <f t="shared" si="181"/>
        <v>1303632.49</v>
      </c>
      <c r="AL739" s="28">
        <f>'Приложение №2'!E737</f>
        <v>0</v>
      </c>
      <c r="AM739" s="62"/>
      <c r="AN739" s="62"/>
      <c r="AO739" s="62">
        <v>1303632.49</v>
      </c>
      <c r="AP739" s="62"/>
      <c r="AQ739" s="62"/>
      <c r="AR739" s="62"/>
      <c r="AS739" s="62"/>
      <c r="AT739" s="62">
        <v>0</v>
      </c>
      <c r="AU739" s="110"/>
      <c r="AV739" s="62">
        <v>0</v>
      </c>
      <c r="AW739" s="62"/>
      <c r="AX739" s="62"/>
      <c r="AY739" s="62"/>
      <c r="AZ739" s="62"/>
      <c r="BA739" s="151"/>
      <c r="BB739" s="237">
        <f t="shared" si="183"/>
        <v>1</v>
      </c>
    </row>
    <row r="740" spans="1:57" ht="15.75" hidden="1">
      <c r="A740" s="234">
        <f t="shared" si="184"/>
        <v>715</v>
      </c>
      <c r="B740" s="101" t="s">
        <v>96</v>
      </c>
      <c r="C740" s="101" t="s">
        <v>355</v>
      </c>
      <c r="D740" s="101" t="s">
        <v>529</v>
      </c>
      <c r="E740" s="102">
        <v>1970</v>
      </c>
      <c r="F740" s="102">
        <v>1970</v>
      </c>
      <c r="G740" s="102" t="s">
        <v>3</v>
      </c>
      <c r="H740" s="102">
        <v>4</v>
      </c>
      <c r="I740" s="102">
        <v>4</v>
      </c>
      <c r="J740" s="62">
        <v>1365.1</v>
      </c>
      <c r="K740" s="62">
        <v>1195.1600000000001</v>
      </c>
      <c r="L740" s="62">
        <v>66.400000000000006</v>
      </c>
      <c r="M740" s="103">
        <v>42</v>
      </c>
      <c r="N740" s="28">
        <f t="shared" si="182"/>
        <v>1313261.1200000001</v>
      </c>
      <c r="O740" s="62"/>
      <c r="P740" s="62">
        <f t="shared" si="178"/>
        <v>0</v>
      </c>
      <c r="Q740" s="236"/>
      <c r="R740" s="236"/>
      <c r="S740" s="62"/>
      <c r="T740" s="236"/>
      <c r="U740" s="236"/>
      <c r="V740" s="28"/>
      <c r="W740" s="235"/>
      <c r="X740" s="235"/>
      <c r="Y740" s="28">
        <v>1313261.1200000001</v>
      </c>
      <c r="Z740" s="235"/>
      <c r="AA740" s="235"/>
      <c r="AB740" s="28"/>
      <c r="AC740" s="28"/>
      <c r="AD740" s="28"/>
      <c r="AE740" s="62">
        <v>5482.3001045112296</v>
      </c>
      <c r="AF740" s="62">
        <v>1366.2830200640001</v>
      </c>
      <c r="AG740" s="33">
        <v>2024</v>
      </c>
      <c r="AH740" s="18"/>
      <c r="AI740" s="5">
        <f t="shared" si="180"/>
        <v>172152.61752</v>
      </c>
      <c r="AJ740" s="5">
        <f>+(K740*12.71+L740*25.41)*12*30-[3]Лист1!$AQ$50</f>
        <v>1421982.1860000007</v>
      </c>
      <c r="AK740" s="5">
        <f t="shared" si="181"/>
        <v>1313261.1200000001</v>
      </c>
      <c r="AL740" s="28">
        <f>'Приложение №2'!E738</f>
        <v>0</v>
      </c>
      <c r="AM740" s="62"/>
      <c r="AN740" s="62"/>
      <c r="AO740" s="62">
        <v>1313261.1200000001</v>
      </c>
      <c r="AP740" s="62"/>
      <c r="AQ740" s="62">
        <v>0</v>
      </c>
      <c r="AR740" s="62"/>
      <c r="AS740" s="62"/>
      <c r="AT740" s="62">
        <v>0</v>
      </c>
      <c r="AU740" s="62"/>
      <c r="AV740" s="62">
        <v>0</v>
      </c>
      <c r="AW740" s="62"/>
      <c r="AX740" s="62"/>
      <c r="AY740" s="62"/>
      <c r="AZ740" s="62"/>
      <c r="BA740" s="151"/>
      <c r="BB740" s="237">
        <f t="shared" si="183"/>
        <v>1</v>
      </c>
    </row>
    <row r="741" spans="1:57" ht="15.75" hidden="1">
      <c r="A741" s="234">
        <f t="shared" si="184"/>
        <v>716</v>
      </c>
      <c r="B741" s="101" t="s">
        <v>96</v>
      </c>
      <c r="C741" s="101" t="s">
        <v>116</v>
      </c>
      <c r="D741" s="101" t="s">
        <v>548</v>
      </c>
      <c r="E741" s="102">
        <v>1993</v>
      </c>
      <c r="F741" s="102">
        <v>2009</v>
      </c>
      <c r="G741" s="102" t="s">
        <v>3</v>
      </c>
      <c r="H741" s="102">
        <v>9</v>
      </c>
      <c r="I741" s="102">
        <v>1</v>
      </c>
      <c r="J741" s="62">
        <v>2345</v>
      </c>
      <c r="K741" s="62">
        <v>1959.1</v>
      </c>
      <c r="L741" s="62">
        <v>0</v>
      </c>
      <c r="M741" s="103">
        <v>80</v>
      </c>
      <c r="N741" s="28">
        <f t="shared" si="182"/>
        <v>4994023.75</v>
      </c>
      <c r="O741" s="62"/>
      <c r="P741" s="62">
        <f t="shared" si="178"/>
        <v>0</v>
      </c>
      <c r="Q741" s="235"/>
      <c r="R741" s="235"/>
      <c r="S741" s="62"/>
      <c r="T741" s="236"/>
      <c r="U741" s="236"/>
      <c r="V741" s="28">
        <v>498400.31</v>
      </c>
      <c r="W741" s="235"/>
      <c r="X741" s="235"/>
      <c r="Y741" s="28">
        <v>4495623.4400000004</v>
      </c>
      <c r="Z741" s="235"/>
      <c r="AA741" s="235"/>
      <c r="AB741" s="28">
        <v>0</v>
      </c>
      <c r="AC741" s="28"/>
      <c r="AD741" s="28"/>
      <c r="AE741" s="62">
        <v>5613.6329056046097</v>
      </c>
      <c r="AF741" s="62">
        <v>1394.2830200640001</v>
      </c>
      <c r="AG741" s="33">
        <v>2024</v>
      </c>
      <c r="AH741" s="98">
        <v>0</v>
      </c>
      <c r="AI741" s="5">
        <f>+(K741*16.89+L741*28.62)*12*0.85</f>
        <v>337509.82980000001</v>
      </c>
      <c r="AJ741" s="5">
        <f>+(K741*16.89+L741*28.62)*12*30-[3]Лист1!$AQ$73</f>
        <v>9780197.8000000007</v>
      </c>
      <c r="AK741" s="5">
        <f t="shared" si="181"/>
        <v>4994023.75</v>
      </c>
      <c r="AL741" s="28">
        <f>'Приложение №2'!E739</f>
        <v>0</v>
      </c>
      <c r="AM741" s="62"/>
      <c r="AN741" s="62">
        <v>3364670.03</v>
      </c>
      <c r="AO741" s="62">
        <v>0</v>
      </c>
      <c r="AP741" s="62">
        <v>1888125.73</v>
      </c>
      <c r="AQ741" s="62">
        <v>0</v>
      </c>
      <c r="AR741" s="62"/>
      <c r="AS741" s="62"/>
      <c r="AT741" s="62">
        <v>0</v>
      </c>
      <c r="AU741" s="62"/>
      <c r="AV741" s="62"/>
      <c r="AW741" s="62"/>
      <c r="AX741" s="62"/>
      <c r="AY741" s="62"/>
      <c r="AZ741" s="62"/>
      <c r="BA741" s="151"/>
      <c r="BB741" s="237">
        <f t="shared" si="183"/>
        <v>2</v>
      </c>
    </row>
    <row r="742" spans="1:57" ht="15.75" hidden="1">
      <c r="A742" s="234">
        <f t="shared" si="184"/>
        <v>717</v>
      </c>
      <c r="B742" s="101">
        <f>B738+1</f>
        <v>237</v>
      </c>
      <c r="C742" s="101" t="s">
        <v>116</v>
      </c>
      <c r="D742" s="101" t="s">
        <v>640</v>
      </c>
      <c r="E742" s="102">
        <v>1969</v>
      </c>
      <c r="F742" s="102">
        <v>1969</v>
      </c>
      <c r="G742" s="102" t="s">
        <v>3</v>
      </c>
      <c r="H742" s="102">
        <v>4</v>
      </c>
      <c r="I742" s="102">
        <v>2</v>
      </c>
      <c r="J742" s="62">
        <v>1357.7</v>
      </c>
      <c r="K742" s="62">
        <v>1089.9000000000001</v>
      </c>
      <c r="L742" s="62">
        <v>150.80000000000001</v>
      </c>
      <c r="M742" s="103">
        <v>48</v>
      </c>
      <c r="N742" s="28">
        <f t="shared" si="182"/>
        <v>1259175.3500000001</v>
      </c>
      <c r="O742" s="62"/>
      <c r="P742" s="62">
        <f t="shared" si="178"/>
        <v>0</v>
      </c>
      <c r="Q742" s="236"/>
      <c r="R742" s="236"/>
      <c r="S742" s="62"/>
      <c r="T742" s="236"/>
      <c r="U742" s="236"/>
      <c r="V742" s="28">
        <v>300845.87</v>
      </c>
      <c r="W742" s="235"/>
      <c r="X742" s="235"/>
      <c r="Y742" s="28">
        <v>958329.48</v>
      </c>
      <c r="Z742" s="235"/>
      <c r="AA742" s="235"/>
      <c r="AB742" s="28">
        <v>0</v>
      </c>
      <c r="AC742" s="28"/>
      <c r="AD742" s="28"/>
      <c r="AE742" s="62">
        <v>5109.6917299789002</v>
      </c>
      <c r="AF742" s="62">
        <v>1391.2830200640001</v>
      </c>
      <c r="AG742" s="33">
        <v>2024</v>
      </c>
      <c r="AH742" s="18">
        <v>680410.23</v>
      </c>
      <c r="AI742" s="5">
        <f>+(K742*12.71+L742*25.41)*12*0.85</f>
        <v>180381.46140000003</v>
      </c>
      <c r="AJ742" s="5">
        <f>+(K742*12.71+L742*25.41)*12*30</f>
        <v>6366404.5200000005</v>
      </c>
      <c r="AL742" s="28">
        <f>'Приложение №2'!E740</f>
        <v>0</v>
      </c>
      <c r="AM742" s="62"/>
      <c r="AN742" s="62"/>
      <c r="AO742" s="62">
        <v>1259175.3500000001</v>
      </c>
      <c r="AP742" s="62"/>
      <c r="AQ742" s="62">
        <v>0</v>
      </c>
      <c r="AR742" s="62"/>
      <c r="AS742" s="62"/>
      <c r="AT742" s="62">
        <v>0</v>
      </c>
      <c r="AU742" s="62">
        <v>0</v>
      </c>
      <c r="AV742" s="62">
        <v>0</v>
      </c>
      <c r="AW742" s="62">
        <v>0</v>
      </c>
      <c r="AX742" s="62">
        <v>0</v>
      </c>
      <c r="AY742" s="62"/>
      <c r="AZ742" s="62"/>
      <c r="BA742" s="151"/>
      <c r="BB742" s="237">
        <f t="shared" si="183"/>
        <v>1</v>
      </c>
    </row>
    <row r="743" spans="1:57" ht="15.75" hidden="1">
      <c r="A743" s="234">
        <f t="shared" si="184"/>
        <v>718</v>
      </c>
      <c r="B743" s="101">
        <f>+B742+1</f>
        <v>238</v>
      </c>
      <c r="C743" s="101" t="s">
        <v>116</v>
      </c>
      <c r="D743" s="101" t="s">
        <v>642</v>
      </c>
      <c r="E743" s="102">
        <v>1972</v>
      </c>
      <c r="F743" s="102">
        <v>1972</v>
      </c>
      <c r="G743" s="102" t="s">
        <v>3</v>
      </c>
      <c r="H743" s="102">
        <v>4</v>
      </c>
      <c r="I743" s="102">
        <v>2</v>
      </c>
      <c r="J743" s="62">
        <v>1419.91</v>
      </c>
      <c r="K743" s="62">
        <v>1089.9100000000001</v>
      </c>
      <c r="L743" s="62">
        <v>330</v>
      </c>
      <c r="M743" s="103">
        <v>53</v>
      </c>
      <c r="N743" s="28">
        <f t="shared" si="182"/>
        <v>1521569.9</v>
      </c>
      <c r="O743" s="62"/>
      <c r="P743" s="62">
        <f t="shared" si="178"/>
        <v>0</v>
      </c>
      <c r="Q743" s="236"/>
      <c r="R743" s="236"/>
      <c r="S743" s="62"/>
      <c r="T743" s="236"/>
      <c r="U743" s="236"/>
      <c r="V743" s="28">
        <v>985453.7</v>
      </c>
      <c r="W743" s="235"/>
      <c r="X743" s="235"/>
      <c r="Y743" s="28">
        <v>536116.19999999995</v>
      </c>
      <c r="Z743" s="235"/>
      <c r="AA743" s="235"/>
      <c r="AB743" s="28"/>
      <c r="AC743" s="28"/>
      <c r="AD743" s="28"/>
      <c r="AE743" s="62">
        <v>946.54218929368801</v>
      </c>
      <c r="AF743" s="62">
        <v>946.54218929368801</v>
      </c>
      <c r="AG743" s="33">
        <v>2024</v>
      </c>
      <c r="AH743" s="1">
        <v>827110</v>
      </c>
      <c r="AI743" s="5">
        <f>+(K743*12.71+L743*25.41)*12*0.85</f>
        <v>226828.17222000001</v>
      </c>
      <c r="AJ743" s="5">
        <f>+(K743*12.71+L743*25.41)*12*30</f>
        <v>8005700.1960000005</v>
      </c>
      <c r="AK743" s="5">
        <f>+N743-AL743</f>
        <v>1521569.9</v>
      </c>
      <c r="AL743" s="28">
        <f>'Приложение №2'!E741</f>
        <v>0</v>
      </c>
      <c r="AM743" s="62"/>
      <c r="AN743" s="62"/>
      <c r="AO743" s="62">
        <v>985453.7</v>
      </c>
      <c r="AP743" s="62"/>
      <c r="AQ743" s="62">
        <v>0</v>
      </c>
      <c r="AR743" s="62"/>
      <c r="AS743" s="62"/>
      <c r="AT743" s="62"/>
      <c r="AU743" s="62"/>
      <c r="AV743" s="62">
        <v>0</v>
      </c>
      <c r="AW743" s="62">
        <v>0</v>
      </c>
      <c r="AX743" s="62">
        <v>0</v>
      </c>
      <c r="AY743" s="62"/>
      <c r="AZ743" s="62"/>
      <c r="BA743" s="151"/>
      <c r="BB743" s="237">
        <f t="shared" si="183"/>
        <v>1</v>
      </c>
      <c r="BD743" s="5"/>
    </row>
    <row r="744" spans="1:57" ht="15.75" hidden="1">
      <c r="A744" s="234">
        <f t="shared" si="184"/>
        <v>719</v>
      </c>
      <c r="B744" s="101">
        <f>B743+1</f>
        <v>239</v>
      </c>
      <c r="C744" s="101" t="s">
        <v>116</v>
      </c>
      <c r="D744" s="101" t="s">
        <v>644</v>
      </c>
      <c r="E744" s="102">
        <v>1971</v>
      </c>
      <c r="F744" s="102">
        <v>2017</v>
      </c>
      <c r="G744" s="102" t="s">
        <v>3</v>
      </c>
      <c r="H744" s="102">
        <v>4</v>
      </c>
      <c r="I744" s="102">
        <v>3</v>
      </c>
      <c r="J744" s="62">
        <v>2241.3000000000002</v>
      </c>
      <c r="K744" s="62">
        <v>1923.5</v>
      </c>
      <c r="L744" s="62">
        <v>103.1</v>
      </c>
      <c r="M744" s="103">
        <v>95</v>
      </c>
      <c r="N744" s="28">
        <f t="shared" si="182"/>
        <v>1525697.72</v>
      </c>
      <c r="O744" s="62"/>
      <c r="P744" s="62">
        <f t="shared" si="178"/>
        <v>0</v>
      </c>
      <c r="Q744" s="236"/>
      <c r="R744" s="236"/>
      <c r="S744" s="62"/>
      <c r="T744" s="236"/>
      <c r="U744" s="236"/>
      <c r="V744" s="28">
        <v>768676.62</v>
      </c>
      <c r="W744" s="235"/>
      <c r="X744" s="235"/>
      <c r="Y744" s="28">
        <v>757021.1</v>
      </c>
      <c r="Z744" s="235"/>
      <c r="AA744" s="235"/>
      <c r="AB744" s="28">
        <v>0</v>
      </c>
      <c r="AC744" s="28"/>
      <c r="AD744" s="28"/>
      <c r="AE744" s="62">
        <v>1534.68233494523</v>
      </c>
      <c r="AF744" s="62">
        <v>1534.68233494523</v>
      </c>
      <c r="AG744" s="33">
        <v>2024</v>
      </c>
      <c r="AH744" s="1">
        <v>520397.68</v>
      </c>
      <c r="AI744" s="5">
        <f>+(K744*12.71+L744*25.41)*12*0.85</f>
        <v>276088.05119999999</v>
      </c>
      <c r="AJ744" s="5">
        <f>+(K744*12.71+L744*25.41)*12*30</f>
        <v>9744284.1600000001</v>
      </c>
      <c r="AL744" s="28">
        <f>'Приложение №2'!E742</f>
        <v>0</v>
      </c>
      <c r="AM744" s="62">
        <v>0</v>
      </c>
      <c r="AN744" s="62">
        <v>0</v>
      </c>
      <c r="AO744" s="62">
        <v>1525697.72</v>
      </c>
      <c r="AP744" s="62">
        <v>0</v>
      </c>
      <c r="AQ744" s="62">
        <v>0</v>
      </c>
      <c r="AR744" s="62"/>
      <c r="AS744" s="62"/>
      <c r="AT744" s="62">
        <v>0</v>
      </c>
      <c r="AU744" s="62">
        <v>0</v>
      </c>
      <c r="AV744" s="62">
        <v>0</v>
      </c>
      <c r="AW744" s="62">
        <v>0</v>
      </c>
      <c r="AX744" s="62">
        <v>0</v>
      </c>
      <c r="AY744" s="62"/>
      <c r="AZ744" s="62"/>
      <c r="BA744" s="151"/>
      <c r="BB744" s="237">
        <f t="shared" si="183"/>
        <v>1</v>
      </c>
    </row>
    <row r="745" spans="1:57" ht="15.75" hidden="1">
      <c r="A745" s="234">
        <f t="shared" si="184"/>
        <v>720</v>
      </c>
      <c r="B745" s="101" t="s">
        <v>96</v>
      </c>
      <c r="C745" s="101" t="s">
        <v>116</v>
      </c>
      <c r="D745" s="101" t="s">
        <v>125</v>
      </c>
      <c r="E745" s="102">
        <v>1986</v>
      </c>
      <c r="F745" s="102">
        <v>2015</v>
      </c>
      <c r="G745" s="102" t="s">
        <v>3</v>
      </c>
      <c r="H745" s="102">
        <v>9</v>
      </c>
      <c r="I745" s="102">
        <v>1</v>
      </c>
      <c r="J745" s="62">
        <v>2147.3000000000002</v>
      </c>
      <c r="K745" s="62">
        <v>1765</v>
      </c>
      <c r="L745" s="62">
        <v>118.1</v>
      </c>
      <c r="M745" s="103">
        <v>71</v>
      </c>
      <c r="N745" s="28">
        <f t="shared" si="182"/>
        <v>2363298.6833100002</v>
      </c>
      <c r="O745" s="62"/>
      <c r="P745" s="62">
        <f t="shared" si="178"/>
        <v>0</v>
      </c>
      <c r="Q745" s="236"/>
      <c r="R745" s="236"/>
      <c r="S745" s="62"/>
      <c r="T745" s="236"/>
      <c r="U745" s="236"/>
      <c r="V745" s="28"/>
      <c r="W745" s="235"/>
      <c r="X745" s="235"/>
      <c r="Y745" s="28">
        <v>2363298.6833100002</v>
      </c>
      <c r="Z745" s="235"/>
      <c r="AA745" s="235"/>
      <c r="AB745" s="28"/>
      <c r="AC745" s="28"/>
      <c r="AD745" s="28"/>
      <c r="AE745" s="62">
        <v>10650.4915964548</v>
      </c>
      <c r="AF745" s="62">
        <v>10650.4915964548</v>
      </c>
      <c r="AG745" s="33">
        <v>2024</v>
      </c>
      <c r="AI745" s="5">
        <f>+(K745*16.89+L745*28.62)*12*0.85</f>
        <v>338546.89440000005</v>
      </c>
      <c r="AJ745" s="5">
        <f>+(K745*16.89+L745*28.62)*12*30-[3]Лист1!$AQ$95</f>
        <v>10214710.230000002</v>
      </c>
      <c r="AK745" s="5">
        <f>+N745-AL745</f>
        <v>2363298.6833100002</v>
      </c>
      <c r="AL745" s="28">
        <f>'Приложение №2'!E743</f>
        <v>0</v>
      </c>
      <c r="AM745" s="62"/>
      <c r="AN745" s="62"/>
      <c r="AO745" s="62">
        <v>589782.92330999998</v>
      </c>
      <c r="AP745" s="62">
        <v>1773515.76</v>
      </c>
      <c r="AQ745" s="62">
        <v>0</v>
      </c>
      <c r="AR745" s="62"/>
      <c r="AS745" s="62"/>
      <c r="AT745" s="62">
        <v>0</v>
      </c>
      <c r="AU745" s="62"/>
      <c r="AV745" s="62">
        <v>0</v>
      </c>
      <c r="AW745" s="62">
        <v>0</v>
      </c>
      <c r="AX745" s="62"/>
      <c r="AY745" s="62"/>
      <c r="AZ745" s="62"/>
      <c r="BA745" s="151"/>
      <c r="BB745" s="237">
        <f t="shared" si="183"/>
        <v>2</v>
      </c>
    </row>
    <row r="746" spans="1:57" ht="15.75" hidden="1">
      <c r="A746" s="234">
        <f t="shared" si="184"/>
        <v>721</v>
      </c>
      <c r="B746" s="101">
        <f>B744+1</f>
        <v>240</v>
      </c>
      <c r="C746" s="101" t="s">
        <v>135</v>
      </c>
      <c r="D746" s="101" t="s">
        <v>389</v>
      </c>
      <c r="E746" s="102">
        <v>1985</v>
      </c>
      <c r="F746" s="102">
        <v>1985</v>
      </c>
      <c r="G746" s="102" t="s">
        <v>3</v>
      </c>
      <c r="H746" s="102">
        <v>5</v>
      </c>
      <c r="I746" s="102">
        <v>4</v>
      </c>
      <c r="J746" s="62">
        <v>4957.5</v>
      </c>
      <c r="K746" s="62">
        <v>4305.3999999999996</v>
      </c>
      <c r="L746" s="62">
        <v>651.20000000000005</v>
      </c>
      <c r="M746" s="103">
        <v>166</v>
      </c>
      <c r="N746" s="28">
        <f t="shared" si="182"/>
        <v>16592400.52</v>
      </c>
      <c r="O746" s="62"/>
      <c r="P746" s="62">
        <f t="shared" ref="P746:P777" si="185">Q746+R746</f>
        <v>0</v>
      </c>
      <c r="Q746" s="236"/>
      <c r="R746" s="236"/>
      <c r="S746" s="62"/>
      <c r="T746" s="236"/>
      <c r="U746" s="236"/>
      <c r="V746" s="28">
        <v>2394987.7999999998</v>
      </c>
      <c r="W746" s="235"/>
      <c r="X746" s="235"/>
      <c r="Y746" s="28">
        <v>11599011.4</v>
      </c>
      <c r="Z746" s="235"/>
      <c r="AA746" s="235"/>
      <c r="AB746" s="28">
        <v>2598401.3199999998</v>
      </c>
      <c r="AC746" s="28"/>
      <c r="AD746" s="28"/>
      <c r="AE746" s="62">
        <v>3984.0329045448502</v>
      </c>
      <c r="AF746" s="62">
        <v>3984.0329045448502</v>
      </c>
      <c r="AG746" s="33">
        <v>2024</v>
      </c>
      <c r="AI746" s="5">
        <f>+(K746*12.71+L746*25.41)*12*0.85</f>
        <v>726939.98520000011</v>
      </c>
      <c r="AJ746" s="5">
        <f>+(K746*12.71+L746*25.41)*12*30-[3]Лист1!$AQ$112</f>
        <v>13938484.360000003</v>
      </c>
      <c r="AK746" s="5">
        <f>+N746-AL746</f>
        <v>16592400.52</v>
      </c>
      <c r="AL746" s="28">
        <f>'Приложение №2'!E744</f>
        <v>0</v>
      </c>
      <c r="AM746" s="62">
        <v>11804046.439999999</v>
      </c>
      <c r="AN746" s="62">
        <v>4788354.08</v>
      </c>
      <c r="AO746" s="62">
        <v>0</v>
      </c>
      <c r="AP746" s="62">
        <v>0</v>
      </c>
      <c r="AQ746" s="62">
        <v>0</v>
      </c>
      <c r="AR746" s="62"/>
      <c r="AS746" s="62"/>
      <c r="AT746" s="62">
        <v>0</v>
      </c>
      <c r="AU746" s="62"/>
      <c r="AV746" s="62">
        <v>0</v>
      </c>
      <c r="AW746" s="62">
        <v>0</v>
      </c>
      <c r="AX746" s="62">
        <v>0</v>
      </c>
      <c r="AY746" s="62"/>
      <c r="AZ746" s="62"/>
      <c r="BA746" s="151"/>
      <c r="BB746" s="237">
        <f t="shared" si="183"/>
        <v>2</v>
      </c>
      <c r="BD746" s="5"/>
    </row>
    <row r="747" spans="1:57" ht="15.75" hidden="1">
      <c r="A747" s="234">
        <f t="shared" si="184"/>
        <v>722</v>
      </c>
      <c r="B747" s="101" t="s">
        <v>96</v>
      </c>
      <c r="C747" s="101" t="s">
        <v>135</v>
      </c>
      <c r="D747" s="101" t="s">
        <v>390</v>
      </c>
      <c r="E747" s="102">
        <v>1988</v>
      </c>
      <c r="F747" s="102">
        <v>1988</v>
      </c>
      <c r="G747" s="102" t="s">
        <v>3</v>
      </c>
      <c r="H747" s="102">
        <v>5</v>
      </c>
      <c r="I747" s="102">
        <v>4</v>
      </c>
      <c r="J747" s="62">
        <v>5038.3999999999996</v>
      </c>
      <c r="K747" s="62">
        <v>3442.8</v>
      </c>
      <c r="L747" s="62">
        <v>1586</v>
      </c>
      <c r="M747" s="103">
        <v>156</v>
      </c>
      <c r="N747" s="28">
        <f t="shared" si="182"/>
        <v>3470786.32</v>
      </c>
      <c r="O747" s="62"/>
      <c r="P747" s="62">
        <f t="shared" si="185"/>
        <v>0</v>
      </c>
      <c r="Q747" s="236"/>
      <c r="R747" s="236"/>
      <c r="S747" s="62"/>
      <c r="T747" s="236"/>
      <c r="U747" s="236"/>
      <c r="V747" s="28">
        <v>156448.04</v>
      </c>
      <c r="W747" s="235"/>
      <c r="X747" s="235"/>
      <c r="Y747" s="28">
        <v>3314338.28</v>
      </c>
      <c r="Z747" s="235"/>
      <c r="AA747" s="235"/>
      <c r="AB747" s="28"/>
      <c r="AC747" s="28"/>
      <c r="AD747" s="28"/>
      <c r="AE747" s="62">
        <v>4863.6380326519302</v>
      </c>
      <c r="AF747" s="62">
        <v>4863.6380326519302</v>
      </c>
      <c r="AG747" s="33">
        <v>2024</v>
      </c>
      <c r="AH747" s="18"/>
      <c r="AI747" s="5">
        <f>+(K747*12.71+L747*25.41)*12*0.85</f>
        <v>857394.12959999999</v>
      </c>
      <c r="AJ747" s="5">
        <f>+(K747*12.71+L747*25.41)*12*30-[3]Лист1!$AQ$113</f>
        <v>18343165.98</v>
      </c>
      <c r="AL747" s="28">
        <f>'Приложение №2'!E745</f>
        <v>0</v>
      </c>
      <c r="AM747" s="62"/>
      <c r="AN747" s="62"/>
      <c r="AO747" s="62">
        <v>3470786.32</v>
      </c>
      <c r="AP747" s="62">
        <v>0</v>
      </c>
      <c r="AQ747" s="62">
        <v>0</v>
      </c>
      <c r="AR747" s="62"/>
      <c r="AS747" s="62"/>
      <c r="AT747" s="62">
        <v>0</v>
      </c>
      <c r="AU747" s="62"/>
      <c r="AV747" s="62">
        <v>0</v>
      </c>
      <c r="AW747" s="62">
        <v>0</v>
      </c>
      <c r="AX747" s="62">
        <v>0</v>
      </c>
      <c r="AY747" s="62"/>
      <c r="AZ747" s="62"/>
      <c r="BA747" s="151"/>
      <c r="BB747" s="237">
        <f t="shared" si="183"/>
        <v>1</v>
      </c>
    </row>
    <row r="748" spans="1:57" ht="15.75" hidden="1">
      <c r="A748" s="234">
        <f t="shared" si="184"/>
        <v>723</v>
      </c>
      <c r="B748" s="101" t="s">
        <v>96</v>
      </c>
      <c r="C748" s="101" t="s">
        <v>106</v>
      </c>
      <c r="D748" s="101" t="s">
        <v>109</v>
      </c>
      <c r="E748" s="102">
        <v>1990</v>
      </c>
      <c r="F748" s="102">
        <v>1990</v>
      </c>
      <c r="G748" s="102" t="s">
        <v>3</v>
      </c>
      <c r="H748" s="102">
        <v>5</v>
      </c>
      <c r="I748" s="102">
        <v>6</v>
      </c>
      <c r="J748" s="62">
        <v>5208.7</v>
      </c>
      <c r="K748" s="62">
        <v>4621.34</v>
      </c>
      <c r="L748" s="62">
        <v>0</v>
      </c>
      <c r="M748" s="103">
        <v>183</v>
      </c>
      <c r="N748" s="28">
        <f t="shared" si="182"/>
        <v>5961096.5899999999</v>
      </c>
      <c r="O748" s="62"/>
      <c r="P748" s="62">
        <f t="shared" si="185"/>
        <v>0</v>
      </c>
      <c r="Q748" s="235"/>
      <c r="R748" s="235"/>
      <c r="S748" s="62"/>
      <c r="T748" s="236"/>
      <c r="U748" s="236"/>
      <c r="V748" s="28">
        <v>181480.03</v>
      </c>
      <c r="W748" s="235"/>
      <c r="X748" s="235"/>
      <c r="Y748" s="28">
        <v>5779616.5599999996</v>
      </c>
      <c r="Z748" s="235"/>
      <c r="AA748" s="235"/>
      <c r="AB748" s="28"/>
      <c r="AC748" s="28"/>
      <c r="AD748" s="28"/>
      <c r="AE748" s="62">
        <v>7126.2282086177502</v>
      </c>
      <c r="AF748" s="62">
        <v>1181.2830200640001</v>
      </c>
      <c r="AG748" s="33">
        <v>2024</v>
      </c>
      <c r="AH748" s="18"/>
      <c r="AI748" s="5">
        <f>+(K748*12.71+L748*25.41)*12*0.85</f>
        <v>599119.76028000005</v>
      </c>
      <c r="AJ748" s="5">
        <f>+(K748*12.71+L748*25.41)*12*30-[3]Лист1!$AQ$220</f>
        <v>18554580.394000005</v>
      </c>
      <c r="AK748" s="5">
        <f>+N748-AL748</f>
        <v>5961096.5899999999</v>
      </c>
      <c r="AL748" s="28">
        <f>'Приложение №2'!E746</f>
        <v>0</v>
      </c>
      <c r="AM748" s="62"/>
      <c r="AN748" s="62">
        <v>5957209.1900000004</v>
      </c>
      <c r="AO748" s="62"/>
      <c r="AP748" s="62"/>
      <c r="AQ748" s="62">
        <v>0</v>
      </c>
      <c r="AR748" s="62"/>
      <c r="AS748" s="62"/>
      <c r="AT748" s="62">
        <v>0</v>
      </c>
      <c r="AU748" s="62">
        <v>0</v>
      </c>
      <c r="AV748" s="62">
        <v>0</v>
      </c>
      <c r="AW748" s="62">
        <v>0</v>
      </c>
      <c r="AX748" s="62"/>
      <c r="AY748" s="62"/>
      <c r="AZ748" s="62"/>
      <c r="BA748" s="151"/>
      <c r="BB748" s="237">
        <f t="shared" si="183"/>
        <v>1</v>
      </c>
    </row>
    <row r="749" spans="1:57" ht="15.75" hidden="1">
      <c r="A749" s="234">
        <f t="shared" si="184"/>
        <v>724</v>
      </c>
      <c r="B749" s="101">
        <f>B746+1</f>
        <v>241</v>
      </c>
      <c r="C749" s="101" t="s">
        <v>114</v>
      </c>
      <c r="D749" s="101" t="s">
        <v>650</v>
      </c>
      <c r="E749" s="102">
        <v>1980</v>
      </c>
      <c r="F749" s="102">
        <v>2012</v>
      </c>
      <c r="G749" s="102" t="s">
        <v>3</v>
      </c>
      <c r="H749" s="102">
        <v>4</v>
      </c>
      <c r="I749" s="102">
        <v>3</v>
      </c>
      <c r="J749" s="62">
        <v>5123.6000000000004</v>
      </c>
      <c r="K749" s="62">
        <v>3336.1</v>
      </c>
      <c r="L749" s="62">
        <v>937.6</v>
      </c>
      <c r="M749" s="103">
        <v>153</v>
      </c>
      <c r="N749" s="28">
        <f t="shared" si="182"/>
        <v>23437456.300000001</v>
      </c>
      <c r="O749" s="62"/>
      <c r="P749" s="62">
        <f t="shared" si="185"/>
        <v>0</v>
      </c>
      <c r="Q749" s="236"/>
      <c r="R749" s="236"/>
      <c r="S749" s="62"/>
      <c r="T749" s="236"/>
      <c r="U749" s="236"/>
      <c r="V749" s="28">
        <v>3287784.44</v>
      </c>
      <c r="W749" s="243"/>
      <c r="X749" s="243"/>
      <c r="Y749" s="34">
        <v>20149671.859999999</v>
      </c>
      <c r="Z749" s="244"/>
      <c r="AA749" s="244"/>
      <c r="AB749" s="28"/>
      <c r="AC749" s="28"/>
      <c r="AD749" s="28"/>
      <c r="AE749" s="62">
        <v>2880.0701856252499</v>
      </c>
      <c r="AF749" s="62">
        <v>1221.2830200640001</v>
      </c>
      <c r="AG749" s="33">
        <v>2024</v>
      </c>
      <c r="AH749" s="98">
        <v>2673841.19</v>
      </c>
      <c r="AI749" s="5">
        <f>+(K749*12.71+L749*25.41)*12*0.85</f>
        <v>675507.71940000006</v>
      </c>
      <c r="AJ749" s="5">
        <f>+(K749*12.71+L749*25.41)*12*30</f>
        <v>23841448.920000002</v>
      </c>
      <c r="AL749" s="28">
        <f>'Приложение №2'!E747</f>
        <v>0</v>
      </c>
      <c r="AM749" s="62">
        <v>0</v>
      </c>
      <c r="AN749" s="62">
        <v>0</v>
      </c>
      <c r="AO749" s="62">
        <v>0</v>
      </c>
      <c r="AP749" s="62">
        <v>0</v>
      </c>
      <c r="AQ749" s="62">
        <v>0</v>
      </c>
      <c r="AR749" s="62"/>
      <c r="AS749" s="62"/>
      <c r="AT749" s="62">
        <v>0</v>
      </c>
      <c r="AU749" s="62">
        <v>0</v>
      </c>
      <c r="AV749" s="62">
        <v>0</v>
      </c>
      <c r="AW749" s="62">
        <v>9403121.0399999991</v>
      </c>
      <c r="AX749" s="62">
        <v>0</v>
      </c>
      <c r="AY749" s="62"/>
      <c r="AZ749" s="62"/>
      <c r="BA749" s="151"/>
      <c r="BB749" s="237">
        <f t="shared" si="183"/>
        <v>1</v>
      </c>
    </row>
    <row r="750" spans="1:57" ht="15.75" hidden="1">
      <c r="A750" s="234">
        <f t="shared" si="184"/>
        <v>725</v>
      </c>
      <c r="B750" s="101">
        <f>B749+1</f>
        <v>242</v>
      </c>
      <c r="C750" s="101" t="s">
        <v>185</v>
      </c>
      <c r="D750" s="101" t="s">
        <v>516</v>
      </c>
      <c r="E750" s="102">
        <v>1974</v>
      </c>
      <c r="F750" s="102">
        <v>2012</v>
      </c>
      <c r="G750" s="102" t="s">
        <v>3</v>
      </c>
      <c r="H750" s="102">
        <v>4</v>
      </c>
      <c r="I750" s="102">
        <v>4</v>
      </c>
      <c r="J750" s="62">
        <v>3917</v>
      </c>
      <c r="K750" s="62">
        <v>3431.9</v>
      </c>
      <c r="L750" s="62">
        <v>0</v>
      </c>
      <c r="M750" s="103">
        <v>163</v>
      </c>
      <c r="N750" s="28">
        <f t="shared" si="182"/>
        <v>1763598.9100000001</v>
      </c>
      <c r="O750" s="62"/>
      <c r="P750" s="62">
        <f t="shared" si="185"/>
        <v>0</v>
      </c>
      <c r="Q750" s="236"/>
      <c r="R750" s="236"/>
      <c r="S750" s="62"/>
      <c r="T750" s="236"/>
      <c r="U750" s="236"/>
      <c r="V750" s="28">
        <v>404312.14</v>
      </c>
      <c r="W750" s="243"/>
      <c r="X750" s="243"/>
      <c r="Y750" s="34">
        <v>1359286.77</v>
      </c>
      <c r="Z750" s="244"/>
      <c r="AA750" s="244"/>
      <c r="AB750" s="28"/>
      <c r="AC750" s="28"/>
      <c r="AD750" s="28"/>
      <c r="AE750" s="62">
        <v>1224.8245170778901</v>
      </c>
      <c r="AF750" s="62">
        <v>1275.2830200640001</v>
      </c>
      <c r="AG750" s="33">
        <v>2024</v>
      </c>
      <c r="AH750" s="98"/>
      <c r="AI750" s="5">
        <f t="shared" ref="AI750:AI756" si="186">+(K750*12.98+L750*25.97)*12*0.85</f>
        <v>454369.83240000001</v>
      </c>
      <c r="AJ750" s="5">
        <f>+(K750*12.98+L750*25.97)*12*30-[3]Лист1!$AQ$271</f>
        <v>8794930.7400000021</v>
      </c>
      <c r="AL750" s="28">
        <f>'Приложение №2'!E748</f>
        <v>0</v>
      </c>
      <c r="AM750" s="62"/>
      <c r="AN750" s="62"/>
      <c r="AO750" s="62"/>
      <c r="AP750" s="62"/>
      <c r="AQ750" s="62">
        <v>1683109.2</v>
      </c>
      <c r="AR750" s="62"/>
      <c r="AS750" s="62"/>
      <c r="AT750" s="62">
        <v>0</v>
      </c>
      <c r="AU750" s="62">
        <v>0</v>
      </c>
      <c r="AV750" s="62">
        <v>0</v>
      </c>
      <c r="AW750" s="62">
        <v>0</v>
      </c>
      <c r="AX750" s="62">
        <v>0</v>
      </c>
      <c r="AY750" s="62"/>
      <c r="AZ750" s="62"/>
      <c r="BA750" s="151"/>
      <c r="BB750" s="237">
        <f t="shared" si="183"/>
        <v>1</v>
      </c>
      <c r="BE750" s="5"/>
    </row>
    <row r="751" spans="1:57" s="142" customFormat="1" ht="15.75" hidden="1">
      <c r="A751" s="234">
        <f t="shared" si="184"/>
        <v>726</v>
      </c>
      <c r="B751" s="101" t="s">
        <v>96</v>
      </c>
      <c r="C751" s="101" t="s">
        <v>185</v>
      </c>
      <c r="D751" s="101" t="s">
        <v>372</v>
      </c>
      <c r="E751" s="102" t="s">
        <v>373</v>
      </c>
      <c r="F751" s="102"/>
      <c r="G751" s="102" t="s">
        <v>3</v>
      </c>
      <c r="H751" s="102" t="s">
        <v>183</v>
      </c>
      <c r="I751" s="102" t="s">
        <v>183</v>
      </c>
      <c r="J751" s="62">
        <v>3131.3</v>
      </c>
      <c r="K751" s="62">
        <v>2721.1</v>
      </c>
      <c r="L751" s="62">
        <v>64.900000000000006</v>
      </c>
      <c r="M751" s="103">
        <v>113</v>
      </c>
      <c r="N751" s="28">
        <f t="shared" si="182"/>
        <v>1350487.3599999999</v>
      </c>
      <c r="O751" s="62">
        <v>0</v>
      </c>
      <c r="P751" s="62">
        <f t="shared" si="185"/>
        <v>0</v>
      </c>
      <c r="Q751" s="235"/>
      <c r="R751" s="235"/>
      <c r="S751" s="62"/>
      <c r="T751" s="236"/>
      <c r="U751" s="236"/>
      <c r="V751" s="28">
        <v>43277.66</v>
      </c>
      <c r="W751" s="235"/>
      <c r="X751" s="235"/>
      <c r="Y751" s="28">
        <v>1307209.7</v>
      </c>
      <c r="Z751" s="235"/>
      <c r="AA751" s="235"/>
      <c r="AB751" s="28"/>
      <c r="AC751" s="28"/>
      <c r="AD751" s="28"/>
      <c r="AE751" s="62">
        <v>13452.182269480199</v>
      </c>
      <c r="AF751" s="62">
        <v>1276.2830200640001</v>
      </c>
      <c r="AG751" s="33">
        <v>2024</v>
      </c>
      <c r="AH751" s="98">
        <v>961493.23</v>
      </c>
      <c r="AI751" s="5">
        <f t="shared" si="186"/>
        <v>377454.37619999994</v>
      </c>
      <c r="AJ751" s="5">
        <f>+(K751*12.98+L751*25.97)*12*30</f>
        <v>13321919.159999998</v>
      </c>
      <c r="AK751" s="5">
        <f>+N751-AL751</f>
        <v>1350487.3599999999</v>
      </c>
      <c r="AL751" s="28">
        <f>'Приложение №2'!E749</f>
        <v>0</v>
      </c>
      <c r="AM751" s="62"/>
      <c r="AN751" s="62"/>
      <c r="AO751" s="62"/>
      <c r="AP751" s="62"/>
      <c r="AQ751" s="62">
        <v>1315142.3999999999</v>
      </c>
      <c r="AR751" s="62"/>
      <c r="AS751" s="62"/>
      <c r="AT751" s="62"/>
      <c r="AU751" s="62"/>
      <c r="AV751" s="62"/>
      <c r="AW751" s="62"/>
      <c r="AX751" s="62"/>
      <c r="AY751" s="62"/>
      <c r="AZ751" s="62"/>
      <c r="BA751" s="151"/>
      <c r="BB751" s="237">
        <f t="shared" si="183"/>
        <v>1</v>
      </c>
      <c r="BE751" s="240"/>
    </row>
    <row r="752" spans="1:57" s="142" customFormat="1" ht="15.75" hidden="1">
      <c r="A752" s="234">
        <f t="shared" si="184"/>
        <v>727</v>
      </c>
      <c r="B752" s="101">
        <f>B750+1</f>
        <v>243</v>
      </c>
      <c r="C752" s="101" t="s">
        <v>313</v>
      </c>
      <c r="D752" s="101" t="s">
        <v>572</v>
      </c>
      <c r="E752" s="102" t="s">
        <v>388</v>
      </c>
      <c r="F752" s="102"/>
      <c r="G752" s="102" t="s">
        <v>3</v>
      </c>
      <c r="H752" s="102" t="s">
        <v>183</v>
      </c>
      <c r="I752" s="102" t="s">
        <v>175</v>
      </c>
      <c r="J752" s="62">
        <v>3411.7</v>
      </c>
      <c r="K752" s="62">
        <v>2190.6999999999998</v>
      </c>
      <c r="L752" s="62">
        <v>1221</v>
      </c>
      <c r="M752" s="103">
        <v>86</v>
      </c>
      <c r="N752" s="28">
        <f t="shared" si="182"/>
        <v>986268</v>
      </c>
      <c r="O752" s="62">
        <v>0</v>
      </c>
      <c r="P752" s="62">
        <f t="shared" si="185"/>
        <v>0</v>
      </c>
      <c r="Q752" s="236"/>
      <c r="R752" s="236"/>
      <c r="S752" s="62"/>
      <c r="T752" s="236"/>
      <c r="U752" s="236"/>
      <c r="V752" s="28">
        <v>545778.39</v>
      </c>
      <c r="W752" s="243"/>
      <c r="X752" s="243"/>
      <c r="Y752" s="28">
        <v>440489.61</v>
      </c>
      <c r="Z752" s="245"/>
      <c r="AA752" s="245"/>
      <c r="AB752" s="28"/>
      <c r="AC752" s="28"/>
      <c r="AD752" s="28"/>
      <c r="AE752" s="62">
        <v>3056.5054562096302</v>
      </c>
      <c r="AF752" s="62">
        <v>1322.2830200640001</v>
      </c>
      <c r="AG752" s="33">
        <v>2024</v>
      </c>
      <c r="AH752" s="98"/>
      <c r="AI752" s="5">
        <f t="shared" si="186"/>
        <v>613475.49119999993</v>
      </c>
      <c r="AJ752" s="5">
        <f>+(K752*12.98+L752*25.97)*12*30-[3]Лист1!$AQ$325</f>
        <v>16587838.82</v>
      </c>
      <c r="AK752" s="5">
        <f>+N752-AL752</f>
        <v>986268</v>
      </c>
      <c r="AL752" s="28">
        <f>'Приложение №2'!E750</f>
        <v>0</v>
      </c>
      <c r="AM752" s="62"/>
      <c r="AN752" s="62"/>
      <c r="AO752" s="62"/>
      <c r="AP752" s="62"/>
      <c r="AQ752" s="62">
        <v>986268</v>
      </c>
      <c r="AR752" s="62"/>
      <c r="AS752" s="62"/>
      <c r="AT752" s="62">
        <v>0</v>
      </c>
      <c r="AU752" s="62">
        <v>0</v>
      </c>
      <c r="AV752" s="62">
        <v>0</v>
      </c>
      <c r="AW752" s="62"/>
      <c r="AX752" s="62"/>
      <c r="AY752" s="62"/>
      <c r="AZ752" s="62"/>
      <c r="BA752" s="151"/>
      <c r="BB752" s="237">
        <f t="shared" si="183"/>
        <v>1</v>
      </c>
    </row>
    <row r="753" spans="1:59" s="142" customFormat="1" ht="15.75" hidden="1">
      <c r="A753" s="234">
        <f t="shared" si="184"/>
        <v>728</v>
      </c>
      <c r="B753" s="101" t="s">
        <v>96</v>
      </c>
      <c r="C753" s="101" t="s">
        <v>313</v>
      </c>
      <c r="D753" s="101" t="s">
        <v>459</v>
      </c>
      <c r="E753" s="102" t="s">
        <v>81</v>
      </c>
      <c r="F753" s="102"/>
      <c r="G753" s="102" t="s">
        <v>3</v>
      </c>
      <c r="H753" s="102" t="s">
        <v>183</v>
      </c>
      <c r="I753" s="102" t="s">
        <v>220</v>
      </c>
      <c r="J753" s="62">
        <v>5051.1899999999996</v>
      </c>
      <c r="K753" s="62">
        <v>4630.8</v>
      </c>
      <c r="L753" s="62">
        <v>0</v>
      </c>
      <c r="M753" s="103">
        <v>233</v>
      </c>
      <c r="N753" s="28">
        <f t="shared" si="182"/>
        <v>2311917.12</v>
      </c>
      <c r="O753" s="62">
        <v>0</v>
      </c>
      <c r="P753" s="62">
        <f t="shared" si="185"/>
        <v>0</v>
      </c>
      <c r="Q753" s="236"/>
      <c r="R753" s="236"/>
      <c r="S753" s="62"/>
      <c r="T753" s="236"/>
      <c r="U753" s="236"/>
      <c r="V753" s="28"/>
      <c r="W753" s="235"/>
      <c r="X753" s="235"/>
      <c r="Y753" s="62">
        <v>2311917.12</v>
      </c>
      <c r="Z753" s="236"/>
      <c r="AA753" s="236"/>
      <c r="AB753" s="28"/>
      <c r="AC753" s="28"/>
      <c r="AD753" s="28"/>
      <c r="AE753" s="62">
        <v>13629.8191357263</v>
      </c>
      <c r="AF753" s="62">
        <v>1323.2830200640001</v>
      </c>
      <c r="AG753" s="33">
        <v>2024</v>
      </c>
      <c r="AH753" s="98"/>
      <c r="AI753" s="5">
        <f t="shared" si="186"/>
        <v>613099.39679999999</v>
      </c>
      <c r="AJ753" s="5">
        <f>+(K753*12.98+L753*25.97)*12*30-[3]Лист1!$AQ$326</f>
        <v>14342132.430000003</v>
      </c>
      <c r="AK753" s="5">
        <f>+N753-AL753</f>
        <v>2311917.12</v>
      </c>
      <c r="AL753" s="28">
        <f>'Приложение №2'!E751</f>
        <v>0</v>
      </c>
      <c r="AM753" s="62"/>
      <c r="AN753" s="62"/>
      <c r="AO753" s="62"/>
      <c r="AP753" s="62"/>
      <c r="AQ753" s="62">
        <v>2311917.12</v>
      </c>
      <c r="AR753" s="62"/>
      <c r="AS753" s="62"/>
      <c r="AT753" s="62"/>
      <c r="AU753" s="62"/>
      <c r="AV753" s="62"/>
      <c r="AW753" s="62"/>
      <c r="AX753" s="62"/>
      <c r="AY753" s="62"/>
      <c r="AZ753" s="62"/>
      <c r="BA753" s="151"/>
      <c r="BB753" s="237">
        <f t="shared" si="183"/>
        <v>1</v>
      </c>
      <c r="BG753" s="240"/>
    </row>
    <row r="754" spans="1:59" s="142" customFormat="1" ht="15.75" hidden="1">
      <c r="A754" s="234">
        <f t="shared" si="184"/>
        <v>729</v>
      </c>
      <c r="B754" s="101">
        <f>+B752+1</f>
        <v>244</v>
      </c>
      <c r="C754" s="101" t="s">
        <v>313</v>
      </c>
      <c r="D754" s="101" t="s">
        <v>652</v>
      </c>
      <c r="E754" s="102" t="s">
        <v>577</v>
      </c>
      <c r="F754" s="102"/>
      <c r="G754" s="102" t="s">
        <v>3</v>
      </c>
      <c r="H754" s="102" t="s">
        <v>169</v>
      </c>
      <c r="I754" s="102" t="s">
        <v>183</v>
      </c>
      <c r="J754" s="62">
        <v>4290.1000000000004</v>
      </c>
      <c r="K754" s="62">
        <v>4045.8</v>
      </c>
      <c r="L754" s="62">
        <v>0</v>
      </c>
      <c r="M754" s="103">
        <v>160</v>
      </c>
      <c r="N754" s="28">
        <f t="shared" si="182"/>
        <v>1551166.55</v>
      </c>
      <c r="O754" s="62">
        <v>0</v>
      </c>
      <c r="P754" s="62">
        <f t="shared" si="185"/>
        <v>0</v>
      </c>
      <c r="Q754" s="236"/>
      <c r="R754" s="236"/>
      <c r="S754" s="62"/>
      <c r="T754" s="236"/>
      <c r="U754" s="236"/>
      <c r="V754" s="28">
        <v>1551166.55</v>
      </c>
      <c r="W754" s="235"/>
      <c r="X754" s="235"/>
      <c r="Y754" s="62"/>
      <c r="Z754" s="236"/>
      <c r="AA754" s="236"/>
      <c r="AB754" s="62"/>
      <c r="AC754" s="62"/>
      <c r="AD754" s="62"/>
      <c r="AE754" s="62">
        <v>504.21507242078201</v>
      </c>
      <c r="AF754" s="62">
        <v>1325.2830200640001</v>
      </c>
      <c r="AG754" s="33">
        <v>2024</v>
      </c>
      <c r="AH754" s="98">
        <v>2553319.73</v>
      </c>
      <c r="AI754" s="5">
        <f t="shared" si="186"/>
        <v>535647.73680000007</v>
      </c>
      <c r="AJ754" s="5">
        <f>+(K754*12.98+L754*25.97)*12*30</f>
        <v>18905214.240000002</v>
      </c>
      <c r="AK754" s="5">
        <f>+N754-AL754</f>
        <v>1551166.55</v>
      </c>
      <c r="AL754" s="28">
        <f>'Приложение №2'!E752</f>
        <v>0</v>
      </c>
      <c r="AM754" s="62"/>
      <c r="AN754" s="62"/>
      <c r="AO754" s="62"/>
      <c r="AP754" s="62"/>
      <c r="AQ754" s="62">
        <v>1551166.55</v>
      </c>
      <c r="AR754" s="62"/>
      <c r="AS754" s="62"/>
      <c r="AT754" s="62"/>
      <c r="AU754" s="62"/>
      <c r="AV754" s="62"/>
      <c r="AW754" s="62"/>
      <c r="AX754" s="62"/>
      <c r="AY754" s="62"/>
      <c r="AZ754" s="62"/>
      <c r="BA754" s="151"/>
      <c r="BB754" s="237">
        <f t="shared" si="183"/>
        <v>1</v>
      </c>
    </row>
    <row r="755" spans="1:59" s="142" customFormat="1" ht="15.75" hidden="1">
      <c r="A755" s="234">
        <f t="shared" si="184"/>
        <v>730</v>
      </c>
      <c r="B755" s="101" t="s">
        <v>96</v>
      </c>
      <c r="C755" s="101" t="s">
        <v>313</v>
      </c>
      <c r="D755" s="101" t="s">
        <v>460</v>
      </c>
      <c r="E755" s="102" t="s">
        <v>461</v>
      </c>
      <c r="F755" s="102"/>
      <c r="G755" s="102" t="s">
        <v>3</v>
      </c>
      <c r="H755" s="102" t="s">
        <v>169</v>
      </c>
      <c r="I755" s="102" t="s">
        <v>183</v>
      </c>
      <c r="J755" s="62">
        <v>3196.5</v>
      </c>
      <c r="K755" s="62">
        <v>2451.1</v>
      </c>
      <c r="L755" s="62">
        <v>745</v>
      </c>
      <c r="M755" s="103">
        <v>156</v>
      </c>
      <c r="N755" s="28">
        <f t="shared" si="182"/>
        <v>650392.02</v>
      </c>
      <c r="O755" s="62">
        <v>0</v>
      </c>
      <c r="P755" s="62">
        <f t="shared" si="185"/>
        <v>0</v>
      </c>
      <c r="Q755" s="235"/>
      <c r="R755" s="235"/>
      <c r="S755" s="62"/>
      <c r="T755" s="236"/>
      <c r="U755" s="236"/>
      <c r="V755" s="28"/>
      <c r="W755" s="235"/>
      <c r="X755" s="235"/>
      <c r="Y755" s="28">
        <v>650392.02</v>
      </c>
      <c r="Z755" s="235"/>
      <c r="AA755" s="235"/>
      <c r="AB755" s="28"/>
      <c r="AC755" s="28"/>
      <c r="AD755" s="28"/>
      <c r="AE755" s="62">
        <v>17522.516586926798</v>
      </c>
      <c r="AF755" s="62">
        <v>1326.2830200640001</v>
      </c>
      <c r="AG755" s="33">
        <v>2024</v>
      </c>
      <c r="AH755" s="98"/>
      <c r="AI755" s="5">
        <f t="shared" si="186"/>
        <v>521861.86559999996</v>
      </c>
      <c r="AJ755" s="5">
        <f>+(K755*12.98+L755*25.97)*12*30-[3]Лист1!$AQ$329</f>
        <v>17046443.189999998</v>
      </c>
      <c r="AK755" s="5">
        <f>+N755-AL755</f>
        <v>650392.02</v>
      </c>
      <c r="AL755" s="28">
        <f>'Приложение №2'!E753</f>
        <v>0</v>
      </c>
      <c r="AM755" s="62"/>
      <c r="AN755" s="62"/>
      <c r="AO755" s="62"/>
      <c r="AP755" s="62">
        <v>650392.02</v>
      </c>
      <c r="AQ755" s="62"/>
      <c r="AR755" s="62"/>
      <c r="AS755" s="62"/>
      <c r="AT755" s="62"/>
      <c r="AU755" s="62"/>
      <c r="AV755" s="62"/>
      <c r="AW755" s="62"/>
      <c r="AX755" s="62"/>
      <c r="AY755" s="62"/>
      <c r="AZ755" s="62"/>
      <c r="BA755" s="151"/>
      <c r="BB755" s="237">
        <f t="shared" si="183"/>
        <v>1</v>
      </c>
    </row>
    <row r="756" spans="1:59" s="142" customFormat="1" ht="15.75" hidden="1">
      <c r="A756" s="234">
        <f t="shared" si="184"/>
        <v>731</v>
      </c>
      <c r="B756" s="101">
        <f>B754+1</f>
        <v>245</v>
      </c>
      <c r="C756" s="101" t="s">
        <v>185</v>
      </c>
      <c r="D756" s="101" t="s">
        <v>584</v>
      </c>
      <c r="E756" s="102" t="s">
        <v>315</v>
      </c>
      <c r="F756" s="102"/>
      <c r="G756" s="102" t="s">
        <v>3</v>
      </c>
      <c r="H756" s="102" t="s">
        <v>183</v>
      </c>
      <c r="I756" s="102" t="s">
        <v>316</v>
      </c>
      <c r="J756" s="62">
        <v>5677.5</v>
      </c>
      <c r="K756" s="62">
        <v>4896.3999999999996</v>
      </c>
      <c r="L756" s="62">
        <v>72</v>
      </c>
      <c r="M756" s="103">
        <v>216</v>
      </c>
      <c r="N756" s="28">
        <f t="shared" si="182"/>
        <v>2420008.799999998</v>
      </c>
      <c r="O756" s="62">
        <v>0</v>
      </c>
      <c r="P756" s="62">
        <f t="shared" si="185"/>
        <v>0</v>
      </c>
      <c r="Q756" s="236"/>
      <c r="R756" s="236"/>
      <c r="S756" s="62"/>
      <c r="T756" s="236"/>
      <c r="U756" s="236"/>
      <c r="V756" s="28">
        <v>593809.52</v>
      </c>
      <c r="W756" s="235"/>
      <c r="X756" s="235"/>
      <c r="Y756" s="62">
        <v>463508.93999999802</v>
      </c>
      <c r="Z756" s="236"/>
      <c r="AA756" s="236"/>
      <c r="AB756" s="28">
        <v>1362690.34</v>
      </c>
      <c r="AC756" s="28"/>
      <c r="AD756" s="28"/>
      <c r="AE756" s="62">
        <v>412.59779585862702</v>
      </c>
      <c r="AF756" s="62">
        <v>412.59779585862702</v>
      </c>
      <c r="AG756" s="33">
        <v>2024</v>
      </c>
      <c r="AH756" s="157"/>
      <c r="AI756" s="5">
        <f t="shared" si="186"/>
        <v>667336.1423999999</v>
      </c>
      <c r="AJ756" s="5">
        <f>+(K756*12.98+L756*25.97)*12*30-[3]Лист1!$AQ$338</f>
        <v>463508.93999999762</v>
      </c>
      <c r="AK756" s="5"/>
      <c r="AL756" s="28">
        <f>'Приложение №2'!E754</f>
        <v>0</v>
      </c>
      <c r="AM756" s="62"/>
      <c r="AN756" s="62"/>
      <c r="AO756" s="62"/>
      <c r="AP756" s="62"/>
      <c r="AQ756" s="62">
        <v>2420008.7999999998</v>
      </c>
      <c r="AR756" s="62"/>
      <c r="AS756" s="62"/>
      <c r="AT756" s="62"/>
      <c r="AU756" s="62"/>
      <c r="AV756" s="62"/>
      <c r="AW756" s="62"/>
      <c r="AX756" s="62"/>
      <c r="AY756" s="62"/>
      <c r="AZ756" s="62"/>
      <c r="BA756" s="151"/>
      <c r="BB756" s="237">
        <f t="shared" si="183"/>
        <v>1</v>
      </c>
    </row>
    <row r="757" spans="1:59" ht="15.75">
      <c r="A757" s="234">
        <f t="shared" si="184"/>
        <v>732</v>
      </c>
      <c r="B757" s="101">
        <f t="shared" ref="B757:B782" si="187">B756+1</f>
        <v>246</v>
      </c>
      <c r="C757" s="101" t="s">
        <v>496</v>
      </c>
      <c r="D757" s="101" t="s">
        <v>655</v>
      </c>
      <c r="E757" s="102">
        <v>1984</v>
      </c>
      <c r="F757" s="102">
        <v>1984</v>
      </c>
      <c r="G757" s="102" t="s">
        <v>3</v>
      </c>
      <c r="H757" s="102">
        <v>2</v>
      </c>
      <c r="I757" s="102">
        <v>2</v>
      </c>
      <c r="J757" s="62">
        <v>638.79999999999995</v>
      </c>
      <c r="K757" s="62">
        <v>591.79999999999995</v>
      </c>
      <c r="L757" s="62">
        <v>0</v>
      </c>
      <c r="M757" s="103">
        <v>27</v>
      </c>
      <c r="N757" s="28">
        <f t="shared" si="182"/>
        <v>2493649.58</v>
      </c>
      <c r="O757" s="62"/>
      <c r="P757" s="62">
        <f t="shared" si="185"/>
        <v>0</v>
      </c>
      <c r="Q757" s="236"/>
      <c r="R757" s="236"/>
      <c r="S757" s="62"/>
      <c r="T757" s="236"/>
      <c r="U757" s="236"/>
      <c r="V757" s="28">
        <v>56703.205000000002</v>
      </c>
      <c r="W757" s="235"/>
      <c r="X757" s="235"/>
      <c r="Y757" s="28">
        <v>2436946.375</v>
      </c>
      <c r="Z757" s="235"/>
      <c r="AA757" s="235"/>
      <c r="AB757" s="28"/>
      <c r="AC757" s="28"/>
      <c r="AD757" s="28"/>
      <c r="AE757" s="62">
        <v>7984.8028105902804</v>
      </c>
      <c r="AF757" s="62">
        <v>1348.2830200640001</v>
      </c>
      <c r="AG757" s="33">
        <v>2024</v>
      </c>
      <c r="AH757" s="98">
        <v>43686.45</v>
      </c>
      <c r="AI757" s="5">
        <f>+(K757*12.71+L757*25.41)*12*0.85</f>
        <v>76722.135600000009</v>
      </c>
      <c r="AJ757" s="5">
        <f>+(K757*12.71+L757*25.41)*12*30</f>
        <v>2707840.08</v>
      </c>
      <c r="AK757" s="5">
        <f>+N757-AL757</f>
        <v>0</v>
      </c>
      <c r="AL757" s="28">
        <f>'Приложение №2'!E755</f>
        <v>2493649.58</v>
      </c>
      <c r="AM757" s="62">
        <v>1948256.76</v>
      </c>
      <c r="AN757" s="62"/>
      <c r="AO757" s="62">
        <v>545392.81999999995</v>
      </c>
      <c r="AP757" s="62"/>
      <c r="AQ757" s="62">
        <v>0</v>
      </c>
      <c r="AR757" s="62"/>
      <c r="AS757" s="62"/>
      <c r="AT757" s="62">
        <v>0</v>
      </c>
      <c r="AU757" s="62">
        <v>0</v>
      </c>
      <c r="AV757" s="62">
        <v>0</v>
      </c>
      <c r="AW757" s="62">
        <v>0</v>
      </c>
      <c r="AX757" s="62">
        <v>0</v>
      </c>
      <c r="AY757" s="62"/>
      <c r="AZ757" s="62"/>
      <c r="BA757" s="151"/>
      <c r="BB757" s="237">
        <f t="shared" si="183"/>
        <v>2</v>
      </c>
    </row>
    <row r="758" spans="1:59" ht="15.75" hidden="1">
      <c r="A758" s="234">
        <f t="shared" si="184"/>
        <v>733</v>
      </c>
      <c r="B758" s="101">
        <f t="shared" si="187"/>
        <v>247</v>
      </c>
      <c r="C758" s="101" t="s">
        <v>355</v>
      </c>
      <c r="D758" s="101" t="s">
        <v>656</v>
      </c>
      <c r="E758" s="102" t="s">
        <v>657</v>
      </c>
      <c r="F758" s="102"/>
      <c r="G758" s="102" t="s">
        <v>3</v>
      </c>
      <c r="H758" s="102" t="s">
        <v>174</v>
      </c>
      <c r="I758" s="102" t="s">
        <v>27</v>
      </c>
      <c r="J758" s="62">
        <v>5398.2</v>
      </c>
      <c r="K758" s="62">
        <v>4716.7</v>
      </c>
      <c r="L758" s="62">
        <v>0</v>
      </c>
      <c r="M758" s="103">
        <v>166</v>
      </c>
      <c r="N758" s="28">
        <f t="shared" si="182"/>
        <v>8636274.8842302002</v>
      </c>
      <c r="O758" s="62"/>
      <c r="P758" s="62">
        <f t="shared" si="185"/>
        <v>0</v>
      </c>
      <c r="Q758" s="236"/>
      <c r="R758" s="236"/>
      <c r="S758" s="28">
        <v>718272</v>
      </c>
      <c r="T758" s="235"/>
      <c r="U758" s="235">
        <v>718272</v>
      </c>
      <c r="V758" s="28">
        <v>4502815.26</v>
      </c>
      <c r="W758" s="235"/>
      <c r="X758" s="235"/>
      <c r="Y758" s="28">
        <v>3415187.6242302</v>
      </c>
      <c r="Z758" s="235"/>
      <c r="AA758" s="235"/>
      <c r="AB758" s="28"/>
      <c r="AC758" s="28"/>
      <c r="AD758" s="28"/>
      <c r="AE758" s="62">
        <v>1811.033137575</v>
      </c>
      <c r="AF758" s="62">
        <v>1371.2830200640001</v>
      </c>
      <c r="AG758" s="33">
        <v>2024</v>
      </c>
      <c r="AH758" s="98">
        <v>3764321.54</v>
      </c>
      <c r="AI758" s="5">
        <f>+(K758*16.89+L758*28.62)*12*0.85</f>
        <v>812583.6425999999</v>
      </c>
      <c r="AJ758" s="5">
        <f>+(K758*16.89+L758*28.62)*12*30</f>
        <v>28679422.68</v>
      </c>
      <c r="AK758" s="5">
        <f>+N758-AL758</f>
        <v>8636274.8842302002</v>
      </c>
      <c r="AL758" s="28">
        <f>'Приложение №2'!E756</f>
        <v>0</v>
      </c>
      <c r="AM758" s="62"/>
      <c r="AN758" s="62"/>
      <c r="AO758" s="62"/>
      <c r="AP758" s="62"/>
      <c r="AQ758" s="62"/>
      <c r="AR758" s="62"/>
      <c r="AS758" s="62"/>
      <c r="AT758" s="62">
        <v>8024927.0999999996</v>
      </c>
      <c r="AU758" s="62"/>
      <c r="AV758" s="62"/>
      <c r="AW758" s="62"/>
      <c r="AX758" s="62"/>
      <c r="AY758" s="62">
        <v>256263</v>
      </c>
      <c r="AZ758" s="62">
        <v>85421</v>
      </c>
      <c r="BA758" s="151"/>
      <c r="BB758" s="237">
        <f t="shared" si="183"/>
        <v>1</v>
      </c>
    </row>
    <row r="759" spans="1:59" ht="15.75" hidden="1">
      <c r="A759" s="234">
        <f t="shared" si="184"/>
        <v>734</v>
      </c>
      <c r="B759" s="101">
        <f t="shared" si="187"/>
        <v>248</v>
      </c>
      <c r="C759" s="101" t="s">
        <v>355</v>
      </c>
      <c r="D759" s="101" t="s">
        <v>659</v>
      </c>
      <c r="E759" s="102" t="s">
        <v>207</v>
      </c>
      <c r="F759" s="102"/>
      <c r="G759" s="102" t="s">
        <v>3</v>
      </c>
      <c r="H759" s="102" t="s">
        <v>169</v>
      </c>
      <c r="I759" s="102" t="s">
        <v>244</v>
      </c>
      <c r="J759" s="62">
        <v>3670.5</v>
      </c>
      <c r="K759" s="62">
        <v>3418.1</v>
      </c>
      <c r="L759" s="62">
        <v>0</v>
      </c>
      <c r="M759" s="103">
        <v>108</v>
      </c>
      <c r="N759" s="28">
        <f t="shared" si="182"/>
        <v>19326534.879999999</v>
      </c>
      <c r="O759" s="62"/>
      <c r="P759" s="62">
        <f t="shared" si="185"/>
        <v>0</v>
      </c>
      <c r="Q759" s="236"/>
      <c r="R759" s="236"/>
      <c r="S759" s="28">
        <v>2388438</v>
      </c>
      <c r="T759" s="235"/>
      <c r="U759" s="235">
        <v>2388438</v>
      </c>
      <c r="V759" s="28">
        <v>2696250.53</v>
      </c>
      <c r="W759" s="235"/>
      <c r="X759" s="235"/>
      <c r="Y759" s="28">
        <v>14241846.35</v>
      </c>
      <c r="Z759" s="235"/>
      <c r="AA759" s="235"/>
      <c r="AB759" s="28"/>
      <c r="AC759" s="28"/>
      <c r="AD759" s="28"/>
      <c r="AE759" s="62">
        <v>6419.8001668099796</v>
      </c>
      <c r="AF759" s="62">
        <v>1375.2830200640001</v>
      </c>
      <c r="AG759" s="33">
        <v>2024</v>
      </c>
      <c r="AH759" s="98">
        <v>2293564.17</v>
      </c>
      <c r="AI759" s="5">
        <f t="shared" ref="AI759:AI771" si="188">+(K759*12.71+L759*25.41)*12*0.85</f>
        <v>443129.32019999996</v>
      </c>
      <c r="AJ759" s="5">
        <f>+(K759*12.71+L759*25.41)*12*30</f>
        <v>15639858.359999999</v>
      </c>
      <c r="AK759" s="5">
        <f>+N759-AL759</f>
        <v>19326534.879999999</v>
      </c>
      <c r="AL759" s="28">
        <f>'Приложение №2'!E757</f>
        <v>0</v>
      </c>
      <c r="AM759" s="62"/>
      <c r="AN759" s="62"/>
      <c r="AO759" s="62"/>
      <c r="AP759" s="62"/>
      <c r="AQ759" s="62"/>
      <c r="AR759" s="62"/>
      <c r="AS759" s="62"/>
      <c r="AT759" s="62"/>
      <c r="AU759" s="62">
        <v>19326534.879999999</v>
      </c>
      <c r="AV759" s="62">
        <v>0</v>
      </c>
      <c r="AW759" s="62">
        <v>0</v>
      </c>
      <c r="AX759" s="62">
        <v>0</v>
      </c>
      <c r="AY759" s="62">
        <v>1974916.71</v>
      </c>
      <c r="AZ759" s="62">
        <v>219435.19</v>
      </c>
      <c r="BA759" s="151"/>
      <c r="BB759" s="237">
        <f t="shared" si="183"/>
        <v>1</v>
      </c>
    </row>
    <row r="760" spans="1:59" ht="15.75" hidden="1">
      <c r="A760" s="234">
        <f t="shared" si="184"/>
        <v>735</v>
      </c>
      <c r="B760" s="101">
        <f t="shared" si="187"/>
        <v>249</v>
      </c>
      <c r="C760" s="101" t="s">
        <v>116</v>
      </c>
      <c r="D760" s="101" t="s">
        <v>660</v>
      </c>
      <c r="E760" s="102">
        <v>1967</v>
      </c>
      <c r="F760" s="102">
        <v>2010</v>
      </c>
      <c r="G760" s="102" t="s">
        <v>3</v>
      </c>
      <c r="H760" s="102">
        <v>4</v>
      </c>
      <c r="I760" s="102">
        <v>6</v>
      </c>
      <c r="J760" s="62">
        <v>4129.8999999999996</v>
      </c>
      <c r="K760" s="62">
        <v>3028.01</v>
      </c>
      <c r="L760" s="62">
        <v>1016.7</v>
      </c>
      <c r="M760" s="103">
        <v>153</v>
      </c>
      <c r="N760" s="28">
        <f t="shared" si="182"/>
        <v>22018918.54999999</v>
      </c>
      <c r="O760" s="62"/>
      <c r="P760" s="62">
        <f t="shared" si="185"/>
        <v>0</v>
      </c>
      <c r="Q760" s="236"/>
      <c r="R760" s="236"/>
      <c r="S760" s="62">
        <v>0</v>
      </c>
      <c r="T760" s="236"/>
      <c r="U760" s="236"/>
      <c r="V760" s="28">
        <v>596284.71</v>
      </c>
      <c r="W760" s="235"/>
      <c r="X760" s="235"/>
      <c r="Y760" s="28">
        <v>20396934.035999998</v>
      </c>
      <c r="Z760" s="235"/>
      <c r="AA760" s="235"/>
      <c r="AB760" s="28">
        <v>1025699.80399999</v>
      </c>
      <c r="AC760" s="28"/>
      <c r="AD760" s="28"/>
      <c r="AE760" s="62">
        <v>8137.7917619511099</v>
      </c>
      <c r="AF760" s="62">
        <v>1380.2830200640001</v>
      </c>
      <c r="AG760" s="33">
        <v>2024</v>
      </c>
      <c r="AI760" s="5">
        <f t="shared" si="188"/>
        <v>656067.61182000011</v>
      </c>
      <c r="AJ760" s="5">
        <f>+(K760*12.71+L760*25.41)*12*30-[3]Лист1!$AQ$64</f>
        <v>20396934.036000002</v>
      </c>
      <c r="AK760" s="5">
        <f>+N760-AL760</f>
        <v>22018918.54999999</v>
      </c>
      <c r="AL760" s="28">
        <f>'Приложение №2'!E758</f>
        <v>0</v>
      </c>
      <c r="AM760" s="62">
        <v>10346375.1</v>
      </c>
      <c r="AN760" s="62">
        <v>0</v>
      </c>
      <c r="AO760" s="62">
        <v>0</v>
      </c>
      <c r="AP760" s="62">
        <v>0</v>
      </c>
      <c r="AQ760" s="62">
        <v>0</v>
      </c>
      <c r="AR760" s="62"/>
      <c r="AS760" s="62"/>
      <c r="AT760" s="62">
        <v>0</v>
      </c>
      <c r="AU760" s="62">
        <v>0</v>
      </c>
      <c r="AV760" s="62">
        <v>0</v>
      </c>
      <c r="AW760" s="62">
        <v>0</v>
      </c>
      <c r="AX760" s="62">
        <v>11672543.449999999</v>
      </c>
      <c r="AY760" s="62"/>
      <c r="AZ760" s="62"/>
      <c r="BA760" s="151"/>
      <c r="BB760" s="237">
        <f t="shared" si="183"/>
        <v>2</v>
      </c>
    </row>
    <row r="761" spans="1:59" ht="15.75" hidden="1">
      <c r="A761" s="234">
        <f t="shared" si="184"/>
        <v>736</v>
      </c>
      <c r="B761" s="101">
        <f t="shared" si="187"/>
        <v>250</v>
      </c>
      <c r="C761" s="101" t="s">
        <v>116</v>
      </c>
      <c r="D761" s="101" t="s">
        <v>661</v>
      </c>
      <c r="E761" s="102">
        <v>1967</v>
      </c>
      <c r="F761" s="102">
        <v>2015</v>
      </c>
      <c r="G761" s="102" t="s">
        <v>3</v>
      </c>
      <c r="H761" s="102">
        <v>3</v>
      </c>
      <c r="I761" s="102">
        <v>3</v>
      </c>
      <c r="J761" s="62">
        <v>1753.5</v>
      </c>
      <c r="K761" s="62">
        <v>1262.7</v>
      </c>
      <c r="L761" s="62">
        <v>455.8</v>
      </c>
      <c r="M761" s="103">
        <v>37</v>
      </c>
      <c r="N761" s="28">
        <f t="shared" si="182"/>
        <v>26252655.77</v>
      </c>
      <c r="O761" s="62"/>
      <c r="P761" s="62">
        <f t="shared" si="185"/>
        <v>0</v>
      </c>
      <c r="Q761" s="235"/>
      <c r="R761" s="235"/>
      <c r="S761" s="62">
        <v>0</v>
      </c>
      <c r="T761" s="236"/>
      <c r="U761" s="236"/>
      <c r="V761" s="28">
        <v>1426339.24</v>
      </c>
      <c r="W761" s="235"/>
      <c r="X761" s="235"/>
      <c r="Y761" s="28">
        <v>9947086.1999999993</v>
      </c>
      <c r="Z761" s="235"/>
      <c r="AA761" s="235"/>
      <c r="AB761" s="28">
        <v>14879230.33</v>
      </c>
      <c r="AC761" s="28"/>
      <c r="AD761" s="28"/>
      <c r="AE761" s="62">
        <v>26009.998219475699</v>
      </c>
      <c r="AF761" s="62">
        <v>1387.2830200640001</v>
      </c>
      <c r="AG761" s="33">
        <v>2024</v>
      </c>
      <c r="AH761" s="18">
        <v>1170184.96</v>
      </c>
      <c r="AI761" s="5">
        <f t="shared" si="188"/>
        <v>281834.109</v>
      </c>
      <c r="AJ761" s="5">
        <f t="shared" ref="AJ761:AJ769" si="189">+(K761*12.71+L761*25.41)*12*30</f>
        <v>9947086.2000000011</v>
      </c>
      <c r="AL761" s="28">
        <f>'Приложение №2'!E759</f>
        <v>0</v>
      </c>
      <c r="AM761" s="62">
        <v>6785155.6399999997</v>
      </c>
      <c r="AN761" s="62">
        <v>5341814.82</v>
      </c>
      <c r="AO761" s="62">
        <v>1480113.38</v>
      </c>
      <c r="AP761" s="62"/>
      <c r="AQ761" s="62">
        <v>0</v>
      </c>
      <c r="AR761" s="62"/>
      <c r="AS761" s="62"/>
      <c r="AT761" s="62">
        <v>0</v>
      </c>
      <c r="AU761" s="62">
        <v>12645571.93</v>
      </c>
      <c r="AV761" s="62">
        <v>0</v>
      </c>
      <c r="AW761" s="62">
        <v>0</v>
      </c>
      <c r="AX761" s="62">
        <v>0</v>
      </c>
      <c r="AY761" s="62"/>
      <c r="AZ761" s="62"/>
      <c r="BA761" s="151"/>
      <c r="BB761" s="237">
        <f t="shared" si="183"/>
        <v>4</v>
      </c>
      <c r="BE761" s="5"/>
    </row>
    <row r="762" spans="1:59" ht="15.75" hidden="1">
      <c r="A762" s="234">
        <f t="shared" si="184"/>
        <v>737</v>
      </c>
      <c r="B762" s="101">
        <f t="shared" si="187"/>
        <v>251</v>
      </c>
      <c r="C762" s="101" t="s">
        <v>116</v>
      </c>
      <c r="D762" s="101" t="s">
        <v>663</v>
      </c>
      <c r="E762" s="102">
        <v>1968</v>
      </c>
      <c r="F762" s="102">
        <v>2015</v>
      </c>
      <c r="G762" s="102" t="s">
        <v>3</v>
      </c>
      <c r="H762" s="102">
        <v>4</v>
      </c>
      <c r="I762" s="102">
        <v>2</v>
      </c>
      <c r="J762" s="62">
        <v>1345.8</v>
      </c>
      <c r="K762" s="62">
        <v>1132</v>
      </c>
      <c r="L762" s="62">
        <v>118.5</v>
      </c>
      <c r="M762" s="103">
        <v>46</v>
      </c>
      <c r="N762" s="28">
        <f t="shared" si="182"/>
        <v>9837825.5099999998</v>
      </c>
      <c r="O762" s="62"/>
      <c r="P762" s="62">
        <f t="shared" si="185"/>
        <v>0</v>
      </c>
      <c r="Q762" s="235"/>
      <c r="R762" s="235"/>
      <c r="S762" s="62">
        <v>0</v>
      </c>
      <c r="T762" s="236"/>
      <c r="U762" s="236"/>
      <c r="V762" s="28">
        <v>304933.59000000003</v>
      </c>
      <c r="W762" s="235"/>
      <c r="X762" s="235"/>
      <c r="Y762" s="28">
        <v>6263569.7999999998</v>
      </c>
      <c r="Z762" s="235"/>
      <c r="AA762" s="235"/>
      <c r="AB762" s="28">
        <v>3269322.12</v>
      </c>
      <c r="AC762" s="28"/>
      <c r="AD762" s="28"/>
      <c r="AE762" s="62">
        <v>11130.065274159</v>
      </c>
      <c r="AF762" s="62">
        <v>1388.2830200640001</v>
      </c>
      <c r="AG762" s="33">
        <v>2024</v>
      </c>
      <c r="AH762" s="18">
        <v>143651.70000000001</v>
      </c>
      <c r="AI762" s="5">
        <f t="shared" si="188"/>
        <v>177467.81099999999</v>
      </c>
      <c r="AJ762" s="5">
        <f t="shared" si="189"/>
        <v>6263569.7999999998</v>
      </c>
      <c r="AK762" s="5">
        <f>+N762-AL762</f>
        <v>9837825.5099999998</v>
      </c>
      <c r="AL762" s="28">
        <f>'Приложение №2'!E760</f>
        <v>0</v>
      </c>
      <c r="AM762" s="62">
        <v>4332206.6500000004</v>
      </c>
      <c r="AN762" s="62"/>
      <c r="AO762" s="62">
        <v>1146753.78</v>
      </c>
      <c r="AP762" s="62"/>
      <c r="AQ762" s="62">
        <v>0</v>
      </c>
      <c r="AR762" s="62"/>
      <c r="AS762" s="62"/>
      <c r="AT762" s="62">
        <v>0</v>
      </c>
      <c r="AU762" s="62">
        <v>4358865.08</v>
      </c>
      <c r="AV762" s="62">
        <v>0</v>
      </c>
      <c r="AW762" s="62">
        <v>0</v>
      </c>
      <c r="AX762" s="62">
        <v>0</v>
      </c>
      <c r="AY762" s="62"/>
      <c r="AZ762" s="62"/>
      <c r="BA762" s="151"/>
      <c r="BB762" s="237">
        <f t="shared" si="183"/>
        <v>3</v>
      </c>
      <c r="BE762" s="5"/>
    </row>
    <row r="763" spans="1:59" ht="15.75" hidden="1">
      <c r="A763" s="234">
        <f t="shared" si="184"/>
        <v>738</v>
      </c>
      <c r="B763" s="101">
        <f t="shared" si="187"/>
        <v>252</v>
      </c>
      <c r="C763" s="101" t="s">
        <v>116</v>
      </c>
      <c r="D763" s="101" t="s">
        <v>665</v>
      </c>
      <c r="E763" s="102">
        <v>1967</v>
      </c>
      <c r="F763" s="102">
        <v>2013</v>
      </c>
      <c r="G763" s="102" t="s">
        <v>3</v>
      </c>
      <c r="H763" s="102">
        <v>3</v>
      </c>
      <c r="I763" s="102">
        <v>3</v>
      </c>
      <c r="J763" s="62">
        <v>1661.3</v>
      </c>
      <c r="K763" s="62">
        <v>1287.5999999999999</v>
      </c>
      <c r="L763" s="62">
        <v>250.7</v>
      </c>
      <c r="M763" s="103">
        <v>74</v>
      </c>
      <c r="N763" s="28">
        <f t="shared" si="182"/>
        <v>11426950.709999999</v>
      </c>
      <c r="O763" s="62"/>
      <c r="P763" s="62">
        <f t="shared" si="185"/>
        <v>0</v>
      </c>
      <c r="Q763" s="235"/>
      <c r="R763" s="235"/>
      <c r="S763" s="62">
        <v>0</v>
      </c>
      <c r="T763" s="236"/>
      <c r="U763" s="236"/>
      <c r="V763" s="28">
        <v>913328.99</v>
      </c>
      <c r="W763" s="235"/>
      <c r="X763" s="235"/>
      <c r="Y763" s="28">
        <v>8184845.8799999999</v>
      </c>
      <c r="Z763" s="235"/>
      <c r="AA763" s="235"/>
      <c r="AB763" s="28">
        <v>2328775.84</v>
      </c>
      <c r="AC763" s="28"/>
      <c r="AD763" s="28"/>
      <c r="AE763" s="62">
        <v>10001.1712411681</v>
      </c>
      <c r="AF763" s="62">
        <v>1389.2830200640001</v>
      </c>
      <c r="AG763" s="33">
        <v>2024</v>
      </c>
      <c r="AH763" s="18">
        <v>702566.9</v>
      </c>
      <c r="AI763" s="5">
        <f t="shared" si="188"/>
        <v>231903.96659999999</v>
      </c>
      <c r="AJ763" s="5">
        <f t="shared" si="189"/>
        <v>8184845.8799999999</v>
      </c>
      <c r="AL763" s="28">
        <f>'Приложение №2'!E761</f>
        <v>0</v>
      </c>
      <c r="AM763" s="62">
        <v>5307164.59</v>
      </c>
      <c r="AN763" s="62">
        <v>4670595</v>
      </c>
      <c r="AO763" s="62">
        <v>1449191.12</v>
      </c>
      <c r="AP763" s="62"/>
      <c r="AQ763" s="62">
        <v>0</v>
      </c>
      <c r="AR763" s="62"/>
      <c r="AS763" s="62"/>
      <c r="AT763" s="62">
        <v>0</v>
      </c>
      <c r="AU763" s="62">
        <v>0</v>
      </c>
      <c r="AV763" s="62">
        <v>0</v>
      </c>
      <c r="AW763" s="62">
        <v>0</v>
      </c>
      <c r="AX763" s="62">
        <v>0</v>
      </c>
      <c r="AY763" s="62"/>
      <c r="AZ763" s="62"/>
      <c r="BA763" s="151"/>
      <c r="BB763" s="237">
        <f t="shared" si="183"/>
        <v>3</v>
      </c>
      <c r="BE763" s="5"/>
    </row>
    <row r="764" spans="1:59" ht="15.75" hidden="1">
      <c r="A764" s="234">
        <f t="shared" si="184"/>
        <v>739</v>
      </c>
      <c r="B764" s="101">
        <f t="shared" si="187"/>
        <v>253</v>
      </c>
      <c r="C764" s="101" t="s">
        <v>116</v>
      </c>
      <c r="D764" s="101" t="s">
        <v>666</v>
      </c>
      <c r="E764" s="102">
        <v>1969</v>
      </c>
      <c r="F764" s="102">
        <v>1969</v>
      </c>
      <c r="G764" s="102" t="s">
        <v>3</v>
      </c>
      <c r="H764" s="102">
        <v>4</v>
      </c>
      <c r="I764" s="102">
        <v>2</v>
      </c>
      <c r="J764" s="62">
        <v>1375</v>
      </c>
      <c r="K764" s="62">
        <v>1257.0999999999999</v>
      </c>
      <c r="L764" s="62">
        <v>0</v>
      </c>
      <c r="M764" s="103">
        <v>53</v>
      </c>
      <c r="N764" s="28">
        <f t="shared" si="182"/>
        <v>9276766.7199999988</v>
      </c>
      <c r="O764" s="62"/>
      <c r="P764" s="62">
        <f t="shared" si="185"/>
        <v>0</v>
      </c>
      <c r="Q764" s="235"/>
      <c r="R764" s="235"/>
      <c r="S764" s="62"/>
      <c r="T764" s="236"/>
      <c r="U764" s="236"/>
      <c r="V764" s="28">
        <v>768829.68</v>
      </c>
      <c r="W764" s="235"/>
      <c r="X764" s="235"/>
      <c r="Y764" s="28">
        <v>5751986.7599999998</v>
      </c>
      <c r="Z764" s="235"/>
      <c r="AA764" s="235"/>
      <c r="AB764" s="28">
        <v>2755950.28</v>
      </c>
      <c r="AC764" s="28"/>
      <c r="AD764" s="28"/>
      <c r="AE764" s="62">
        <v>10568.4757931064</v>
      </c>
      <c r="AF764" s="62">
        <v>1392.2830200640001</v>
      </c>
      <c r="AG764" s="33">
        <v>2024</v>
      </c>
      <c r="AH764" s="18">
        <v>620730.73</v>
      </c>
      <c r="AI764" s="5">
        <f t="shared" si="188"/>
        <v>162972.95819999999</v>
      </c>
      <c r="AJ764" s="5">
        <f t="shared" si="189"/>
        <v>5751986.7599999998</v>
      </c>
      <c r="AL764" s="28">
        <f>'Приложение №2'!E762</f>
        <v>0</v>
      </c>
      <c r="AM764" s="62">
        <v>4337466.13</v>
      </c>
      <c r="AN764" s="62"/>
      <c r="AO764" s="62">
        <v>1321148.53</v>
      </c>
      <c r="AP764" s="62"/>
      <c r="AQ764" s="62">
        <v>0</v>
      </c>
      <c r="AR764" s="62"/>
      <c r="AS764" s="62"/>
      <c r="AT764" s="62">
        <v>0</v>
      </c>
      <c r="AU764" s="62">
        <v>3618152.06</v>
      </c>
      <c r="AV764" s="62">
        <v>0</v>
      </c>
      <c r="AW764" s="62">
        <v>0</v>
      </c>
      <c r="AX764" s="62">
        <v>0</v>
      </c>
      <c r="AY764" s="62"/>
      <c r="AZ764" s="62"/>
      <c r="BA764" s="151"/>
      <c r="BB764" s="237">
        <f t="shared" si="183"/>
        <v>3</v>
      </c>
    </row>
    <row r="765" spans="1:59" ht="15.75" hidden="1">
      <c r="A765" s="234">
        <f t="shared" si="184"/>
        <v>740</v>
      </c>
      <c r="B765" s="101">
        <f t="shared" si="187"/>
        <v>254</v>
      </c>
      <c r="C765" s="101" t="s">
        <v>116</v>
      </c>
      <c r="D765" s="101" t="s">
        <v>668</v>
      </c>
      <c r="E765" s="102">
        <v>1970</v>
      </c>
      <c r="F765" s="102">
        <v>2015</v>
      </c>
      <c r="G765" s="102" t="s">
        <v>3</v>
      </c>
      <c r="H765" s="102">
        <v>4</v>
      </c>
      <c r="I765" s="102">
        <v>2</v>
      </c>
      <c r="J765" s="62">
        <v>1397.9</v>
      </c>
      <c r="K765" s="62">
        <v>1284</v>
      </c>
      <c r="L765" s="62">
        <v>0</v>
      </c>
      <c r="M765" s="103">
        <v>70</v>
      </c>
      <c r="N765" s="28">
        <f t="shared" si="182"/>
        <v>13827121.060000001</v>
      </c>
      <c r="O765" s="62"/>
      <c r="P765" s="62">
        <f t="shared" si="185"/>
        <v>0</v>
      </c>
      <c r="Q765" s="235"/>
      <c r="R765" s="235"/>
      <c r="S765" s="62"/>
      <c r="T765" s="236"/>
      <c r="U765" s="236"/>
      <c r="V765" s="28">
        <v>466065.54</v>
      </c>
      <c r="W765" s="235"/>
      <c r="X765" s="235"/>
      <c r="Y765" s="28">
        <v>5875070.4000000004</v>
      </c>
      <c r="Z765" s="235"/>
      <c r="AA765" s="235"/>
      <c r="AB765" s="28">
        <v>7485985.1200000001</v>
      </c>
      <c r="AC765" s="28"/>
      <c r="AD765" s="28"/>
      <c r="AE765" s="62">
        <v>9459.2762478264303</v>
      </c>
      <c r="AF765" s="62">
        <v>1397.2830200640001</v>
      </c>
      <c r="AG765" s="33">
        <v>2024</v>
      </c>
      <c r="AH765" s="18">
        <v>314797.5</v>
      </c>
      <c r="AI765" s="5">
        <f t="shared" si="188"/>
        <v>166460.32800000001</v>
      </c>
      <c r="AJ765" s="5">
        <f t="shared" si="189"/>
        <v>5875070.4000000004</v>
      </c>
      <c r="AL765" s="28">
        <f>'Приложение №2'!E763</f>
        <v>0</v>
      </c>
      <c r="AM765" s="62">
        <v>4481532.6399999997</v>
      </c>
      <c r="AN765" s="62"/>
      <c r="AO765" s="62">
        <v>1387702.38</v>
      </c>
      <c r="AP765" s="62"/>
      <c r="AQ765" s="62">
        <v>0</v>
      </c>
      <c r="AR765" s="62"/>
      <c r="AS765" s="62"/>
      <c r="AT765" s="62">
        <v>0</v>
      </c>
      <c r="AU765" s="62">
        <v>7957886.04</v>
      </c>
      <c r="AV765" s="62">
        <v>0</v>
      </c>
      <c r="AW765" s="62">
        <v>0</v>
      </c>
      <c r="AX765" s="62">
        <v>0</v>
      </c>
      <c r="AY765" s="62"/>
      <c r="AZ765" s="62"/>
      <c r="BA765" s="151"/>
      <c r="BB765" s="237">
        <f t="shared" si="183"/>
        <v>3</v>
      </c>
    </row>
    <row r="766" spans="1:59" ht="15.75" hidden="1">
      <c r="A766" s="234">
        <f t="shared" si="184"/>
        <v>741</v>
      </c>
      <c r="B766" s="101">
        <f t="shared" si="187"/>
        <v>255</v>
      </c>
      <c r="C766" s="101" t="s">
        <v>116</v>
      </c>
      <c r="D766" s="101" t="s">
        <v>669</v>
      </c>
      <c r="E766" s="102">
        <v>1970</v>
      </c>
      <c r="F766" s="102">
        <v>2015</v>
      </c>
      <c r="G766" s="102" t="s">
        <v>3</v>
      </c>
      <c r="H766" s="102">
        <v>4</v>
      </c>
      <c r="I766" s="102">
        <v>2</v>
      </c>
      <c r="J766" s="62">
        <v>1401</v>
      </c>
      <c r="K766" s="62">
        <v>1279.2</v>
      </c>
      <c r="L766" s="62">
        <v>0</v>
      </c>
      <c r="M766" s="103">
        <v>66</v>
      </c>
      <c r="N766" s="28">
        <f t="shared" si="182"/>
        <v>13637429.059999999</v>
      </c>
      <c r="O766" s="62"/>
      <c r="P766" s="62">
        <f t="shared" si="185"/>
        <v>0</v>
      </c>
      <c r="Q766" s="235"/>
      <c r="R766" s="235"/>
      <c r="S766" s="62"/>
      <c r="T766" s="236"/>
      <c r="U766" s="236"/>
      <c r="V766" s="28">
        <v>511436.27</v>
      </c>
      <c r="W766" s="235"/>
      <c r="X766" s="235"/>
      <c r="Y766" s="28">
        <v>5853107.5199999996</v>
      </c>
      <c r="Z766" s="235"/>
      <c r="AA766" s="235"/>
      <c r="AB766" s="28">
        <v>7272885.2699999996</v>
      </c>
      <c r="AC766" s="28"/>
      <c r="AD766" s="28"/>
      <c r="AE766" s="62">
        <v>9493.28600148654</v>
      </c>
      <c r="AF766" s="62">
        <v>1398.2830200640001</v>
      </c>
      <c r="AG766" s="33">
        <v>2024</v>
      </c>
      <c r="AH766" s="18">
        <v>360733.72</v>
      </c>
      <c r="AI766" s="5">
        <f t="shared" si="188"/>
        <v>165838.04640000002</v>
      </c>
      <c r="AJ766" s="5">
        <f t="shared" si="189"/>
        <v>5853107.5200000014</v>
      </c>
      <c r="AL766" s="28">
        <f>'Приложение №2'!E764</f>
        <v>0</v>
      </c>
      <c r="AM766" s="62">
        <v>4350258.68</v>
      </c>
      <c r="AN766" s="62"/>
      <c r="AO766" s="62">
        <v>1330897.49</v>
      </c>
      <c r="AP766" s="62"/>
      <c r="AQ766" s="62">
        <v>0</v>
      </c>
      <c r="AR766" s="62"/>
      <c r="AS766" s="62"/>
      <c r="AT766" s="62">
        <v>0</v>
      </c>
      <c r="AU766" s="62">
        <v>7956272.8899999997</v>
      </c>
      <c r="AV766" s="62">
        <v>0</v>
      </c>
      <c r="AW766" s="62">
        <v>0</v>
      </c>
      <c r="AX766" s="62">
        <v>0</v>
      </c>
      <c r="AY766" s="62"/>
      <c r="AZ766" s="62"/>
      <c r="BA766" s="151"/>
      <c r="BB766" s="237">
        <f t="shared" si="183"/>
        <v>3</v>
      </c>
    </row>
    <row r="767" spans="1:59" ht="15.75" hidden="1">
      <c r="A767" s="234">
        <f t="shared" si="184"/>
        <v>742</v>
      </c>
      <c r="B767" s="101">
        <f t="shared" si="187"/>
        <v>256</v>
      </c>
      <c r="C767" s="101" t="s">
        <v>116</v>
      </c>
      <c r="D767" s="101" t="s">
        <v>670</v>
      </c>
      <c r="E767" s="102">
        <v>1970</v>
      </c>
      <c r="F767" s="102">
        <v>2015</v>
      </c>
      <c r="G767" s="102" t="s">
        <v>3</v>
      </c>
      <c r="H767" s="102">
        <v>4</v>
      </c>
      <c r="I767" s="102">
        <v>2</v>
      </c>
      <c r="J767" s="62">
        <v>1391.9</v>
      </c>
      <c r="K767" s="62">
        <v>1360</v>
      </c>
      <c r="L767" s="62">
        <v>0</v>
      </c>
      <c r="M767" s="103">
        <v>56</v>
      </c>
      <c r="N767" s="28">
        <f t="shared" si="182"/>
        <v>10492870.870000001</v>
      </c>
      <c r="O767" s="62"/>
      <c r="P767" s="62">
        <f t="shared" si="185"/>
        <v>0</v>
      </c>
      <c r="Q767" s="235"/>
      <c r="R767" s="235"/>
      <c r="S767" s="62"/>
      <c r="T767" s="236"/>
      <c r="U767" s="236"/>
      <c r="V767" s="28">
        <v>539975.65</v>
      </c>
      <c r="W767" s="235"/>
      <c r="X767" s="235"/>
      <c r="Y767" s="28">
        <v>6222816</v>
      </c>
      <c r="Z767" s="235"/>
      <c r="AA767" s="235"/>
      <c r="AB767" s="28">
        <v>3730079.22</v>
      </c>
      <c r="AC767" s="28"/>
      <c r="AD767" s="28"/>
      <c r="AE767" s="62">
        <v>10052.7436441176</v>
      </c>
      <c r="AF767" s="62">
        <v>10052.7436441176</v>
      </c>
      <c r="AG767" s="33">
        <v>2024</v>
      </c>
      <c r="AH767" s="1">
        <v>379754.05</v>
      </c>
      <c r="AI767" s="5">
        <f t="shared" si="188"/>
        <v>176313.12</v>
      </c>
      <c r="AJ767" s="5">
        <f t="shared" si="189"/>
        <v>6222816</v>
      </c>
      <c r="AL767" s="28">
        <f>'Приложение №2'!E765</f>
        <v>0</v>
      </c>
      <c r="AM767" s="62">
        <v>3698964.38</v>
      </c>
      <c r="AN767" s="62"/>
      <c r="AO767" s="62">
        <v>994832.33</v>
      </c>
      <c r="AP767" s="62"/>
      <c r="AQ767" s="62">
        <v>0</v>
      </c>
      <c r="AR767" s="62"/>
      <c r="AS767" s="62"/>
      <c r="AT767" s="62">
        <v>0</v>
      </c>
      <c r="AU767" s="62">
        <v>5799074.1600000001</v>
      </c>
      <c r="AV767" s="62">
        <v>0</v>
      </c>
      <c r="AW767" s="62">
        <v>0</v>
      </c>
      <c r="AX767" s="62">
        <v>0</v>
      </c>
      <c r="AY767" s="62"/>
      <c r="AZ767" s="62"/>
      <c r="BA767" s="151"/>
      <c r="BB767" s="237">
        <f t="shared" si="183"/>
        <v>3</v>
      </c>
    </row>
    <row r="768" spans="1:59" ht="15.75" hidden="1">
      <c r="A768" s="234">
        <f t="shared" si="184"/>
        <v>743</v>
      </c>
      <c r="B768" s="101">
        <f t="shared" si="187"/>
        <v>257</v>
      </c>
      <c r="C768" s="101" t="s">
        <v>116</v>
      </c>
      <c r="D768" s="101" t="s">
        <v>672</v>
      </c>
      <c r="E768" s="102">
        <v>1969</v>
      </c>
      <c r="F768" s="102">
        <v>2015</v>
      </c>
      <c r="G768" s="102" t="s">
        <v>3</v>
      </c>
      <c r="H768" s="102">
        <v>4</v>
      </c>
      <c r="I768" s="102">
        <v>2</v>
      </c>
      <c r="J768" s="62">
        <v>1374</v>
      </c>
      <c r="K768" s="62">
        <v>1181.29</v>
      </c>
      <c r="L768" s="62">
        <v>71.900000000000006</v>
      </c>
      <c r="M768" s="103">
        <v>60</v>
      </c>
      <c r="N768" s="28">
        <f t="shared" si="182"/>
        <v>11173587.76</v>
      </c>
      <c r="O768" s="62"/>
      <c r="P768" s="62">
        <f t="shared" si="185"/>
        <v>0</v>
      </c>
      <c r="Q768" s="235"/>
      <c r="R768" s="235"/>
      <c r="S768" s="62"/>
      <c r="T768" s="236"/>
      <c r="U768" s="236"/>
      <c r="V768" s="28">
        <v>376498.24</v>
      </c>
      <c r="W768" s="235"/>
      <c r="X768" s="235"/>
      <c r="Y768" s="28">
        <v>6062822.9639999997</v>
      </c>
      <c r="Z768" s="235"/>
      <c r="AA768" s="235"/>
      <c r="AB768" s="28">
        <v>4734266.5559999999</v>
      </c>
      <c r="AC768" s="28"/>
      <c r="AD768" s="28"/>
      <c r="AE768" s="62">
        <v>11006.1386376876</v>
      </c>
      <c r="AF768" s="62">
        <v>1400.2830200640001</v>
      </c>
      <c r="AG768" s="33">
        <v>2024</v>
      </c>
      <c r="AH768" s="18">
        <v>220389.39</v>
      </c>
      <c r="AI768" s="5">
        <f t="shared" si="188"/>
        <v>171779.98398000002</v>
      </c>
      <c r="AJ768" s="5">
        <f t="shared" si="189"/>
        <v>6062822.9640000015</v>
      </c>
      <c r="AL768" s="28">
        <f>'Приложение №2'!E766</f>
        <v>0</v>
      </c>
      <c r="AM768" s="62">
        <v>4350161.84</v>
      </c>
      <c r="AN768" s="62"/>
      <c r="AO768" s="62">
        <v>1513519.58</v>
      </c>
      <c r="AP768" s="62"/>
      <c r="AQ768" s="62">
        <v>0</v>
      </c>
      <c r="AR768" s="62"/>
      <c r="AS768" s="62"/>
      <c r="AT768" s="62">
        <v>0</v>
      </c>
      <c r="AU768" s="62">
        <v>5309906.34</v>
      </c>
      <c r="AV768" s="62">
        <v>0</v>
      </c>
      <c r="AW768" s="62">
        <v>0</v>
      </c>
      <c r="AX768" s="62">
        <v>0</v>
      </c>
      <c r="AY768" s="62"/>
      <c r="AZ768" s="62"/>
      <c r="BA768" s="151"/>
      <c r="BB768" s="237">
        <f t="shared" si="183"/>
        <v>3</v>
      </c>
    </row>
    <row r="769" spans="1:54" ht="15.75" hidden="1">
      <c r="A769" s="234">
        <f t="shared" si="184"/>
        <v>744</v>
      </c>
      <c r="B769" s="101">
        <f t="shared" si="187"/>
        <v>258</v>
      </c>
      <c r="C769" s="101" t="s">
        <v>116</v>
      </c>
      <c r="D769" s="101" t="s">
        <v>673</v>
      </c>
      <c r="E769" s="102">
        <v>1971</v>
      </c>
      <c r="F769" s="102">
        <v>2015</v>
      </c>
      <c r="G769" s="102" t="s">
        <v>3</v>
      </c>
      <c r="H769" s="102">
        <v>4</v>
      </c>
      <c r="I769" s="102">
        <v>3</v>
      </c>
      <c r="J769" s="62">
        <v>2198.9</v>
      </c>
      <c r="K769" s="62">
        <v>1976.38</v>
      </c>
      <c r="L769" s="62">
        <v>127.2</v>
      </c>
      <c r="M769" s="103">
        <v>98</v>
      </c>
      <c r="N769" s="28">
        <f t="shared" si="182"/>
        <v>6390068.5899999999</v>
      </c>
      <c r="O769" s="62"/>
      <c r="P769" s="62">
        <f t="shared" si="185"/>
        <v>0</v>
      </c>
      <c r="Q769" s="236"/>
      <c r="R769" s="236"/>
      <c r="S769" s="62"/>
      <c r="T769" s="236"/>
      <c r="U769" s="236"/>
      <c r="V769" s="28">
        <v>1488845.93</v>
      </c>
      <c r="W769" s="243"/>
      <c r="X769" s="243"/>
      <c r="Y769" s="34">
        <v>4901222.66</v>
      </c>
      <c r="Z769" s="244"/>
      <c r="AA769" s="244"/>
      <c r="AB769" s="28"/>
      <c r="AC769" s="28"/>
      <c r="AD769" s="28"/>
      <c r="AE769" s="62">
        <v>3062.9155534850102</v>
      </c>
      <c r="AF769" s="62">
        <v>3062.9155534850102</v>
      </c>
      <c r="AG769" s="33">
        <v>2024</v>
      </c>
      <c r="AH769" s="1">
        <v>1226037.74</v>
      </c>
      <c r="AI769" s="5">
        <f t="shared" si="188"/>
        <v>289189.80635999999</v>
      </c>
      <c r="AJ769" s="5">
        <f t="shared" si="189"/>
        <v>10206699.048</v>
      </c>
      <c r="AK769" s="5">
        <f>+N769-AL769</f>
        <v>6390068.5899999999</v>
      </c>
      <c r="AL769" s="28">
        <f>'Приложение №2'!E767</f>
        <v>0</v>
      </c>
      <c r="AM769" s="62">
        <v>6390068.5899999999</v>
      </c>
      <c r="AN769" s="62">
        <v>0</v>
      </c>
      <c r="AO769" s="62">
        <v>0</v>
      </c>
      <c r="AP769" s="62">
        <v>0</v>
      </c>
      <c r="AQ769" s="62">
        <v>0</v>
      </c>
      <c r="AR769" s="62"/>
      <c r="AS769" s="62"/>
      <c r="AT769" s="62">
        <v>0</v>
      </c>
      <c r="AU769" s="62">
        <v>0</v>
      </c>
      <c r="AV769" s="62">
        <v>0</v>
      </c>
      <c r="AW769" s="62">
        <v>0</v>
      </c>
      <c r="AX769" s="62">
        <v>0</v>
      </c>
      <c r="AY769" s="62"/>
      <c r="AZ769" s="62"/>
      <c r="BA769" s="151"/>
      <c r="BB769" s="237">
        <f t="shared" si="183"/>
        <v>1</v>
      </c>
    </row>
    <row r="770" spans="1:54" ht="15.75" hidden="1">
      <c r="A770" s="234">
        <f t="shared" si="184"/>
        <v>745</v>
      </c>
      <c r="B770" s="101">
        <f t="shared" si="187"/>
        <v>259</v>
      </c>
      <c r="C770" s="101" t="s">
        <v>116</v>
      </c>
      <c r="D770" s="101" t="s">
        <v>377</v>
      </c>
      <c r="E770" s="102">
        <v>1974</v>
      </c>
      <c r="F770" s="102">
        <v>2014</v>
      </c>
      <c r="G770" s="102" t="s">
        <v>3</v>
      </c>
      <c r="H770" s="102">
        <v>4</v>
      </c>
      <c r="I770" s="102">
        <v>6</v>
      </c>
      <c r="J770" s="62">
        <v>4464.7</v>
      </c>
      <c r="K770" s="62">
        <v>4072.9</v>
      </c>
      <c r="L770" s="62">
        <v>35.1</v>
      </c>
      <c r="M770" s="103">
        <v>161</v>
      </c>
      <c r="N770" s="28">
        <f t="shared" ref="N770:N801" si="190">P770+S770+V770+Y770+AB770</f>
        <v>14189389.389999999</v>
      </c>
      <c r="O770" s="62"/>
      <c r="P770" s="62">
        <f t="shared" si="185"/>
        <v>0</v>
      </c>
      <c r="Q770" s="236"/>
      <c r="R770" s="236"/>
      <c r="S770" s="62"/>
      <c r="T770" s="236"/>
      <c r="U770" s="236"/>
      <c r="V770" s="28">
        <v>488098.61</v>
      </c>
      <c r="W770" s="235"/>
      <c r="X770" s="235"/>
      <c r="Y770" s="28">
        <v>13701290.779999999</v>
      </c>
      <c r="Z770" s="235"/>
      <c r="AA770" s="235"/>
      <c r="AB770" s="28"/>
      <c r="AC770" s="28"/>
      <c r="AD770" s="28"/>
      <c r="AE770" s="62">
        <v>2920.48106044304</v>
      </c>
      <c r="AF770" s="62">
        <v>2920.48106044304</v>
      </c>
      <c r="AG770" s="33">
        <v>2024</v>
      </c>
      <c r="AH770" s="18"/>
      <c r="AI770" s="5">
        <f t="shared" si="188"/>
        <v>537116.19000000006</v>
      </c>
      <c r="AJ770" s="5">
        <f>+(K770*12.71+L770*25.41)*12*30-[3]Лист1!$AQ$92</f>
        <v>18593467.57</v>
      </c>
      <c r="AK770" s="5">
        <f>+N770-AL770</f>
        <v>14189389.389999999</v>
      </c>
      <c r="AL770" s="28">
        <f>'Приложение №2'!E768</f>
        <v>0</v>
      </c>
      <c r="AM770" s="62">
        <v>14189389.390000001</v>
      </c>
      <c r="AN770" s="62">
        <v>0</v>
      </c>
      <c r="AO770" s="62">
        <v>0</v>
      </c>
      <c r="AP770" s="62">
        <v>0</v>
      </c>
      <c r="AQ770" s="62">
        <v>0</v>
      </c>
      <c r="AR770" s="62"/>
      <c r="AS770" s="62"/>
      <c r="AT770" s="62">
        <v>0</v>
      </c>
      <c r="AU770" s="62">
        <v>0</v>
      </c>
      <c r="AV770" s="62">
        <v>0</v>
      </c>
      <c r="AW770" s="62">
        <v>0</v>
      </c>
      <c r="AX770" s="62">
        <v>0</v>
      </c>
      <c r="AY770" s="62"/>
      <c r="AZ770" s="62"/>
      <c r="BA770" s="151"/>
      <c r="BB770" s="237">
        <f t="shared" ref="BB770:BB801" si="191">COUNTIF(AM770:AX770, "&gt;0")</f>
        <v>1</v>
      </c>
    </row>
    <row r="771" spans="1:54" ht="15.75" hidden="1">
      <c r="A771" s="234">
        <f t="shared" ref="A771:A802" si="192">A770+1</f>
        <v>746</v>
      </c>
      <c r="B771" s="101">
        <f t="shared" si="187"/>
        <v>260</v>
      </c>
      <c r="C771" s="101" t="s">
        <v>116</v>
      </c>
      <c r="D771" s="101" t="s">
        <v>675</v>
      </c>
      <c r="E771" s="102">
        <v>1968</v>
      </c>
      <c r="F771" s="102">
        <v>2013</v>
      </c>
      <c r="G771" s="102" t="s">
        <v>3</v>
      </c>
      <c r="H771" s="102">
        <v>4</v>
      </c>
      <c r="I771" s="102">
        <v>2</v>
      </c>
      <c r="J771" s="62">
        <v>1327.8</v>
      </c>
      <c r="K771" s="62">
        <v>1187.9000000000001</v>
      </c>
      <c r="L771" s="62">
        <v>88.4</v>
      </c>
      <c r="M771" s="103">
        <v>51</v>
      </c>
      <c r="N771" s="28">
        <f t="shared" si="190"/>
        <v>10843494.15</v>
      </c>
      <c r="O771" s="62"/>
      <c r="P771" s="62">
        <f t="shared" si="185"/>
        <v>0</v>
      </c>
      <c r="Q771" s="235"/>
      <c r="R771" s="235"/>
      <c r="S771" s="62"/>
      <c r="T771" s="236"/>
      <c r="U771" s="236"/>
      <c r="V771" s="28">
        <v>441305.93</v>
      </c>
      <c r="W771" s="235"/>
      <c r="X771" s="235"/>
      <c r="Y771" s="28">
        <v>6244003.0800000001</v>
      </c>
      <c r="Z771" s="235"/>
      <c r="AA771" s="235"/>
      <c r="AB771" s="28">
        <v>4158185.14</v>
      </c>
      <c r="AC771" s="28"/>
      <c r="AD771" s="28"/>
      <c r="AE771" s="62">
        <v>10559.4394600572</v>
      </c>
      <c r="AF771" s="62">
        <v>1402.2830200640001</v>
      </c>
      <c r="AG771" s="33">
        <v>2024</v>
      </c>
      <c r="AH771" s="18">
        <v>280530.62</v>
      </c>
      <c r="AI771" s="5">
        <f t="shared" si="188"/>
        <v>176913.42060000001</v>
      </c>
      <c r="AJ771" s="5">
        <f>+(K771*12.71+L771*25.41)*12*30</f>
        <v>6244003.0800000001</v>
      </c>
      <c r="AL771" s="28">
        <f>'Приложение №2'!E769</f>
        <v>0</v>
      </c>
      <c r="AM771" s="62">
        <v>4424020.72</v>
      </c>
      <c r="AN771" s="62"/>
      <c r="AO771" s="62">
        <v>1374170.93</v>
      </c>
      <c r="AP771" s="62"/>
      <c r="AQ771" s="62">
        <v>0</v>
      </c>
      <c r="AR771" s="62"/>
      <c r="AS771" s="62"/>
      <c r="AT771" s="62">
        <v>0</v>
      </c>
      <c r="AU771" s="62">
        <v>5045302.5</v>
      </c>
      <c r="AV771" s="62">
        <v>0</v>
      </c>
      <c r="AW771" s="62">
        <v>0</v>
      </c>
      <c r="AX771" s="62">
        <v>0</v>
      </c>
      <c r="AY771" s="62"/>
      <c r="AZ771" s="62"/>
      <c r="BA771" s="151"/>
      <c r="BB771" s="237">
        <f t="shared" si="191"/>
        <v>3</v>
      </c>
    </row>
    <row r="772" spans="1:54" ht="15.75" hidden="1">
      <c r="A772" s="234">
        <f t="shared" si="192"/>
        <v>747</v>
      </c>
      <c r="B772" s="101">
        <f t="shared" si="187"/>
        <v>261</v>
      </c>
      <c r="C772" s="101" t="s">
        <v>116</v>
      </c>
      <c r="D772" s="101" t="s">
        <v>676</v>
      </c>
      <c r="E772" s="102">
        <v>1985</v>
      </c>
      <c r="F772" s="102">
        <v>2015</v>
      </c>
      <c r="G772" s="102" t="s">
        <v>3</v>
      </c>
      <c r="H772" s="102">
        <v>9</v>
      </c>
      <c r="I772" s="102">
        <v>1</v>
      </c>
      <c r="J772" s="62">
        <v>2289.1999999999998</v>
      </c>
      <c r="K772" s="62">
        <v>1890</v>
      </c>
      <c r="L772" s="62">
        <v>116.7</v>
      </c>
      <c r="M772" s="103">
        <v>81</v>
      </c>
      <c r="N772" s="28">
        <f t="shared" si="190"/>
        <v>17030124.550000001</v>
      </c>
      <c r="O772" s="62"/>
      <c r="P772" s="62">
        <f t="shared" si="185"/>
        <v>0</v>
      </c>
      <c r="Q772" s="235"/>
      <c r="R772" s="235"/>
      <c r="S772" s="62"/>
      <c r="T772" s="236"/>
      <c r="U772" s="236"/>
      <c r="V772" s="28">
        <v>1585675.48</v>
      </c>
      <c r="W772" s="235"/>
      <c r="X772" s="235"/>
      <c r="Y772" s="28">
        <v>12694339.439999999</v>
      </c>
      <c r="Z772" s="235"/>
      <c r="AA772" s="235"/>
      <c r="AB772" s="28">
        <v>2750109.63</v>
      </c>
      <c r="AC772" s="28"/>
      <c r="AD772" s="28"/>
      <c r="AE772" s="62">
        <v>10637.2933701032</v>
      </c>
      <c r="AF772" s="62">
        <v>10637.2933701032</v>
      </c>
      <c r="AG772" s="33">
        <v>2024</v>
      </c>
      <c r="AH772" s="1">
        <v>1258785.53</v>
      </c>
      <c r="AI772" s="5">
        <f>+(K772*16.89+L772*28.62)*12*0.85</f>
        <v>359672.95080000005</v>
      </c>
      <c r="AJ772" s="5">
        <f>+(K772*16.89+L772*28.62)*12*30</f>
        <v>12694339.440000001</v>
      </c>
      <c r="AL772" s="28">
        <f>'Приложение №2'!E770</f>
        <v>0</v>
      </c>
      <c r="AM772" s="62">
        <v>5255348.26</v>
      </c>
      <c r="AN772" s="62">
        <v>2576885.7599999998</v>
      </c>
      <c r="AO772" s="62">
        <v>1123654.06</v>
      </c>
      <c r="AP772" s="62">
        <v>2148802.02</v>
      </c>
      <c r="AQ772" s="62">
        <v>0</v>
      </c>
      <c r="AR772" s="62"/>
      <c r="AS772" s="62"/>
      <c r="AT772" s="62">
        <v>0</v>
      </c>
      <c r="AU772" s="62">
        <v>2915091.37</v>
      </c>
      <c r="AV772" s="62">
        <v>0</v>
      </c>
      <c r="AW772" s="62">
        <v>0</v>
      </c>
      <c r="AX772" s="62">
        <v>3010343.08</v>
      </c>
      <c r="AY772" s="62"/>
      <c r="AZ772" s="62"/>
      <c r="BA772" s="151"/>
      <c r="BB772" s="237">
        <f t="shared" si="191"/>
        <v>6</v>
      </c>
    </row>
    <row r="773" spans="1:54" ht="15.75" hidden="1">
      <c r="A773" s="234">
        <f t="shared" si="192"/>
        <v>748</v>
      </c>
      <c r="B773" s="101">
        <f t="shared" si="187"/>
        <v>262</v>
      </c>
      <c r="C773" s="101" t="s">
        <v>116</v>
      </c>
      <c r="D773" s="101" t="s">
        <v>677</v>
      </c>
      <c r="E773" s="102">
        <v>1976</v>
      </c>
      <c r="F773" s="102">
        <v>2013</v>
      </c>
      <c r="G773" s="102" t="s">
        <v>3</v>
      </c>
      <c r="H773" s="102">
        <v>4</v>
      </c>
      <c r="I773" s="102">
        <v>6</v>
      </c>
      <c r="J773" s="62">
        <v>4690.7</v>
      </c>
      <c r="K773" s="62">
        <v>4312.1000000000004</v>
      </c>
      <c r="L773" s="62">
        <v>202.5</v>
      </c>
      <c r="M773" s="103">
        <v>191</v>
      </c>
      <c r="N773" s="28">
        <f t="shared" si="190"/>
        <v>11351495.93</v>
      </c>
      <c r="O773" s="62"/>
      <c r="P773" s="62">
        <f t="shared" si="185"/>
        <v>0</v>
      </c>
      <c r="Q773" s="236"/>
      <c r="R773" s="236"/>
      <c r="S773" s="62"/>
      <c r="T773" s="236"/>
      <c r="U773" s="236"/>
      <c r="V773" s="28">
        <v>759010.68</v>
      </c>
      <c r="W773" s="235"/>
      <c r="X773" s="235"/>
      <c r="Y773" s="28">
        <v>10592485.25</v>
      </c>
      <c r="Z773" s="235"/>
      <c r="AA773" s="235"/>
      <c r="AB773" s="28"/>
      <c r="AC773" s="28"/>
      <c r="AD773" s="28"/>
      <c r="AE773" s="62">
        <v>2792.8923986842701</v>
      </c>
      <c r="AF773" s="62">
        <v>2792.8923986842701</v>
      </c>
      <c r="AG773" s="33">
        <v>2024</v>
      </c>
      <c r="AH773" s="5">
        <f>+[3]Лист1!$BC$97</f>
        <v>203289.13</v>
      </c>
      <c r="AI773" s="5">
        <f>+(K773*12.71+L773*25.41)*12*0.85</f>
        <v>611513.62320000015</v>
      </c>
      <c r="AJ773" s="5">
        <f>+(K773*12.71+L773*25.41)*12*30</f>
        <v>21582833.760000005</v>
      </c>
      <c r="AL773" s="28">
        <f>'Приложение №2'!E771</f>
        <v>0</v>
      </c>
      <c r="AM773" s="62">
        <v>11351495.93</v>
      </c>
      <c r="AN773" s="62">
        <v>0</v>
      </c>
      <c r="AO773" s="62">
        <v>0</v>
      </c>
      <c r="AP773" s="62"/>
      <c r="AQ773" s="62">
        <v>0</v>
      </c>
      <c r="AR773" s="62"/>
      <c r="AS773" s="62"/>
      <c r="AT773" s="62">
        <v>0</v>
      </c>
      <c r="AU773" s="62">
        <v>0</v>
      </c>
      <c r="AV773" s="62">
        <v>0</v>
      </c>
      <c r="AW773" s="62"/>
      <c r="AX773" s="62"/>
      <c r="AY773" s="62"/>
      <c r="AZ773" s="62"/>
      <c r="BA773" s="151"/>
      <c r="BB773" s="237">
        <f t="shared" si="191"/>
        <v>1</v>
      </c>
    </row>
    <row r="774" spans="1:54" ht="15.75" hidden="1">
      <c r="A774" s="234">
        <f t="shared" si="192"/>
        <v>749</v>
      </c>
      <c r="B774" s="101">
        <f t="shared" si="187"/>
        <v>263</v>
      </c>
      <c r="C774" s="101" t="s">
        <v>116</v>
      </c>
      <c r="D774" s="101" t="s">
        <v>678</v>
      </c>
      <c r="E774" s="102">
        <v>1989</v>
      </c>
      <c r="F774" s="102">
        <v>2015</v>
      </c>
      <c r="G774" s="102" t="s">
        <v>3</v>
      </c>
      <c r="H774" s="102">
        <v>9</v>
      </c>
      <c r="I774" s="102">
        <v>1</v>
      </c>
      <c r="J774" s="62">
        <v>2263.8000000000002</v>
      </c>
      <c r="K774" s="62">
        <v>1890.48</v>
      </c>
      <c r="L774" s="62">
        <v>120.7</v>
      </c>
      <c r="M774" s="103">
        <v>89</v>
      </c>
      <c r="N774" s="28">
        <f t="shared" si="190"/>
        <v>5979919.5200000005</v>
      </c>
      <c r="O774" s="62"/>
      <c r="P774" s="62">
        <f t="shared" si="185"/>
        <v>0</v>
      </c>
      <c r="Q774" s="236"/>
      <c r="R774" s="236"/>
      <c r="S774" s="62"/>
      <c r="T774" s="236"/>
      <c r="U774" s="236"/>
      <c r="V774" s="28">
        <v>1827076.05</v>
      </c>
      <c r="W774" s="235"/>
      <c r="X774" s="235"/>
      <c r="Y774" s="28">
        <v>4152843.47</v>
      </c>
      <c r="Z774" s="235"/>
      <c r="AA774" s="235"/>
      <c r="AB774" s="28"/>
      <c r="AC774" s="28"/>
      <c r="AD774" s="28"/>
      <c r="AE774" s="62">
        <v>2655.32448662139</v>
      </c>
      <c r="AF774" s="62">
        <v>2655.32448662139</v>
      </c>
      <c r="AG774" s="33">
        <v>2024</v>
      </c>
      <c r="AH774" s="1">
        <v>1499049.33</v>
      </c>
      <c r="AI774" s="5">
        <f t="shared" ref="AI774:AI780" si="193">+(K774*16.89+L774*28.62)*12*0.85</f>
        <v>360923.34023999999</v>
      </c>
      <c r="AJ774" s="5">
        <f t="shared" ref="AJ774:AJ780" si="194">+(K774*16.89+L774*28.62)*12*30</f>
        <v>12738470.831999999</v>
      </c>
      <c r="AK774" s="5">
        <f t="shared" ref="AK774:AK780" si="195">+N774-AL774</f>
        <v>5979919.5200000005</v>
      </c>
      <c r="AL774" s="28">
        <f>'Приложение №2'!E772</f>
        <v>0</v>
      </c>
      <c r="AM774" s="62">
        <v>5979919.5199999996</v>
      </c>
      <c r="AN774" s="62"/>
      <c r="AO774" s="62"/>
      <c r="AP774" s="62"/>
      <c r="AQ774" s="62"/>
      <c r="AR774" s="62"/>
      <c r="AS774" s="62"/>
      <c r="AT774" s="62">
        <v>0</v>
      </c>
      <c r="AU774" s="62">
        <v>0</v>
      </c>
      <c r="AV774" s="62">
        <v>0</v>
      </c>
      <c r="AW774" s="62">
        <v>0</v>
      </c>
      <c r="AX774" s="62"/>
      <c r="AY774" s="62"/>
      <c r="AZ774" s="62"/>
      <c r="BA774" s="151"/>
      <c r="BB774" s="237">
        <f t="shared" si="191"/>
        <v>1</v>
      </c>
    </row>
    <row r="775" spans="1:54" ht="15.75" hidden="1">
      <c r="A775" s="234">
        <f t="shared" si="192"/>
        <v>750</v>
      </c>
      <c r="B775" s="101">
        <f t="shared" si="187"/>
        <v>264</v>
      </c>
      <c r="C775" s="101" t="s">
        <v>116</v>
      </c>
      <c r="D775" s="101" t="s">
        <v>679</v>
      </c>
      <c r="E775" s="102">
        <v>1983</v>
      </c>
      <c r="F775" s="102">
        <v>2015</v>
      </c>
      <c r="G775" s="102" t="s">
        <v>3</v>
      </c>
      <c r="H775" s="102">
        <v>9</v>
      </c>
      <c r="I775" s="102">
        <v>1</v>
      </c>
      <c r="J775" s="62">
        <v>5368</v>
      </c>
      <c r="K775" s="62">
        <v>4278.88</v>
      </c>
      <c r="L775" s="62">
        <v>61.4</v>
      </c>
      <c r="M775" s="103">
        <v>194</v>
      </c>
      <c r="N775" s="28">
        <f t="shared" si="190"/>
        <v>3883900.51</v>
      </c>
      <c r="O775" s="62"/>
      <c r="P775" s="62">
        <f t="shared" si="185"/>
        <v>0</v>
      </c>
      <c r="Q775" s="236"/>
      <c r="R775" s="236"/>
      <c r="S775" s="62"/>
      <c r="T775" s="236"/>
      <c r="U775" s="236"/>
      <c r="V775" s="28">
        <v>3883900.51</v>
      </c>
      <c r="W775" s="235"/>
      <c r="X775" s="235"/>
      <c r="Y775" s="28">
        <v>0</v>
      </c>
      <c r="Z775" s="235"/>
      <c r="AA775" s="235"/>
      <c r="AB775" s="28"/>
      <c r="AC775" s="28"/>
      <c r="AD775" s="28"/>
      <c r="AE775" s="62">
        <v>1015.24716608084</v>
      </c>
      <c r="AF775" s="62">
        <v>1405.2830200640001</v>
      </c>
      <c r="AG775" s="33">
        <v>2024</v>
      </c>
      <c r="AH775" s="98">
        <v>3487762.01</v>
      </c>
      <c r="AI775" s="5">
        <f t="shared" si="193"/>
        <v>755081.02224000008</v>
      </c>
      <c r="AJ775" s="5">
        <f t="shared" si="194"/>
        <v>26649918.432000004</v>
      </c>
      <c r="AK775" s="5">
        <f t="shared" si="195"/>
        <v>3883900.51</v>
      </c>
      <c r="AL775" s="28">
        <f>'Приложение №2'!E773</f>
        <v>0</v>
      </c>
      <c r="AM775" s="62">
        <v>0</v>
      </c>
      <c r="AN775" s="62">
        <v>0</v>
      </c>
      <c r="AO775" s="62">
        <v>3883900.51</v>
      </c>
      <c r="AP775" s="62">
        <v>0</v>
      </c>
      <c r="AQ775" s="62">
        <v>0</v>
      </c>
      <c r="AR775" s="62"/>
      <c r="AS775" s="62"/>
      <c r="AT775" s="62">
        <v>0</v>
      </c>
      <c r="AU775" s="62">
        <v>0</v>
      </c>
      <c r="AV775" s="62">
        <v>0</v>
      </c>
      <c r="AW775" s="62">
        <v>0</v>
      </c>
      <c r="AX775" s="62">
        <v>0</v>
      </c>
      <c r="AY775" s="62"/>
      <c r="AZ775" s="62"/>
      <c r="BA775" s="151"/>
      <c r="BB775" s="237">
        <f t="shared" si="191"/>
        <v>1</v>
      </c>
    </row>
    <row r="776" spans="1:54" ht="15.75" hidden="1">
      <c r="A776" s="234">
        <f t="shared" si="192"/>
        <v>751</v>
      </c>
      <c r="B776" s="101">
        <f t="shared" si="187"/>
        <v>265</v>
      </c>
      <c r="C776" s="101" t="s">
        <v>116</v>
      </c>
      <c r="D776" s="101" t="s">
        <v>681</v>
      </c>
      <c r="E776" s="102">
        <v>1992</v>
      </c>
      <c r="F776" s="102">
        <v>2013</v>
      </c>
      <c r="G776" s="102" t="s">
        <v>3</v>
      </c>
      <c r="H776" s="102">
        <v>9</v>
      </c>
      <c r="I776" s="102">
        <v>1</v>
      </c>
      <c r="J776" s="62">
        <v>2277.4</v>
      </c>
      <c r="K776" s="62">
        <v>2020.55</v>
      </c>
      <c r="L776" s="62">
        <v>0</v>
      </c>
      <c r="M776" s="103">
        <v>98</v>
      </c>
      <c r="N776" s="28">
        <f t="shared" si="190"/>
        <v>3572320.01</v>
      </c>
      <c r="O776" s="62"/>
      <c r="P776" s="62">
        <f t="shared" si="185"/>
        <v>0</v>
      </c>
      <c r="Q776" s="236"/>
      <c r="R776" s="236"/>
      <c r="S776" s="62"/>
      <c r="T776" s="236"/>
      <c r="U776" s="236"/>
      <c r="V776" s="28">
        <v>2037653.23</v>
      </c>
      <c r="W776" s="235"/>
      <c r="X776" s="235"/>
      <c r="Y776" s="28">
        <v>1534666.78</v>
      </c>
      <c r="Z776" s="235"/>
      <c r="AA776" s="235"/>
      <c r="AB776" s="28"/>
      <c r="AC776" s="28"/>
      <c r="AD776" s="28"/>
      <c r="AE776" s="62">
        <v>1616.8129423176899</v>
      </c>
      <c r="AF776" s="62">
        <v>1406.2830200640001</v>
      </c>
      <c r="AG776" s="33">
        <v>2024</v>
      </c>
      <c r="AH776" s="98">
        <v>1721295.72</v>
      </c>
      <c r="AI776" s="5">
        <f t="shared" si="193"/>
        <v>348096.31290000002</v>
      </c>
      <c r="AJ776" s="5">
        <f t="shared" si="194"/>
        <v>12285752.220000001</v>
      </c>
      <c r="AK776" s="5">
        <f t="shared" si="195"/>
        <v>3572320.01</v>
      </c>
      <c r="AL776" s="28">
        <f>'Приложение №2'!E774</f>
        <v>0</v>
      </c>
      <c r="AM776" s="62"/>
      <c r="AN776" s="62">
        <v>3572320.01</v>
      </c>
      <c r="AO776" s="62">
        <v>0</v>
      </c>
      <c r="AP776" s="62">
        <v>0</v>
      </c>
      <c r="AQ776" s="62">
        <v>0</v>
      </c>
      <c r="AR776" s="62"/>
      <c r="AS776" s="62"/>
      <c r="AT776" s="62">
        <v>0</v>
      </c>
      <c r="AU776" s="62">
        <v>0</v>
      </c>
      <c r="AV776" s="62">
        <v>0</v>
      </c>
      <c r="AW776" s="62">
        <v>0</v>
      </c>
      <c r="AX776" s="62">
        <v>0</v>
      </c>
      <c r="AY776" s="62"/>
      <c r="AZ776" s="62"/>
      <c r="BA776" s="151"/>
      <c r="BB776" s="237">
        <f t="shared" si="191"/>
        <v>1</v>
      </c>
    </row>
    <row r="777" spans="1:54" ht="15.75" hidden="1">
      <c r="A777" s="234">
        <f t="shared" si="192"/>
        <v>752</v>
      </c>
      <c r="B777" s="101">
        <f t="shared" si="187"/>
        <v>266</v>
      </c>
      <c r="C777" s="101" t="s">
        <v>116</v>
      </c>
      <c r="D777" s="101" t="s">
        <v>682</v>
      </c>
      <c r="E777" s="102">
        <v>1989</v>
      </c>
      <c r="F777" s="102">
        <v>2015</v>
      </c>
      <c r="G777" s="102" t="s">
        <v>3</v>
      </c>
      <c r="H777" s="102">
        <v>9</v>
      </c>
      <c r="I777" s="102">
        <v>1</v>
      </c>
      <c r="J777" s="62">
        <v>2250.9</v>
      </c>
      <c r="K777" s="62">
        <v>2005.7</v>
      </c>
      <c r="L777" s="62">
        <v>0</v>
      </c>
      <c r="M777" s="103">
        <v>81</v>
      </c>
      <c r="N777" s="28">
        <f t="shared" si="190"/>
        <v>8396214.120000001</v>
      </c>
      <c r="O777" s="62"/>
      <c r="P777" s="62">
        <f t="shared" si="185"/>
        <v>0</v>
      </c>
      <c r="Q777" s="236"/>
      <c r="R777" s="236"/>
      <c r="S777" s="62"/>
      <c r="T777" s="236"/>
      <c r="U777" s="236"/>
      <c r="V777" s="28">
        <v>1895042.22</v>
      </c>
      <c r="W777" s="235"/>
      <c r="X777" s="235"/>
      <c r="Y777" s="28">
        <v>6501171.9000000004</v>
      </c>
      <c r="Z777" s="235"/>
      <c r="AA777" s="235"/>
      <c r="AB777" s="28"/>
      <c r="AC777" s="28"/>
      <c r="AD777" s="28"/>
      <c r="AE777" s="62">
        <v>4416.5000596659502</v>
      </c>
      <c r="AF777" s="62">
        <v>4416.5000596659502</v>
      </c>
      <c r="AG777" s="33">
        <v>2024</v>
      </c>
      <c r="AH777" s="1">
        <v>1581009.77</v>
      </c>
      <c r="AI777" s="5">
        <f t="shared" si="193"/>
        <v>345537.98460000003</v>
      </c>
      <c r="AJ777" s="5">
        <f t="shared" si="194"/>
        <v>12195458.280000001</v>
      </c>
      <c r="AK777" s="5">
        <f t="shared" si="195"/>
        <v>8396214.120000001</v>
      </c>
      <c r="AL777" s="28">
        <f>'Приложение №2'!E775</f>
        <v>0</v>
      </c>
      <c r="AM777" s="62">
        <v>5925260.2400000002</v>
      </c>
      <c r="AN777" s="62">
        <v>2470953.88</v>
      </c>
      <c r="AO777" s="62">
        <v>0</v>
      </c>
      <c r="AP777" s="62">
        <v>0</v>
      </c>
      <c r="AQ777" s="62">
        <v>0</v>
      </c>
      <c r="AR777" s="62"/>
      <c r="AS777" s="62"/>
      <c r="AT777" s="62">
        <v>0</v>
      </c>
      <c r="AU777" s="62">
        <v>0</v>
      </c>
      <c r="AV777" s="62">
        <v>0</v>
      </c>
      <c r="AW777" s="62">
        <v>0</v>
      </c>
      <c r="AX777" s="62">
        <v>0</v>
      </c>
      <c r="AY777" s="62"/>
      <c r="AZ777" s="62"/>
      <c r="BA777" s="151"/>
      <c r="BB777" s="237">
        <f t="shared" si="191"/>
        <v>2</v>
      </c>
    </row>
    <row r="778" spans="1:54" ht="15.75" hidden="1">
      <c r="A778" s="234">
        <f t="shared" si="192"/>
        <v>753</v>
      </c>
      <c r="B778" s="101">
        <f t="shared" si="187"/>
        <v>267</v>
      </c>
      <c r="C778" s="101" t="s">
        <v>116</v>
      </c>
      <c r="D778" s="101" t="s">
        <v>683</v>
      </c>
      <c r="E778" s="102">
        <v>1992</v>
      </c>
      <c r="F778" s="102">
        <v>2015</v>
      </c>
      <c r="G778" s="102" t="s">
        <v>3</v>
      </c>
      <c r="H778" s="102">
        <v>9</v>
      </c>
      <c r="I778" s="102">
        <v>1</v>
      </c>
      <c r="J778" s="62">
        <v>2197.1999999999998</v>
      </c>
      <c r="K778" s="62">
        <v>1934.5</v>
      </c>
      <c r="L778" s="62">
        <v>60.3</v>
      </c>
      <c r="M778" s="103">
        <v>70</v>
      </c>
      <c r="N778" s="28">
        <f t="shared" si="190"/>
        <v>3393377.71</v>
      </c>
      <c r="O778" s="62"/>
      <c r="P778" s="62">
        <f t="shared" ref="P778:P788" si="196">Q778+R778</f>
        <v>0</v>
      </c>
      <c r="Q778" s="236"/>
      <c r="R778" s="236"/>
      <c r="S778" s="62"/>
      <c r="T778" s="236"/>
      <c r="U778" s="236"/>
      <c r="V778" s="28">
        <v>1957839.71</v>
      </c>
      <c r="W778" s="235"/>
      <c r="X778" s="235"/>
      <c r="Y778" s="28">
        <v>1435538</v>
      </c>
      <c r="Z778" s="235"/>
      <c r="AA778" s="235"/>
      <c r="AB778" s="28"/>
      <c r="AC778" s="28"/>
      <c r="AD778" s="28"/>
      <c r="AE778" s="62">
        <v>1621.7491023003399</v>
      </c>
      <c r="AF778" s="62">
        <v>1407.2830200640001</v>
      </c>
      <c r="AG778" s="33">
        <v>2024</v>
      </c>
      <c r="AH778" s="98">
        <v>1638951.18</v>
      </c>
      <c r="AI778" s="5">
        <f t="shared" si="193"/>
        <v>350874.80819999997</v>
      </c>
      <c r="AJ778" s="5">
        <f t="shared" si="194"/>
        <v>12383816.76</v>
      </c>
      <c r="AK778" s="5">
        <f t="shared" si="195"/>
        <v>3393377.71</v>
      </c>
      <c r="AL778" s="28">
        <f>'Приложение №2'!E776</f>
        <v>0</v>
      </c>
      <c r="AM778" s="62"/>
      <c r="AN778" s="62">
        <v>3393377.71</v>
      </c>
      <c r="AO778" s="62">
        <v>0</v>
      </c>
      <c r="AP778" s="62">
        <v>0</v>
      </c>
      <c r="AQ778" s="62">
        <v>0</v>
      </c>
      <c r="AR778" s="62"/>
      <c r="AS778" s="62"/>
      <c r="AT778" s="62">
        <v>0</v>
      </c>
      <c r="AU778" s="62">
        <v>0</v>
      </c>
      <c r="AV778" s="62">
        <v>0</v>
      </c>
      <c r="AW778" s="62">
        <v>0</v>
      </c>
      <c r="AX778" s="62">
        <v>0</v>
      </c>
      <c r="AY778" s="62"/>
      <c r="AZ778" s="62"/>
      <c r="BA778" s="151"/>
      <c r="BB778" s="237">
        <f t="shared" si="191"/>
        <v>1</v>
      </c>
    </row>
    <row r="779" spans="1:54" ht="15.75" hidden="1">
      <c r="A779" s="234">
        <f t="shared" si="192"/>
        <v>754</v>
      </c>
      <c r="B779" s="101">
        <f t="shared" si="187"/>
        <v>268</v>
      </c>
      <c r="C779" s="101" t="s">
        <v>116</v>
      </c>
      <c r="D779" s="101" t="s">
        <v>684</v>
      </c>
      <c r="E779" s="102">
        <v>1988</v>
      </c>
      <c r="F779" s="102">
        <v>2014</v>
      </c>
      <c r="G779" s="102" t="s">
        <v>3</v>
      </c>
      <c r="H779" s="102">
        <v>9</v>
      </c>
      <c r="I779" s="102">
        <v>1</v>
      </c>
      <c r="J779" s="62">
        <v>2270.5</v>
      </c>
      <c r="K779" s="62">
        <v>2006.4</v>
      </c>
      <c r="L779" s="62">
        <v>66</v>
      </c>
      <c r="M779" s="103">
        <v>90</v>
      </c>
      <c r="N779" s="28">
        <f t="shared" si="190"/>
        <v>7286252.9500000002</v>
      </c>
      <c r="O779" s="62"/>
      <c r="P779" s="62">
        <f t="shared" si="196"/>
        <v>0</v>
      </c>
      <c r="Q779" s="236"/>
      <c r="R779" s="236"/>
      <c r="S779" s="62"/>
      <c r="T779" s="236"/>
      <c r="U779" s="236"/>
      <c r="V779" s="28">
        <v>1759978.45</v>
      </c>
      <c r="W779" s="235"/>
      <c r="X779" s="235"/>
      <c r="Y779" s="28">
        <v>5526274.5</v>
      </c>
      <c r="Z779" s="235"/>
      <c r="AA779" s="235"/>
      <c r="AB779" s="28"/>
      <c r="AC779" s="28"/>
      <c r="AD779" s="28"/>
      <c r="AE779" s="62">
        <v>3609.9971147182</v>
      </c>
      <c r="AF779" s="62">
        <v>3609.9971147182</v>
      </c>
      <c r="AG779" s="33">
        <v>2024</v>
      </c>
      <c r="AH779" s="1">
        <v>1428319.74</v>
      </c>
      <c r="AI779" s="5">
        <f t="shared" si="193"/>
        <v>364925.56320000003</v>
      </c>
      <c r="AJ779" s="5">
        <f t="shared" si="194"/>
        <v>12879725.760000002</v>
      </c>
      <c r="AK779" s="5">
        <f t="shared" si="195"/>
        <v>7286252.9500000002</v>
      </c>
      <c r="AL779" s="28">
        <f>'Приложение №2'!E777</f>
        <v>0</v>
      </c>
      <c r="AM779" s="62">
        <v>5920320.6299999999</v>
      </c>
      <c r="AN779" s="62"/>
      <c r="AO779" s="62">
        <v>1365932.32</v>
      </c>
      <c r="AP779" s="62">
        <v>0</v>
      </c>
      <c r="AQ779" s="62">
        <v>0</v>
      </c>
      <c r="AR779" s="62"/>
      <c r="AS779" s="62"/>
      <c r="AT779" s="62">
        <v>0</v>
      </c>
      <c r="AU779" s="62">
        <v>0</v>
      </c>
      <c r="AV779" s="62">
        <v>0</v>
      </c>
      <c r="AW779" s="62">
        <v>0</v>
      </c>
      <c r="AX779" s="62">
        <v>0</v>
      </c>
      <c r="AY779" s="62"/>
      <c r="AZ779" s="62"/>
      <c r="BA779" s="151"/>
      <c r="BB779" s="237">
        <f t="shared" si="191"/>
        <v>2</v>
      </c>
    </row>
    <row r="780" spans="1:54" ht="15.75" hidden="1">
      <c r="A780" s="234">
        <f t="shared" si="192"/>
        <v>755</v>
      </c>
      <c r="B780" s="101">
        <f t="shared" si="187"/>
        <v>269</v>
      </c>
      <c r="C780" s="101" t="s">
        <v>116</v>
      </c>
      <c r="D780" s="101" t="s">
        <v>685</v>
      </c>
      <c r="E780" s="102">
        <v>1993</v>
      </c>
      <c r="F780" s="102">
        <v>2016</v>
      </c>
      <c r="G780" s="102" t="s">
        <v>3</v>
      </c>
      <c r="H780" s="102">
        <v>9</v>
      </c>
      <c r="I780" s="102">
        <v>1</v>
      </c>
      <c r="J780" s="62">
        <v>2834.5</v>
      </c>
      <c r="K780" s="62">
        <v>1783.4</v>
      </c>
      <c r="L780" s="62">
        <v>0</v>
      </c>
      <c r="M780" s="103">
        <v>147</v>
      </c>
      <c r="N780" s="28">
        <f t="shared" si="190"/>
        <v>2158435.54</v>
      </c>
      <c r="O780" s="62"/>
      <c r="P780" s="62">
        <f t="shared" si="196"/>
        <v>0</v>
      </c>
      <c r="Q780" s="236"/>
      <c r="R780" s="236"/>
      <c r="S780" s="62"/>
      <c r="T780" s="236"/>
      <c r="U780" s="236"/>
      <c r="V780" s="28">
        <v>1143784.76</v>
      </c>
      <c r="W780" s="235"/>
      <c r="X780" s="235"/>
      <c r="Y780" s="28">
        <v>1014650.78</v>
      </c>
      <c r="Z780" s="235"/>
      <c r="AA780" s="235"/>
      <c r="AB780" s="28"/>
      <c r="AC780" s="28"/>
      <c r="AD780" s="28"/>
      <c r="AE780" s="62">
        <v>1791.72583258944</v>
      </c>
      <c r="AF780" s="62">
        <v>1791.72583258944</v>
      </c>
      <c r="AG780" s="33">
        <v>2024</v>
      </c>
      <c r="AH780" s="1">
        <v>864557.82</v>
      </c>
      <c r="AI780" s="5">
        <f t="shared" si="193"/>
        <v>307240.58520000003</v>
      </c>
      <c r="AJ780" s="5">
        <f t="shared" si="194"/>
        <v>10843785.360000001</v>
      </c>
      <c r="AK780" s="5">
        <f t="shared" si="195"/>
        <v>2158435.54</v>
      </c>
      <c r="AL780" s="28">
        <f>'Приложение №2'!E778</f>
        <v>0</v>
      </c>
      <c r="AM780" s="62">
        <v>0</v>
      </c>
      <c r="AN780" s="62">
        <v>0</v>
      </c>
      <c r="AO780" s="62">
        <v>0</v>
      </c>
      <c r="AP780" s="62">
        <v>0</v>
      </c>
      <c r="AQ780" s="62">
        <v>0</v>
      </c>
      <c r="AR780" s="62"/>
      <c r="AS780" s="62"/>
      <c r="AT780" s="62">
        <v>0</v>
      </c>
      <c r="AU780" s="62">
        <v>2158435.54</v>
      </c>
      <c r="AV780" s="62">
        <v>0</v>
      </c>
      <c r="AW780" s="62">
        <v>0</v>
      </c>
      <c r="AX780" s="62">
        <v>0</v>
      </c>
      <c r="AY780" s="62"/>
      <c r="AZ780" s="62"/>
      <c r="BA780" s="151"/>
      <c r="BB780" s="237">
        <f t="shared" si="191"/>
        <v>1</v>
      </c>
    </row>
    <row r="781" spans="1:54" ht="15.75" hidden="1">
      <c r="A781" s="234">
        <f t="shared" si="192"/>
        <v>756</v>
      </c>
      <c r="B781" s="101">
        <f t="shared" si="187"/>
        <v>270</v>
      </c>
      <c r="C781" s="101" t="s">
        <v>135</v>
      </c>
      <c r="D781" s="101" t="s">
        <v>686</v>
      </c>
      <c r="E781" s="102">
        <v>1985</v>
      </c>
      <c r="F781" s="102">
        <v>1985</v>
      </c>
      <c r="G781" s="102" t="s">
        <v>3</v>
      </c>
      <c r="H781" s="102">
        <v>5</v>
      </c>
      <c r="I781" s="102">
        <v>1</v>
      </c>
      <c r="J781" s="62">
        <v>3037</v>
      </c>
      <c r="K781" s="62">
        <v>2290.6999999999998</v>
      </c>
      <c r="L781" s="62">
        <v>275.7</v>
      </c>
      <c r="M781" s="103">
        <v>125</v>
      </c>
      <c r="N781" s="28">
        <f t="shared" si="190"/>
        <v>8303475.8300000001</v>
      </c>
      <c r="O781" s="62"/>
      <c r="P781" s="62">
        <f t="shared" si="196"/>
        <v>0</v>
      </c>
      <c r="Q781" s="235"/>
      <c r="R781" s="235"/>
      <c r="S781" s="62"/>
      <c r="T781" s="236"/>
      <c r="U781" s="236"/>
      <c r="V781" s="28">
        <v>334827.8</v>
      </c>
      <c r="W781" s="235"/>
      <c r="X781" s="235"/>
      <c r="Y781" s="28">
        <v>7968648.0300000003</v>
      </c>
      <c r="Z781" s="235"/>
      <c r="AA781" s="235"/>
      <c r="AB781" s="28"/>
      <c r="AC781" s="28"/>
      <c r="AD781" s="28"/>
      <c r="AE781" s="62">
        <v>3173.5348498275598</v>
      </c>
      <c r="AF781" s="62">
        <v>1412.2830200640001</v>
      </c>
      <c r="AG781" s="33">
        <v>2024</v>
      </c>
      <c r="AI781" s="5">
        <f>+(K781*12.71+L781*25.41)*12*0.85</f>
        <v>368427.40679999994</v>
      </c>
      <c r="AJ781" s="5">
        <f>+(K781*12.71+L781*25.41)*12*30-[3]Лист1!$AQ$115</f>
        <v>8044393.5799999982</v>
      </c>
      <c r="AL781" s="28">
        <f>'Приложение №2'!E779</f>
        <v>0</v>
      </c>
      <c r="AM781" s="62">
        <v>8303475.8300000001</v>
      </c>
      <c r="AN781" s="62"/>
      <c r="AO781" s="62">
        <v>0</v>
      </c>
      <c r="AP781" s="62">
        <v>0</v>
      </c>
      <c r="AQ781" s="62">
        <v>0</v>
      </c>
      <c r="AR781" s="62"/>
      <c r="AS781" s="62"/>
      <c r="AT781" s="62">
        <v>0</v>
      </c>
      <c r="AU781" s="62"/>
      <c r="AV781" s="62">
        <v>0</v>
      </c>
      <c r="AW781" s="62">
        <v>0</v>
      </c>
      <c r="AX781" s="62">
        <v>0</v>
      </c>
      <c r="AY781" s="62"/>
      <c r="AZ781" s="62"/>
      <c r="BA781" s="151"/>
      <c r="BB781" s="237">
        <f t="shared" si="191"/>
        <v>1</v>
      </c>
    </row>
    <row r="782" spans="1:54" ht="15.75" hidden="1">
      <c r="A782" s="234">
        <f t="shared" si="192"/>
        <v>757</v>
      </c>
      <c r="B782" s="101">
        <f t="shared" si="187"/>
        <v>271</v>
      </c>
      <c r="C782" s="101" t="s">
        <v>114</v>
      </c>
      <c r="D782" s="101" t="s">
        <v>687</v>
      </c>
      <c r="E782" s="102">
        <v>1995</v>
      </c>
      <c r="F782" s="102">
        <v>1995</v>
      </c>
      <c r="G782" s="102" t="s">
        <v>3</v>
      </c>
      <c r="H782" s="102">
        <v>10</v>
      </c>
      <c r="I782" s="102">
        <v>1</v>
      </c>
      <c r="J782" s="62">
        <v>3279.6</v>
      </c>
      <c r="K782" s="62">
        <v>2806.4</v>
      </c>
      <c r="L782" s="62">
        <v>0</v>
      </c>
      <c r="M782" s="103">
        <v>105</v>
      </c>
      <c r="N782" s="28">
        <f t="shared" si="190"/>
        <v>19281360.68</v>
      </c>
      <c r="O782" s="62"/>
      <c r="P782" s="62">
        <f t="shared" si="196"/>
        <v>0</v>
      </c>
      <c r="Q782" s="235"/>
      <c r="R782" s="235"/>
      <c r="S782" s="62"/>
      <c r="T782" s="236"/>
      <c r="U782" s="236"/>
      <c r="V782" s="28">
        <v>439398.05</v>
      </c>
      <c r="W782" s="235"/>
      <c r="X782" s="235"/>
      <c r="Y782" s="28">
        <v>8814748.4299999997</v>
      </c>
      <c r="Z782" s="235"/>
      <c r="AA782" s="235"/>
      <c r="AB782" s="28">
        <v>10027214.199999999</v>
      </c>
      <c r="AC782" s="28"/>
      <c r="AD782" s="28"/>
      <c r="AE782" s="62">
        <v>7020.7400896080999</v>
      </c>
      <c r="AF782" s="62">
        <v>7020.7400896080999</v>
      </c>
      <c r="AG782" s="33">
        <v>2024</v>
      </c>
      <c r="AI782" s="5">
        <f>+(K782*16.89+L782*28.62)*12*0.85</f>
        <v>483480.9792</v>
      </c>
      <c r="AJ782" s="5">
        <f>+(K782*16.89+L782*28.62)*12*30-[3]Лист1!$AQ$159</f>
        <v>8814748.4299999997</v>
      </c>
      <c r="AK782" s="5">
        <f t="shared" ref="AK782:AK814" si="197">+N782-AL782</f>
        <v>19281360.68</v>
      </c>
      <c r="AL782" s="28">
        <f>'Приложение №2'!E780</f>
        <v>0</v>
      </c>
      <c r="AM782" s="62">
        <v>0</v>
      </c>
      <c r="AN782" s="62">
        <v>0</v>
      </c>
      <c r="AO782" s="62">
        <v>0</v>
      </c>
      <c r="AP782" s="62">
        <v>0</v>
      </c>
      <c r="AQ782" s="62">
        <v>0</v>
      </c>
      <c r="AR782" s="62"/>
      <c r="AS782" s="62"/>
      <c r="AT782" s="62">
        <v>0</v>
      </c>
      <c r="AU782" s="62">
        <v>0</v>
      </c>
      <c r="AV782" s="62">
        <v>0</v>
      </c>
      <c r="AW782" s="62">
        <v>19281360.68</v>
      </c>
      <c r="AX782" s="62">
        <v>0</v>
      </c>
      <c r="AY782" s="62"/>
      <c r="AZ782" s="62"/>
      <c r="BA782" s="151"/>
      <c r="BB782" s="237">
        <f t="shared" si="191"/>
        <v>1</v>
      </c>
    </row>
    <row r="783" spans="1:54" ht="15.75" hidden="1">
      <c r="A783" s="234">
        <f t="shared" si="192"/>
        <v>758</v>
      </c>
      <c r="B783" s="101" t="s">
        <v>96</v>
      </c>
      <c r="C783" s="101" t="s">
        <v>185</v>
      </c>
      <c r="D783" s="101" t="s">
        <v>434</v>
      </c>
      <c r="E783" s="102">
        <v>1981</v>
      </c>
      <c r="F783" s="102">
        <v>2013</v>
      </c>
      <c r="G783" s="102" t="s">
        <v>3</v>
      </c>
      <c r="H783" s="102">
        <v>5</v>
      </c>
      <c r="I783" s="102">
        <v>4</v>
      </c>
      <c r="J783" s="62">
        <v>4887.3</v>
      </c>
      <c r="K783" s="62">
        <v>4312.8999999999996</v>
      </c>
      <c r="L783" s="62">
        <v>0</v>
      </c>
      <c r="M783" s="103">
        <v>195</v>
      </c>
      <c r="N783" s="28">
        <f t="shared" si="190"/>
        <v>14156807.720000001</v>
      </c>
      <c r="O783" s="62"/>
      <c r="P783" s="62">
        <f t="shared" si="196"/>
        <v>0</v>
      </c>
      <c r="Q783" s="235"/>
      <c r="R783" s="235"/>
      <c r="S783" s="62"/>
      <c r="T783" s="236"/>
      <c r="U783" s="236"/>
      <c r="V783" s="28"/>
      <c r="W783" s="235"/>
      <c r="X783" s="235"/>
      <c r="Y783" s="28">
        <v>14156807.720000001</v>
      </c>
      <c r="Z783" s="235"/>
      <c r="AA783" s="235"/>
      <c r="AB783" s="28"/>
      <c r="AC783" s="28"/>
      <c r="AD783" s="28"/>
      <c r="AE783" s="62">
        <v>16925.260160487898</v>
      </c>
      <c r="AF783" s="62">
        <v>1306.2830200640001</v>
      </c>
      <c r="AG783" s="33">
        <v>2024</v>
      </c>
      <c r="AH783" s="18"/>
      <c r="AI783" s="5">
        <f>+(K783*12.98+L783*25.97)*12*0.85</f>
        <v>571010.7084</v>
      </c>
      <c r="AJ783" s="5">
        <f>+(K783*12.98+L783*25.97)*12*30-[3]Лист1!$AQ$313</f>
        <v>14847554.670000002</v>
      </c>
      <c r="AK783" s="5">
        <f t="shared" si="197"/>
        <v>14156807.720000001</v>
      </c>
      <c r="AL783" s="28">
        <f>'Приложение №2'!E781</f>
        <v>0</v>
      </c>
      <c r="AM783" s="62"/>
      <c r="AN783" s="62"/>
      <c r="AO783" s="62"/>
      <c r="AP783" s="62"/>
      <c r="AQ783" s="62"/>
      <c r="AR783" s="62"/>
      <c r="AS783" s="62"/>
      <c r="AT783" s="62"/>
      <c r="AU783" s="62"/>
      <c r="AV783" s="62">
        <v>0</v>
      </c>
      <c r="AW783" s="62">
        <v>14156807.720000001</v>
      </c>
      <c r="AX783" s="62"/>
      <c r="AY783" s="62"/>
      <c r="AZ783" s="62"/>
      <c r="BA783" s="151"/>
      <c r="BB783" s="237">
        <f t="shared" si="191"/>
        <v>1</v>
      </c>
    </row>
    <row r="784" spans="1:54" ht="15.75" hidden="1">
      <c r="A784" s="234">
        <f t="shared" si="192"/>
        <v>759</v>
      </c>
      <c r="B784" s="101">
        <f>B782+1</f>
        <v>272</v>
      </c>
      <c r="C784" s="101" t="s">
        <v>116</v>
      </c>
      <c r="D784" s="101" t="s">
        <v>688</v>
      </c>
      <c r="E784" s="102">
        <v>1988</v>
      </c>
      <c r="F784" s="102"/>
      <c r="G784" s="102" t="s">
        <v>3</v>
      </c>
      <c r="H784" s="102">
        <v>9</v>
      </c>
      <c r="I784" s="102">
        <v>1</v>
      </c>
      <c r="J784" s="62">
        <v>2265.4</v>
      </c>
      <c r="K784" s="62">
        <v>2006.2</v>
      </c>
      <c r="L784" s="62">
        <v>53.4</v>
      </c>
      <c r="M784" s="103">
        <v>74</v>
      </c>
      <c r="N784" s="28">
        <f t="shared" si="190"/>
        <v>6308293.3099999996</v>
      </c>
      <c r="O784" s="62"/>
      <c r="P784" s="62">
        <f t="shared" si="196"/>
        <v>0</v>
      </c>
      <c r="Q784" s="236"/>
      <c r="R784" s="236"/>
      <c r="S784" s="62"/>
      <c r="T784" s="236"/>
      <c r="U784" s="236"/>
      <c r="V784" s="28">
        <v>328283.31</v>
      </c>
      <c r="W784" s="235"/>
      <c r="X784" s="235"/>
      <c r="Y784" s="28">
        <v>5980010</v>
      </c>
      <c r="Z784" s="235"/>
      <c r="AA784" s="235"/>
      <c r="AB784" s="62">
        <v>0</v>
      </c>
      <c r="AC784" s="62"/>
      <c r="AD784" s="62"/>
      <c r="AE784" s="62">
        <v>3202.75457526837</v>
      </c>
      <c r="AF784" s="62">
        <v>3202.75457526837</v>
      </c>
      <c r="AG784" s="33">
        <v>2024</v>
      </c>
      <c r="AH784" s="166">
        <v>0</v>
      </c>
      <c r="AI784" s="5">
        <f>+(K784*16.89+L784*28.62)*12*0.85</f>
        <v>361212.86519999994</v>
      </c>
      <c r="AJ784" s="5">
        <f>+(K784*16.89+L784*28.62)*12*30-[3]Лист1!$AQ$94</f>
        <v>11226601.619999999</v>
      </c>
      <c r="AK784" s="5">
        <f t="shared" si="197"/>
        <v>6308293.3099999996</v>
      </c>
      <c r="AL784" s="28">
        <f>'Приложение №2'!E782</f>
        <v>0</v>
      </c>
      <c r="AM784" s="62"/>
      <c r="AN784" s="62"/>
      <c r="AO784" s="62"/>
      <c r="AP784" s="62"/>
      <c r="AQ784" s="62"/>
      <c r="AR784" s="62"/>
      <c r="AS784" s="62"/>
      <c r="AT784" s="62"/>
      <c r="AU784" s="62"/>
      <c r="AV784" s="62"/>
      <c r="AW784" s="62"/>
      <c r="AX784" s="62">
        <v>6308293.3099999996</v>
      </c>
      <c r="AY784" s="62"/>
      <c r="AZ784" s="62"/>
      <c r="BA784" s="151"/>
      <c r="BB784" s="237">
        <f t="shared" si="191"/>
        <v>1</v>
      </c>
    </row>
    <row r="785" spans="1:61" ht="15.75" hidden="1">
      <c r="A785" s="234">
        <f t="shared" si="192"/>
        <v>760</v>
      </c>
      <c r="B785" s="101" t="s">
        <v>96</v>
      </c>
      <c r="C785" s="101" t="s">
        <v>135</v>
      </c>
      <c r="D785" s="101" t="s">
        <v>562</v>
      </c>
      <c r="E785" s="102">
        <v>1987</v>
      </c>
      <c r="F785" s="102">
        <v>1987</v>
      </c>
      <c r="G785" s="102" t="s">
        <v>3</v>
      </c>
      <c r="H785" s="102">
        <v>5</v>
      </c>
      <c r="I785" s="102">
        <v>1</v>
      </c>
      <c r="J785" s="62">
        <v>2928.7</v>
      </c>
      <c r="K785" s="62">
        <v>2372.1</v>
      </c>
      <c r="L785" s="62">
        <v>221.2</v>
      </c>
      <c r="M785" s="103">
        <v>125</v>
      </c>
      <c r="N785" s="28">
        <f t="shared" si="190"/>
        <v>6282061.3200000003</v>
      </c>
      <c r="O785" s="62"/>
      <c r="P785" s="62">
        <f t="shared" si="196"/>
        <v>0</v>
      </c>
      <c r="Q785" s="235"/>
      <c r="R785" s="235"/>
      <c r="S785" s="62"/>
      <c r="T785" s="236"/>
      <c r="U785" s="236"/>
      <c r="V785" s="28">
        <v>287079</v>
      </c>
      <c r="W785" s="235"/>
      <c r="X785" s="235"/>
      <c r="Y785" s="28">
        <v>5994982.3200000003</v>
      </c>
      <c r="Z785" s="235"/>
      <c r="AA785" s="235"/>
      <c r="AB785" s="28"/>
      <c r="AC785" s="28"/>
      <c r="AD785" s="28"/>
      <c r="AE785" s="62">
        <v>4072.6278059615202</v>
      </c>
      <c r="AF785" s="62">
        <v>4072.6278059615202</v>
      </c>
      <c r="AG785" s="33">
        <v>2024</v>
      </c>
      <c r="AH785" s="18">
        <v>1486432.85</v>
      </c>
      <c r="AI785" s="5">
        <f>+(K785*12.71+L785*25.41)*12*0.85</f>
        <v>364854.84659999999</v>
      </c>
      <c r="AJ785" s="5">
        <f>+(K785*12.71+L785*25.41)*12*30</f>
        <v>12877229.879999999</v>
      </c>
      <c r="AK785" s="5">
        <f t="shared" si="197"/>
        <v>6282061.3200000003</v>
      </c>
      <c r="AL785" s="28">
        <f>'Приложение №2'!E783</f>
        <v>0</v>
      </c>
      <c r="AM785" s="62"/>
      <c r="AN785" s="62"/>
      <c r="AO785" s="62"/>
      <c r="AP785" s="62"/>
      <c r="AQ785" s="62"/>
      <c r="AR785" s="62"/>
      <c r="AS785" s="62"/>
      <c r="AT785" s="62">
        <v>0</v>
      </c>
      <c r="AU785" s="62">
        <v>6282061.3200000003</v>
      </c>
      <c r="AV785" s="62">
        <v>0</v>
      </c>
      <c r="AW785" s="62">
        <v>0</v>
      </c>
      <c r="AX785" s="62">
        <v>0</v>
      </c>
      <c r="AY785" s="62"/>
      <c r="AZ785" s="62"/>
      <c r="BA785" s="151"/>
      <c r="BB785" s="237">
        <f t="shared" si="191"/>
        <v>1</v>
      </c>
    </row>
    <row r="786" spans="1:61" ht="15.75" hidden="1">
      <c r="A786" s="234">
        <f t="shared" si="192"/>
        <v>761</v>
      </c>
      <c r="B786" s="101">
        <f>B784+1</f>
        <v>273</v>
      </c>
      <c r="C786" s="101" t="s">
        <v>171</v>
      </c>
      <c r="D786" s="101" t="s">
        <v>690</v>
      </c>
      <c r="E786" s="102">
        <v>1991</v>
      </c>
      <c r="F786" s="102">
        <v>2015</v>
      </c>
      <c r="G786" s="102" t="s">
        <v>3</v>
      </c>
      <c r="H786" s="102">
        <v>5</v>
      </c>
      <c r="I786" s="102">
        <v>5</v>
      </c>
      <c r="J786" s="62">
        <v>11474.2</v>
      </c>
      <c r="K786" s="62">
        <v>7084.2</v>
      </c>
      <c r="L786" s="62">
        <v>82.6</v>
      </c>
      <c r="M786" s="103">
        <v>178</v>
      </c>
      <c r="N786" s="28">
        <f t="shared" si="190"/>
        <v>14771841.550000001</v>
      </c>
      <c r="O786" s="62"/>
      <c r="P786" s="62">
        <f t="shared" si="196"/>
        <v>0</v>
      </c>
      <c r="Q786" s="236"/>
      <c r="R786" s="236"/>
      <c r="S786" s="62"/>
      <c r="T786" s="236"/>
      <c r="U786" s="236"/>
      <c r="V786" s="28">
        <v>854051.81</v>
      </c>
      <c r="W786" s="235"/>
      <c r="X786" s="235"/>
      <c r="Y786" s="28">
        <v>13917789.74</v>
      </c>
      <c r="Z786" s="235"/>
      <c r="AA786" s="235"/>
      <c r="AB786" s="28"/>
      <c r="AC786" s="28"/>
      <c r="AD786" s="28"/>
      <c r="AE786" s="62">
        <v>2077.9982291408901</v>
      </c>
      <c r="AF786" s="62">
        <v>1176.2830200640001</v>
      </c>
      <c r="AG786" s="33">
        <v>2024</v>
      </c>
      <c r="AH786" s="1">
        <v>0</v>
      </c>
      <c r="AI786" s="5">
        <f>+(K786*12.71+L786*25.41)*12*0.85</f>
        <v>939818.2895999999</v>
      </c>
      <c r="AJ786" s="5">
        <f>+(K786*12.71+L786*25.41)*12*30-[3]Лист1!$AQ$203</f>
        <v>27364764.889999997</v>
      </c>
      <c r="AK786" s="5">
        <f t="shared" si="197"/>
        <v>14771841.550000001</v>
      </c>
      <c r="AL786" s="28">
        <f>'Приложение №2'!E784</f>
        <v>0</v>
      </c>
      <c r="AM786" s="62">
        <v>0</v>
      </c>
      <c r="AN786" s="62">
        <v>0</v>
      </c>
      <c r="AO786" s="62">
        <v>0</v>
      </c>
      <c r="AP786" s="62">
        <v>0</v>
      </c>
      <c r="AQ786" s="62">
        <v>0</v>
      </c>
      <c r="AR786" s="62"/>
      <c r="AS786" s="62"/>
      <c r="AT786" s="62">
        <v>0</v>
      </c>
      <c r="AU786" s="62">
        <v>0</v>
      </c>
      <c r="AV786" s="62">
        <v>14405926.619999999</v>
      </c>
      <c r="AW786" s="62">
        <v>0</v>
      </c>
      <c r="AX786" s="62">
        <v>0</v>
      </c>
      <c r="AY786" s="62"/>
      <c r="AZ786" s="62"/>
      <c r="BA786" s="151"/>
      <c r="BB786" s="237">
        <f t="shared" si="191"/>
        <v>1</v>
      </c>
      <c r="BH786" s="5"/>
      <c r="BI786" s="5"/>
    </row>
    <row r="787" spans="1:61" ht="15.75" hidden="1">
      <c r="A787" s="234">
        <f t="shared" si="192"/>
        <v>762</v>
      </c>
      <c r="B787" s="101">
        <f>B786+1</f>
        <v>274</v>
      </c>
      <c r="C787" s="101" t="s">
        <v>114</v>
      </c>
      <c r="D787" s="101" t="s">
        <v>691</v>
      </c>
      <c r="E787" s="102">
        <v>1992</v>
      </c>
      <c r="F787" s="102">
        <v>2012</v>
      </c>
      <c r="G787" s="102" t="s">
        <v>3</v>
      </c>
      <c r="H787" s="102">
        <v>9</v>
      </c>
      <c r="I787" s="102">
        <v>1</v>
      </c>
      <c r="J787" s="62">
        <v>2875.6</v>
      </c>
      <c r="K787" s="62">
        <v>2204.5</v>
      </c>
      <c r="L787" s="62">
        <v>292.8</v>
      </c>
      <c r="M787" s="103">
        <v>65</v>
      </c>
      <c r="N787" s="28">
        <f t="shared" si="190"/>
        <v>7668023.6800000006</v>
      </c>
      <c r="O787" s="62"/>
      <c r="P787" s="62">
        <f t="shared" si="196"/>
        <v>0</v>
      </c>
      <c r="Q787" s="236"/>
      <c r="R787" s="236"/>
      <c r="S787" s="62"/>
      <c r="T787" s="236"/>
      <c r="U787" s="236"/>
      <c r="V787" s="28">
        <v>422868.86</v>
      </c>
      <c r="W787" s="235"/>
      <c r="X787" s="235"/>
      <c r="Y787" s="28">
        <v>7245154.8200000003</v>
      </c>
      <c r="Z787" s="235"/>
      <c r="AA787" s="235"/>
      <c r="AB787" s="28"/>
      <c r="AC787" s="28"/>
      <c r="AD787" s="28"/>
      <c r="AE787" s="62">
        <v>3446.0223592958901</v>
      </c>
      <c r="AF787" s="62">
        <v>1198.2830200640001</v>
      </c>
      <c r="AG787" s="33">
        <v>2024</v>
      </c>
      <c r="AH787" s="98"/>
      <c r="AI787" s="5">
        <f>+(K787*16.89+L787*28.62)*12*0.85</f>
        <v>465262.1982000001</v>
      </c>
      <c r="AJ787" s="5">
        <f>+(K787*16.89+L787*28.62)*12*30-[3]Лист1!$AQ$143</f>
        <v>15988351.000000004</v>
      </c>
      <c r="AK787" s="5">
        <f t="shared" si="197"/>
        <v>7668023.6800000006</v>
      </c>
      <c r="AL787" s="28">
        <f>'Приложение №2'!E785</f>
        <v>0</v>
      </c>
      <c r="AM787" s="62">
        <v>7116553.6799999997</v>
      </c>
      <c r="AN787" s="62">
        <v>0</v>
      </c>
      <c r="AO787" s="62">
        <v>0</v>
      </c>
      <c r="AP787" s="62">
        <v>0</v>
      </c>
      <c r="AQ787" s="62">
        <v>0</v>
      </c>
      <c r="AR787" s="62"/>
      <c r="AS787" s="62"/>
      <c r="AT787" s="62">
        <v>0</v>
      </c>
      <c r="AU787" s="62">
        <v>0</v>
      </c>
      <c r="AV787" s="62">
        <v>0</v>
      </c>
      <c r="AW787" s="62">
        <v>0</v>
      </c>
      <c r="AX787" s="62">
        <v>0</v>
      </c>
      <c r="AY787" s="62"/>
      <c r="AZ787" s="62"/>
      <c r="BA787" s="151"/>
      <c r="BB787" s="237">
        <f t="shared" si="191"/>
        <v>1</v>
      </c>
      <c r="BH787" s="5"/>
      <c r="BI787" s="5"/>
    </row>
    <row r="788" spans="1:61" ht="15.75" hidden="1">
      <c r="A788" s="234">
        <f t="shared" si="192"/>
        <v>763</v>
      </c>
      <c r="B788" s="101" t="s">
        <v>96</v>
      </c>
      <c r="C788" s="101" t="s">
        <v>114</v>
      </c>
      <c r="D788" s="101" t="s">
        <v>271</v>
      </c>
      <c r="E788" s="102">
        <v>1987</v>
      </c>
      <c r="F788" s="102">
        <v>2016</v>
      </c>
      <c r="G788" s="102" t="s">
        <v>3</v>
      </c>
      <c r="H788" s="102">
        <v>5</v>
      </c>
      <c r="I788" s="102">
        <v>4</v>
      </c>
      <c r="J788" s="62">
        <v>5812.1</v>
      </c>
      <c r="K788" s="62">
        <v>4766.5</v>
      </c>
      <c r="L788" s="62">
        <v>87</v>
      </c>
      <c r="M788" s="103">
        <v>201</v>
      </c>
      <c r="N788" s="28">
        <f t="shared" si="190"/>
        <v>10004903.51</v>
      </c>
      <c r="O788" s="62"/>
      <c r="P788" s="62">
        <f t="shared" si="196"/>
        <v>0</v>
      </c>
      <c r="Q788" s="235"/>
      <c r="R788" s="235"/>
      <c r="S788" s="62"/>
      <c r="T788" s="236"/>
      <c r="U788" s="236"/>
      <c r="V788" s="28">
        <v>1007322.43</v>
      </c>
      <c r="W788" s="235"/>
      <c r="X788" s="235"/>
      <c r="Y788" s="28">
        <v>8997581.0800000001</v>
      </c>
      <c r="Z788" s="235"/>
      <c r="AA788" s="235"/>
      <c r="AB788" s="28"/>
      <c r="AC788" s="28"/>
      <c r="AD788" s="28"/>
      <c r="AE788" s="62">
        <v>7227.3821701074903</v>
      </c>
      <c r="AF788" s="62">
        <v>1201.2830200640001</v>
      </c>
      <c r="AG788" s="33">
        <v>2024</v>
      </c>
      <c r="AH788" s="98">
        <f>+[3]Лист1!$BC$145</f>
        <v>2820894.2</v>
      </c>
      <c r="AI788" s="5">
        <f>+(K788*12.71+L788*25.41)*12*0.85</f>
        <v>640487.42700000003</v>
      </c>
      <c r="AJ788" s="5">
        <f>+(K788*12.71+L788*25.41)*12*30</f>
        <v>22605438.600000001</v>
      </c>
      <c r="AK788" s="5">
        <f t="shared" si="197"/>
        <v>10004903.51</v>
      </c>
      <c r="AL788" s="28">
        <f>'Приложение №2'!E786</f>
        <v>0</v>
      </c>
      <c r="AM788" s="62">
        <v>0</v>
      </c>
      <c r="AN788" s="62">
        <v>0</v>
      </c>
      <c r="AO788" s="62">
        <v>0</v>
      </c>
      <c r="AP788" s="62">
        <v>0</v>
      </c>
      <c r="AQ788" s="62">
        <v>0</v>
      </c>
      <c r="AR788" s="62"/>
      <c r="AS788" s="62"/>
      <c r="AT788" s="62">
        <v>0</v>
      </c>
      <c r="AU788" s="62">
        <v>0</v>
      </c>
      <c r="AV788" s="62">
        <v>9755981.0299999993</v>
      </c>
      <c r="AW788" s="62"/>
      <c r="AX788" s="62">
        <v>0</v>
      </c>
      <c r="AY788" s="62"/>
      <c r="AZ788" s="62"/>
      <c r="BA788" s="151"/>
      <c r="BB788" s="237">
        <f t="shared" si="191"/>
        <v>1</v>
      </c>
      <c r="BH788" s="5"/>
      <c r="BI788" s="5"/>
    </row>
    <row r="789" spans="1:61" ht="15.75" hidden="1">
      <c r="A789" s="234">
        <f t="shared" si="192"/>
        <v>764</v>
      </c>
      <c r="B789" s="101" t="s">
        <v>96</v>
      </c>
      <c r="C789" s="101" t="s">
        <v>114</v>
      </c>
      <c r="D789" s="101" t="s">
        <v>273</v>
      </c>
      <c r="E789" s="102">
        <v>1989</v>
      </c>
      <c r="F789" s="102">
        <v>2017</v>
      </c>
      <c r="G789" s="102" t="s">
        <v>3</v>
      </c>
      <c r="H789" s="102">
        <v>10</v>
      </c>
      <c r="I789" s="102">
        <v>1</v>
      </c>
      <c r="J789" s="62">
        <v>3562.9</v>
      </c>
      <c r="K789" s="62">
        <v>3068</v>
      </c>
      <c r="L789" s="62">
        <v>0</v>
      </c>
      <c r="M789" s="103">
        <v>120</v>
      </c>
      <c r="N789" s="28">
        <f t="shared" si="190"/>
        <v>3841230.63</v>
      </c>
      <c r="O789" s="62"/>
      <c r="P789" s="62"/>
      <c r="Q789" s="236"/>
      <c r="R789" s="236"/>
      <c r="S789" s="62"/>
      <c r="T789" s="236"/>
      <c r="U789" s="236"/>
      <c r="V789" s="28">
        <v>756458.56</v>
      </c>
      <c r="W789" s="235"/>
      <c r="X789" s="235"/>
      <c r="Y789" s="28">
        <v>3084772.07</v>
      </c>
      <c r="Z789" s="235"/>
      <c r="AA789" s="235"/>
      <c r="AB789" s="62">
        <v>0</v>
      </c>
      <c r="AC789" s="62"/>
      <c r="AD789" s="62"/>
      <c r="AE789" s="62">
        <v>4712.0233504993703</v>
      </c>
      <c r="AF789" s="62">
        <v>1208.2830200640001</v>
      </c>
      <c r="AG789" s="33">
        <v>2024</v>
      </c>
      <c r="AH789" s="98">
        <f>+[3]Лист1!$BC$149</f>
        <v>468663.01</v>
      </c>
      <c r="AI789" s="5">
        <f>+(K789*16.89+L789*28.62)*12*0.85</f>
        <v>528548.90399999998</v>
      </c>
      <c r="AJ789" s="5">
        <f>+(K789*16.89+L789*28.62)*12*30</f>
        <v>18654667.199999999</v>
      </c>
      <c r="AK789" s="5">
        <f t="shared" si="197"/>
        <v>3841230.63</v>
      </c>
      <c r="AL789" s="28">
        <f>'Приложение №2'!E787</f>
        <v>0</v>
      </c>
      <c r="AM789" s="62"/>
      <c r="AN789" s="62">
        <v>3497984.64</v>
      </c>
      <c r="AO789" s="62">
        <v>0</v>
      </c>
      <c r="AP789" s="62">
        <v>0</v>
      </c>
      <c r="AQ789" s="62">
        <v>0</v>
      </c>
      <c r="AR789" s="62"/>
      <c r="AS789" s="62">
        <v>0</v>
      </c>
      <c r="AT789" s="62"/>
      <c r="AU789" s="62"/>
      <c r="AV789" s="62"/>
      <c r="AW789" s="62">
        <v>0</v>
      </c>
      <c r="AX789" s="62">
        <v>0</v>
      </c>
      <c r="AY789" s="62"/>
      <c r="AZ789" s="62"/>
      <c r="BA789" s="151"/>
      <c r="BB789" s="237">
        <f t="shared" si="191"/>
        <v>1</v>
      </c>
      <c r="BH789" s="5"/>
      <c r="BI789" s="5"/>
    </row>
    <row r="790" spans="1:61" ht="15.75" hidden="1">
      <c r="A790" s="234">
        <f t="shared" si="192"/>
        <v>765</v>
      </c>
      <c r="B790" s="101" t="s">
        <v>96</v>
      </c>
      <c r="C790" s="101" t="s">
        <v>114</v>
      </c>
      <c r="D790" s="101" t="s">
        <v>284</v>
      </c>
      <c r="E790" s="102">
        <v>1989</v>
      </c>
      <c r="F790" s="102">
        <v>2016</v>
      </c>
      <c r="G790" s="102" t="s">
        <v>3</v>
      </c>
      <c r="H790" s="102">
        <v>5</v>
      </c>
      <c r="I790" s="102">
        <v>4</v>
      </c>
      <c r="J790" s="62">
        <v>5827.1</v>
      </c>
      <c r="K790" s="62">
        <v>4877.5</v>
      </c>
      <c r="L790" s="62">
        <v>0</v>
      </c>
      <c r="M790" s="103">
        <v>218</v>
      </c>
      <c r="N790" s="28">
        <f t="shared" si="190"/>
        <v>7989891.3899999997</v>
      </c>
      <c r="O790" s="62"/>
      <c r="P790" s="62">
        <f>Q790+R790</f>
        <v>0</v>
      </c>
      <c r="Q790" s="236"/>
      <c r="R790" s="236"/>
      <c r="S790" s="62"/>
      <c r="T790" s="236"/>
      <c r="U790" s="236"/>
      <c r="V790" s="28"/>
      <c r="W790" s="243"/>
      <c r="X790" s="243"/>
      <c r="Y790" s="1">
        <v>7989891.3899999997</v>
      </c>
      <c r="Z790" s="244"/>
      <c r="AA790" s="244"/>
      <c r="AB790" s="28"/>
      <c r="AC790" s="28"/>
      <c r="AD790" s="28"/>
      <c r="AE790" s="62">
        <v>2662.1721458726902</v>
      </c>
      <c r="AF790" s="62">
        <v>1209.2830200640001</v>
      </c>
      <c r="AG790" s="33">
        <v>2024</v>
      </c>
      <c r="AH790" s="98">
        <v>0</v>
      </c>
      <c r="AI790" s="5">
        <f t="shared" ref="AI790:AI796" si="198">+(K790*12.71+L790*25.41)*12*0.85</f>
        <v>632328.85499999998</v>
      </c>
      <c r="AJ790" s="5">
        <f>+(K790*12.71+L790*25.41)*12*30-[3]Лист1!$AQ$156</f>
        <v>19717714.039999999</v>
      </c>
      <c r="AK790" s="5">
        <f t="shared" si="197"/>
        <v>7989891.3899999997</v>
      </c>
      <c r="AL790" s="28">
        <f>'Приложение №2'!E788</f>
        <v>0</v>
      </c>
      <c r="AM790" s="62"/>
      <c r="AN790" s="62">
        <v>7852851.4199999999</v>
      </c>
      <c r="AO790" s="62">
        <v>0</v>
      </c>
      <c r="AP790" s="62"/>
      <c r="AQ790" s="62">
        <v>0</v>
      </c>
      <c r="AR790" s="62"/>
      <c r="AS790" s="62"/>
      <c r="AT790" s="62">
        <v>0</v>
      </c>
      <c r="AU790" s="62">
        <v>0</v>
      </c>
      <c r="AV790" s="62">
        <v>0</v>
      </c>
      <c r="AW790" s="62">
        <v>0</v>
      </c>
      <c r="AX790" s="62">
        <v>0</v>
      </c>
      <c r="AY790" s="62"/>
      <c r="AZ790" s="62"/>
      <c r="BA790" s="151"/>
      <c r="BB790" s="237">
        <f t="shared" si="191"/>
        <v>1</v>
      </c>
      <c r="BH790" s="5"/>
      <c r="BI790" s="5"/>
    </row>
    <row r="791" spans="1:61" ht="15.75" hidden="1">
      <c r="A791" s="234">
        <f t="shared" si="192"/>
        <v>766</v>
      </c>
      <c r="B791" s="101" t="s">
        <v>96</v>
      </c>
      <c r="C791" s="101" t="s">
        <v>114</v>
      </c>
      <c r="D791" s="101" t="s">
        <v>293</v>
      </c>
      <c r="E791" s="102">
        <v>1986</v>
      </c>
      <c r="F791" s="102">
        <v>2016</v>
      </c>
      <c r="G791" s="102" t="s">
        <v>3</v>
      </c>
      <c r="H791" s="102">
        <v>5</v>
      </c>
      <c r="I791" s="102">
        <v>4</v>
      </c>
      <c r="J791" s="62">
        <v>3396.9</v>
      </c>
      <c r="K791" s="62">
        <v>3059.2</v>
      </c>
      <c r="L791" s="62">
        <v>0</v>
      </c>
      <c r="M791" s="103">
        <v>122</v>
      </c>
      <c r="N791" s="28">
        <f t="shared" si="190"/>
        <v>4980531.9800000004</v>
      </c>
      <c r="O791" s="62"/>
      <c r="P791" s="62">
        <f>Q791+R791</f>
        <v>0</v>
      </c>
      <c r="Q791" s="236"/>
      <c r="R791" s="236"/>
      <c r="S791" s="62"/>
      <c r="T791" s="236"/>
      <c r="U791" s="236"/>
      <c r="V791" s="28"/>
      <c r="W791" s="235"/>
      <c r="X791" s="235"/>
      <c r="Y791" s="28">
        <v>4980531.9800000004</v>
      </c>
      <c r="Z791" s="235"/>
      <c r="AA791" s="235"/>
      <c r="AB791" s="28"/>
      <c r="AC791" s="28"/>
      <c r="AD791" s="28"/>
      <c r="AE791" s="62">
        <v>5861.0564893168903</v>
      </c>
      <c r="AF791" s="62">
        <v>1220.2830200640001</v>
      </c>
      <c r="AG791" s="33">
        <v>2024</v>
      </c>
      <c r="AH791" s="98"/>
      <c r="AI791" s="5">
        <f t="shared" si="198"/>
        <v>396600.8064</v>
      </c>
      <c r="AJ791" s="5">
        <f>+(K791*12.71+L791*25.41)*12*30-[3]Лист1!$AQ$162</f>
        <v>13425029.389999999</v>
      </c>
      <c r="AK791" s="5">
        <f t="shared" si="197"/>
        <v>4980531.9800000004</v>
      </c>
      <c r="AL791" s="28">
        <f>'Приложение №2'!E789</f>
        <v>0</v>
      </c>
      <c r="AM791" s="62"/>
      <c r="AN791" s="62">
        <v>4925359.93</v>
      </c>
      <c r="AO791" s="62"/>
      <c r="AP791" s="62">
        <v>0</v>
      </c>
      <c r="AQ791" s="62">
        <v>0</v>
      </c>
      <c r="AR791" s="62"/>
      <c r="AS791" s="62"/>
      <c r="AT791" s="62">
        <v>0</v>
      </c>
      <c r="AU791" s="62">
        <v>0</v>
      </c>
      <c r="AV791" s="62">
        <v>0</v>
      </c>
      <c r="AW791" s="62">
        <v>0</v>
      </c>
      <c r="AX791" s="62">
        <v>0</v>
      </c>
      <c r="AY791" s="62"/>
      <c r="AZ791" s="62"/>
      <c r="BA791" s="151"/>
      <c r="BB791" s="237">
        <f t="shared" si="191"/>
        <v>1</v>
      </c>
      <c r="BH791" s="5"/>
      <c r="BI791" s="5"/>
    </row>
    <row r="792" spans="1:61" ht="15.75" hidden="1">
      <c r="A792" s="234">
        <f t="shared" si="192"/>
        <v>767</v>
      </c>
      <c r="B792" s="101">
        <f>B787+1</f>
        <v>275</v>
      </c>
      <c r="C792" s="101" t="s">
        <v>114</v>
      </c>
      <c r="D792" s="101" t="s">
        <v>693</v>
      </c>
      <c r="E792" s="102">
        <v>1985</v>
      </c>
      <c r="F792" s="102">
        <v>2009</v>
      </c>
      <c r="G792" s="102" t="s">
        <v>3</v>
      </c>
      <c r="H792" s="102">
        <v>5</v>
      </c>
      <c r="I792" s="102">
        <v>4</v>
      </c>
      <c r="J792" s="62">
        <v>5739.1</v>
      </c>
      <c r="K792" s="62">
        <v>4751.1000000000004</v>
      </c>
      <c r="L792" s="62">
        <v>96</v>
      </c>
      <c r="M792" s="103">
        <v>191</v>
      </c>
      <c r="N792" s="28">
        <f t="shared" si="190"/>
        <v>6056403.5299999993</v>
      </c>
      <c r="O792" s="62"/>
      <c r="P792" s="62">
        <f>Q792+R792</f>
        <v>0</v>
      </c>
      <c r="Q792" s="236"/>
      <c r="R792" s="236"/>
      <c r="S792" s="62"/>
      <c r="T792" s="236"/>
      <c r="U792" s="236"/>
      <c r="V792" s="28">
        <v>1152640.76</v>
      </c>
      <c r="W792" s="235"/>
      <c r="X792" s="235"/>
      <c r="Y792" s="28">
        <v>4903762.7699999996</v>
      </c>
      <c r="Z792" s="235"/>
      <c r="AA792" s="235"/>
      <c r="AB792" s="28"/>
      <c r="AC792" s="28"/>
      <c r="AD792" s="28"/>
      <c r="AE792" s="62">
        <v>1025.04487891189</v>
      </c>
      <c r="AF792" s="62">
        <v>1216.2830200640001</v>
      </c>
      <c r="AG792" s="33">
        <v>2024</v>
      </c>
      <c r="AH792" s="34">
        <v>570294.15</v>
      </c>
      <c r="AI792" s="5">
        <f t="shared" si="198"/>
        <v>640823.57819999999</v>
      </c>
      <c r="AJ792" s="5">
        <f>+(K792*12.71+L792*25.41)*12*30</f>
        <v>22617302.760000002</v>
      </c>
      <c r="AK792" s="5">
        <f t="shared" si="197"/>
        <v>6056403.5299999993</v>
      </c>
      <c r="AL792" s="28">
        <f>'Приложение №2'!E790</f>
        <v>0</v>
      </c>
      <c r="AM792" s="62">
        <v>0</v>
      </c>
      <c r="AN792" s="62">
        <v>0</v>
      </c>
      <c r="AO792" s="62">
        <v>4765870.78</v>
      </c>
      <c r="AP792" s="62">
        <v>0</v>
      </c>
      <c r="AQ792" s="62">
        <v>0</v>
      </c>
      <c r="AR792" s="62"/>
      <c r="AS792" s="62"/>
      <c r="AT792" s="62">
        <v>0</v>
      </c>
      <c r="AU792" s="62">
        <v>0</v>
      </c>
      <c r="AV792" s="62">
        <v>0</v>
      </c>
      <c r="AW792" s="62">
        <v>0</v>
      </c>
      <c r="AX792" s="62">
        <v>0</v>
      </c>
      <c r="AY792" s="62"/>
      <c r="AZ792" s="62"/>
      <c r="BA792" s="151"/>
      <c r="BB792" s="237">
        <f t="shared" si="191"/>
        <v>1</v>
      </c>
      <c r="BH792" s="5"/>
      <c r="BI792" s="5"/>
    </row>
    <row r="793" spans="1:61" ht="15.75" hidden="1">
      <c r="A793" s="234">
        <f t="shared" si="192"/>
        <v>768</v>
      </c>
      <c r="B793" s="101">
        <f>+B792+1</f>
        <v>276</v>
      </c>
      <c r="C793" s="101" t="s">
        <v>114</v>
      </c>
      <c r="D793" s="101" t="s">
        <v>694</v>
      </c>
      <c r="E793" s="102">
        <v>1986</v>
      </c>
      <c r="F793" s="102">
        <v>2016</v>
      </c>
      <c r="G793" s="102" t="s">
        <v>3</v>
      </c>
      <c r="H793" s="102">
        <v>5</v>
      </c>
      <c r="I793" s="102">
        <v>3</v>
      </c>
      <c r="J793" s="62">
        <v>4418.7</v>
      </c>
      <c r="K793" s="62">
        <v>3551.6</v>
      </c>
      <c r="L793" s="62">
        <v>167.4</v>
      </c>
      <c r="M793" s="103">
        <v>164</v>
      </c>
      <c r="N793" s="28">
        <f t="shared" si="190"/>
        <v>7679337.79</v>
      </c>
      <c r="O793" s="62"/>
      <c r="P793" s="62"/>
      <c r="Q793" s="236"/>
      <c r="R793" s="236"/>
      <c r="S793" s="62"/>
      <c r="T793" s="236"/>
      <c r="U793" s="236"/>
      <c r="V793" s="28">
        <v>2025639.12</v>
      </c>
      <c r="W793" s="235"/>
      <c r="X793" s="235"/>
      <c r="Y793" s="28">
        <v>5653698.6699999999</v>
      </c>
      <c r="Z793" s="235"/>
      <c r="AA793" s="235"/>
      <c r="AB793" s="28"/>
      <c r="AC793" s="28"/>
      <c r="AD793" s="28"/>
      <c r="AE793" s="62">
        <v>2150.8634162223798</v>
      </c>
      <c r="AF793" s="62">
        <v>1217.2830200640001</v>
      </c>
      <c r="AG793" s="33">
        <v>2024</v>
      </c>
      <c r="AH793" s="1">
        <v>1567782.34</v>
      </c>
      <c r="AI793" s="5">
        <f t="shared" si="198"/>
        <v>503823.59399999998</v>
      </c>
      <c r="AJ793" s="5">
        <f>+(K793*12.71+L793*25.41)*12*30</f>
        <v>17782009.199999999</v>
      </c>
      <c r="AK793" s="5">
        <f t="shared" si="197"/>
        <v>7679337.79</v>
      </c>
      <c r="AL793" s="28">
        <f>'Приложение №2'!E791</f>
        <v>0</v>
      </c>
      <c r="AM793" s="62">
        <v>0</v>
      </c>
      <c r="AN793" s="62">
        <v>0</v>
      </c>
      <c r="AO793" s="62">
        <v>0</v>
      </c>
      <c r="AP793" s="62">
        <v>0</v>
      </c>
      <c r="AQ793" s="62">
        <v>0</v>
      </c>
      <c r="AR793" s="62"/>
      <c r="AS793" s="62"/>
      <c r="AT793" s="62">
        <v>0</v>
      </c>
      <c r="AU793" s="62">
        <v>0</v>
      </c>
      <c r="AV793" s="62">
        <v>7475531.7699999996</v>
      </c>
      <c r="AW793" s="62">
        <v>0</v>
      </c>
      <c r="AX793" s="62">
        <v>0</v>
      </c>
      <c r="AY793" s="62"/>
      <c r="AZ793" s="62"/>
      <c r="BA793" s="151"/>
      <c r="BB793" s="237">
        <f t="shared" si="191"/>
        <v>1</v>
      </c>
      <c r="BH793" s="5"/>
      <c r="BI793" s="5"/>
    </row>
    <row r="794" spans="1:61" ht="15.75" hidden="1">
      <c r="A794" s="234">
        <f t="shared" si="192"/>
        <v>769</v>
      </c>
      <c r="B794" s="101">
        <f>+B793+1</f>
        <v>277</v>
      </c>
      <c r="C794" s="101" t="s">
        <v>114</v>
      </c>
      <c r="D794" s="101" t="s">
        <v>695</v>
      </c>
      <c r="E794" s="102">
        <v>1985</v>
      </c>
      <c r="F794" s="102">
        <v>2015</v>
      </c>
      <c r="G794" s="102" t="s">
        <v>3</v>
      </c>
      <c r="H794" s="102">
        <v>5</v>
      </c>
      <c r="I794" s="102">
        <v>3</v>
      </c>
      <c r="J794" s="62">
        <v>6741.3</v>
      </c>
      <c r="K794" s="62">
        <v>3901.9</v>
      </c>
      <c r="L794" s="62">
        <v>698.1</v>
      </c>
      <c r="M794" s="103">
        <v>305</v>
      </c>
      <c r="N794" s="28">
        <f t="shared" si="190"/>
        <v>9536453.3300000001</v>
      </c>
      <c r="O794" s="62"/>
      <c r="P794" s="62">
        <f t="shared" ref="P794:P814" si="199">Q794+R794</f>
        <v>0</v>
      </c>
      <c r="Q794" s="236"/>
      <c r="R794" s="236"/>
      <c r="S794" s="62"/>
      <c r="T794" s="236"/>
      <c r="U794" s="236"/>
      <c r="V794" s="28">
        <v>1973886.88</v>
      </c>
      <c r="W794" s="235"/>
      <c r="X794" s="235"/>
      <c r="Y794" s="28">
        <v>7562566.4500000002</v>
      </c>
      <c r="Z794" s="235"/>
      <c r="AA794" s="235"/>
      <c r="AB794" s="28"/>
      <c r="AC794" s="28"/>
      <c r="AD794" s="28"/>
      <c r="AE794" s="62">
        <v>2421.5441887647398</v>
      </c>
      <c r="AF794" s="62">
        <v>1218.2830200640001</v>
      </c>
      <c r="AG794" s="33">
        <v>2024</v>
      </c>
      <c r="AH794" s="1">
        <v>1349717.72</v>
      </c>
      <c r="AI794" s="5">
        <f t="shared" si="198"/>
        <v>686785.07400000014</v>
      </c>
      <c r="AJ794" s="5">
        <f>+(K794*12.71+L794*25.41)*12*30</f>
        <v>24239473.200000007</v>
      </c>
      <c r="AK794" s="5">
        <f t="shared" si="197"/>
        <v>9536453.3300000001</v>
      </c>
      <c r="AL794" s="28">
        <f>'Приложение №2'!E792</f>
        <v>0</v>
      </c>
      <c r="AM794" s="62">
        <v>0</v>
      </c>
      <c r="AN794" s="62">
        <v>0</v>
      </c>
      <c r="AO794" s="62">
        <v>0</v>
      </c>
      <c r="AP794" s="62">
        <v>0</v>
      </c>
      <c r="AQ794" s="62">
        <v>0</v>
      </c>
      <c r="AR794" s="62"/>
      <c r="AS794" s="62"/>
      <c r="AT794" s="62">
        <v>0</v>
      </c>
      <c r="AU794" s="62">
        <v>0</v>
      </c>
      <c r="AV794" s="62">
        <v>9246422.7300000004</v>
      </c>
      <c r="AW794" s="62">
        <v>0</v>
      </c>
      <c r="AX794" s="62">
        <v>0</v>
      </c>
      <c r="AY794" s="62"/>
      <c r="AZ794" s="62"/>
      <c r="BA794" s="151"/>
      <c r="BB794" s="237">
        <f t="shared" si="191"/>
        <v>1</v>
      </c>
      <c r="BH794" s="5"/>
      <c r="BI794" s="5"/>
    </row>
    <row r="795" spans="1:61" ht="15.75" hidden="1">
      <c r="A795" s="234">
        <f t="shared" si="192"/>
        <v>770</v>
      </c>
      <c r="B795" s="101">
        <f>+B794+1</f>
        <v>278</v>
      </c>
      <c r="C795" s="101" t="s">
        <v>114</v>
      </c>
      <c r="D795" s="101" t="s">
        <v>696</v>
      </c>
      <c r="E795" s="102">
        <v>1987</v>
      </c>
      <c r="F795" s="102">
        <v>2016</v>
      </c>
      <c r="G795" s="102" t="s">
        <v>3</v>
      </c>
      <c r="H795" s="102">
        <v>5</v>
      </c>
      <c r="I795" s="102">
        <v>4</v>
      </c>
      <c r="J795" s="62">
        <v>5859.43</v>
      </c>
      <c r="K795" s="62">
        <v>4644.3999999999996</v>
      </c>
      <c r="L795" s="62">
        <v>278.60000000000002</v>
      </c>
      <c r="M795" s="103">
        <v>182</v>
      </c>
      <c r="N795" s="28">
        <f t="shared" si="190"/>
        <v>10141967.48</v>
      </c>
      <c r="O795" s="62"/>
      <c r="P795" s="62">
        <f t="shared" si="199"/>
        <v>0</v>
      </c>
      <c r="Q795" s="236"/>
      <c r="R795" s="236"/>
      <c r="S795" s="62"/>
      <c r="T795" s="236"/>
      <c r="U795" s="236"/>
      <c r="V795" s="28">
        <v>3578962.28</v>
      </c>
      <c r="W795" s="235"/>
      <c r="X795" s="235"/>
      <c r="Y795" s="28">
        <v>6563005.2000000002</v>
      </c>
      <c r="Z795" s="235"/>
      <c r="AA795" s="235"/>
      <c r="AB795" s="28"/>
      <c r="AC795" s="28"/>
      <c r="AD795" s="28"/>
      <c r="AE795" s="62">
        <v>2177.2631443432902</v>
      </c>
      <c r="AF795" s="62">
        <v>1234.2830200640001</v>
      </c>
      <c r="AG795" s="33">
        <v>2024</v>
      </c>
      <c r="AH795" s="98">
        <v>2966161.78</v>
      </c>
      <c r="AI795" s="5">
        <f t="shared" si="198"/>
        <v>674317.41</v>
      </c>
      <c r="AJ795" s="5">
        <f>+(K795*12.71+L795*25.41)*12*30</f>
        <v>23799438.000000004</v>
      </c>
      <c r="AK795" s="5">
        <f t="shared" si="197"/>
        <v>10141967.48</v>
      </c>
      <c r="AL795" s="28">
        <f>'Приложение №2'!E793</f>
        <v>0</v>
      </c>
      <c r="AM795" s="62">
        <v>0</v>
      </c>
      <c r="AN795" s="62">
        <v>0</v>
      </c>
      <c r="AO795" s="62">
        <v>0</v>
      </c>
      <c r="AP795" s="62">
        <v>0</v>
      </c>
      <c r="AQ795" s="62">
        <v>0</v>
      </c>
      <c r="AR795" s="62"/>
      <c r="AS795" s="62"/>
      <c r="AT795" s="62">
        <v>0</v>
      </c>
      <c r="AU795" s="62">
        <v>0</v>
      </c>
      <c r="AV795" s="62">
        <v>9895682.4199999999</v>
      </c>
      <c r="AW795" s="62">
        <v>0</v>
      </c>
      <c r="AX795" s="62">
        <v>0</v>
      </c>
      <c r="AY795" s="62"/>
      <c r="AZ795" s="62"/>
      <c r="BA795" s="151"/>
      <c r="BB795" s="237">
        <f t="shared" si="191"/>
        <v>1</v>
      </c>
      <c r="BH795" s="5"/>
      <c r="BI795" s="5"/>
    </row>
    <row r="796" spans="1:61" ht="15.75" hidden="1">
      <c r="A796" s="234">
        <f t="shared" si="192"/>
        <v>771</v>
      </c>
      <c r="B796" s="101" t="s">
        <v>96</v>
      </c>
      <c r="C796" s="101" t="s">
        <v>114</v>
      </c>
      <c r="D796" s="101" t="s">
        <v>321</v>
      </c>
      <c r="E796" s="102">
        <v>1987</v>
      </c>
      <c r="F796" s="102">
        <v>2016</v>
      </c>
      <c r="G796" s="102" t="s">
        <v>3</v>
      </c>
      <c r="H796" s="102">
        <v>5</v>
      </c>
      <c r="I796" s="102">
        <v>5</v>
      </c>
      <c r="J796" s="62">
        <v>7155.6</v>
      </c>
      <c r="K796" s="62">
        <v>5789.5</v>
      </c>
      <c r="L796" s="62">
        <v>194.7</v>
      </c>
      <c r="M796" s="103">
        <v>243</v>
      </c>
      <c r="N796" s="28">
        <f t="shared" si="190"/>
        <v>12313367.020000001</v>
      </c>
      <c r="O796" s="62"/>
      <c r="P796" s="62">
        <f t="shared" si="199"/>
        <v>0</v>
      </c>
      <c r="Q796" s="235"/>
      <c r="R796" s="235"/>
      <c r="S796" s="62"/>
      <c r="T796" s="236"/>
      <c r="U796" s="236"/>
      <c r="V796" s="28">
        <v>500292.38</v>
      </c>
      <c r="W796" s="235"/>
      <c r="X796" s="235"/>
      <c r="Y796" s="28">
        <v>11813074.640000001</v>
      </c>
      <c r="Z796" s="235"/>
      <c r="AA796" s="235"/>
      <c r="AB796" s="28"/>
      <c r="AC796" s="28"/>
      <c r="AD796" s="28"/>
      <c r="AE796" s="62">
        <v>3248.37212020894</v>
      </c>
      <c r="AF796" s="62">
        <v>1235.2830200640001</v>
      </c>
      <c r="AG796" s="33">
        <v>2024</v>
      </c>
      <c r="AH796" s="98"/>
      <c r="AI796" s="5">
        <f t="shared" si="198"/>
        <v>801025.09440000006</v>
      </c>
      <c r="AJ796" s="5">
        <f>+(K796*12.71+L796*25.41)*12*30-[3]Лист1!$AQ$182</f>
        <v>21776105.350000001</v>
      </c>
      <c r="AK796" s="5">
        <f t="shared" si="197"/>
        <v>12313367.020000001</v>
      </c>
      <c r="AL796" s="28">
        <f>'Приложение №2'!E794</f>
        <v>0</v>
      </c>
      <c r="AM796" s="62"/>
      <c r="AN796" s="62">
        <v>0</v>
      </c>
      <c r="AO796" s="62">
        <v>0</v>
      </c>
      <c r="AP796" s="62"/>
      <c r="AQ796" s="62">
        <v>0</v>
      </c>
      <c r="AR796" s="62"/>
      <c r="AS796" s="62"/>
      <c r="AT796" s="62">
        <v>0</v>
      </c>
      <c r="AU796" s="62"/>
      <c r="AV796" s="62">
        <v>12028791.939999999</v>
      </c>
      <c r="AW796" s="62">
        <v>0</v>
      </c>
      <c r="AX796" s="62">
        <v>0</v>
      </c>
      <c r="AY796" s="62"/>
      <c r="AZ796" s="62"/>
      <c r="BA796" s="151"/>
      <c r="BB796" s="237">
        <f t="shared" si="191"/>
        <v>1</v>
      </c>
      <c r="BH796" s="5"/>
      <c r="BI796" s="5"/>
    </row>
    <row r="797" spans="1:61" ht="15.75" hidden="1">
      <c r="A797" s="234">
        <f t="shared" si="192"/>
        <v>772</v>
      </c>
      <c r="B797" s="101" t="s">
        <v>96</v>
      </c>
      <c r="C797" s="101" t="s">
        <v>114</v>
      </c>
      <c r="D797" s="101" t="s">
        <v>344</v>
      </c>
      <c r="E797" s="102">
        <v>1989</v>
      </c>
      <c r="F797" s="102">
        <v>2009</v>
      </c>
      <c r="G797" s="102" t="s">
        <v>3</v>
      </c>
      <c r="H797" s="102">
        <v>9</v>
      </c>
      <c r="I797" s="102">
        <v>1</v>
      </c>
      <c r="J797" s="62">
        <v>3239.5</v>
      </c>
      <c r="K797" s="62">
        <v>2720.9</v>
      </c>
      <c r="L797" s="62">
        <v>63.8</v>
      </c>
      <c r="M797" s="103">
        <v>112</v>
      </c>
      <c r="N797" s="28">
        <f t="shared" si="190"/>
        <v>2657490.38</v>
      </c>
      <c r="O797" s="62"/>
      <c r="P797" s="62">
        <f t="shared" si="199"/>
        <v>0</v>
      </c>
      <c r="Q797" s="236"/>
      <c r="R797" s="236"/>
      <c r="S797" s="62"/>
      <c r="T797" s="236"/>
      <c r="U797" s="236"/>
      <c r="V797" s="28">
        <v>868113.48</v>
      </c>
      <c r="W797" s="243"/>
      <c r="X797" s="243"/>
      <c r="Y797" s="28">
        <v>1789376.9</v>
      </c>
      <c r="Z797" s="244"/>
      <c r="AA797" s="244"/>
      <c r="AB797" s="28"/>
      <c r="AC797" s="28"/>
      <c r="AD797" s="28"/>
      <c r="AE797" s="62">
        <v>4666.6216355266897</v>
      </c>
      <c r="AF797" s="62">
        <v>1246.2830200640001</v>
      </c>
      <c r="AG797" s="33">
        <v>2024</v>
      </c>
      <c r="AH797" s="98">
        <f>+[3]Лист1!$BC$196</f>
        <v>2073222.36</v>
      </c>
      <c r="AI797" s="5">
        <f>+(K797*16.89+L797*28.62)*12*0.85</f>
        <v>487375.96140000003</v>
      </c>
      <c r="AJ797" s="5">
        <f>+(K797*16.89+L797*28.62)*12*30</f>
        <v>17201504.520000003</v>
      </c>
      <c r="AK797" s="5">
        <f t="shared" si="197"/>
        <v>2657490.38</v>
      </c>
      <c r="AL797" s="28">
        <f>'Приложение №2'!E795</f>
        <v>0</v>
      </c>
      <c r="AM797" s="62"/>
      <c r="AN797" s="62">
        <v>0</v>
      </c>
      <c r="AO797" s="62"/>
      <c r="AP797" s="62">
        <v>2586281.94</v>
      </c>
      <c r="AQ797" s="62">
        <v>0</v>
      </c>
      <c r="AR797" s="62"/>
      <c r="AS797" s="62"/>
      <c r="AT797" s="62">
        <v>0</v>
      </c>
      <c r="AU797" s="62">
        <v>0</v>
      </c>
      <c r="AV797" s="62">
        <v>0</v>
      </c>
      <c r="AW797" s="62">
        <v>0</v>
      </c>
      <c r="AX797" s="62">
        <v>0</v>
      </c>
      <c r="AY797" s="62"/>
      <c r="AZ797" s="62"/>
      <c r="BA797" s="151"/>
      <c r="BB797" s="237">
        <f t="shared" si="191"/>
        <v>1</v>
      </c>
      <c r="BH797" s="5"/>
      <c r="BI797" s="5"/>
    </row>
    <row r="798" spans="1:61" s="142" customFormat="1" ht="15.75" hidden="1">
      <c r="A798" s="234">
        <f t="shared" si="192"/>
        <v>773</v>
      </c>
      <c r="B798" s="101" t="s">
        <v>96</v>
      </c>
      <c r="C798" s="101" t="s">
        <v>185</v>
      </c>
      <c r="D798" s="101" t="s">
        <v>380</v>
      </c>
      <c r="E798" s="102" t="s">
        <v>381</v>
      </c>
      <c r="F798" s="102"/>
      <c r="G798" s="102" t="s">
        <v>3</v>
      </c>
      <c r="H798" s="102" t="s">
        <v>183</v>
      </c>
      <c r="I798" s="102" t="s">
        <v>27</v>
      </c>
      <c r="J798" s="62">
        <v>1276.4000000000001</v>
      </c>
      <c r="K798" s="62">
        <v>1181.5</v>
      </c>
      <c r="L798" s="62">
        <v>48.4</v>
      </c>
      <c r="M798" s="103">
        <v>69</v>
      </c>
      <c r="N798" s="28">
        <f t="shared" si="190"/>
        <v>7144121.9199999999</v>
      </c>
      <c r="O798" s="62">
        <v>0</v>
      </c>
      <c r="P798" s="62">
        <f t="shared" si="199"/>
        <v>0</v>
      </c>
      <c r="Q798" s="236"/>
      <c r="R798" s="236"/>
      <c r="S798" s="62"/>
      <c r="T798" s="236"/>
      <c r="U798" s="236"/>
      <c r="V798" s="28"/>
      <c r="W798" s="235"/>
      <c r="X798" s="235"/>
      <c r="Y798" s="28">
        <v>1189308.1399999999</v>
      </c>
      <c r="Z798" s="235"/>
      <c r="AA798" s="235"/>
      <c r="AB798" s="28">
        <v>5954813.7800000003</v>
      </c>
      <c r="AC798" s="28"/>
      <c r="AD798" s="28"/>
      <c r="AE798" s="62">
        <v>16969.400865557</v>
      </c>
      <c r="AF798" s="62">
        <v>1267.2830200640001</v>
      </c>
      <c r="AG798" s="33">
        <v>2024</v>
      </c>
      <c r="AH798" s="98"/>
      <c r="AI798" s="5">
        <f>+(K798*12.98+L798*25.97)*12*0.85</f>
        <v>169246.74359999999</v>
      </c>
      <c r="AJ798" s="5">
        <f>+(K798*12.98+L798*25.97)*12*30-[3]Лист1!$AQ$277</f>
        <v>1189308.1399999997</v>
      </c>
      <c r="AK798" s="5">
        <f t="shared" si="197"/>
        <v>7144121.9199999999</v>
      </c>
      <c r="AL798" s="28">
        <f>'Приложение №2'!E796</f>
        <v>0</v>
      </c>
      <c r="AM798" s="62"/>
      <c r="AN798" s="62">
        <v>2451339</v>
      </c>
      <c r="AO798" s="62"/>
      <c r="AP798" s="62"/>
      <c r="AQ798" s="62">
        <v>498007.81</v>
      </c>
      <c r="AR798" s="62"/>
      <c r="AS798" s="62"/>
      <c r="AT798" s="62">
        <v>0</v>
      </c>
      <c r="AU798" s="62"/>
      <c r="AV798" s="62">
        <v>0</v>
      </c>
      <c r="AW798" s="62"/>
      <c r="AX798" s="62">
        <v>3978334.09</v>
      </c>
      <c r="AY798" s="62"/>
      <c r="AZ798" s="62"/>
      <c r="BA798" s="151"/>
      <c r="BB798" s="237">
        <f t="shared" si="191"/>
        <v>3</v>
      </c>
      <c r="BH798" s="5"/>
      <c r="BI798" s="5"/>
    </row>
    <row r="799" spans="1:61" ht="15.75" hidden="1">
      <c r="A799" s="234">
        <f t="shared" si="192"/>
        <v>774</v>
      </c>
      <c r="B799" s="101" t="s">
        <v>96</v>
      </c>
      <c r="C799" s="101" t="s">
        <v>185</v>
      </c>
      <c r="D799" s="101" t="s">
        <v>386</v>
      </c>
      <c r="E799" s="102">
        <v>1970</v>
      </c>
      <c r="F799" s="102">
        <v>2017</v>
      </c>
      <c r="G799" s="102" t="s">
        <v>3</v>
      </c>
      <c r="H799" s="102">
        <v>5</v>
      </c>
      <c r="I799" s="102">
        <v>2</v>
      </c>
      <c r="J799" s="62">
        <v>1774.6</v>
      </c>
      <c r="K799" s="62">
        <v>1596.4</v>
      </c>
      <c r="L799" s="62">
        <v>0</v>
      </c>
      <c r="M799" s="103">
        <v>68</v>
      </c>
      <c r="N799" s="28">
        <f t="shared" si="190"/>
        <v>1901003.38</v>
      </c>
      <c r="O799" s="62"/>
      <c r="P799" s="62">
        <f t="shared" si="199"/>
        <v>0</v>
      </c>
      <c r="Q799" s="236"/>
      <c r="R799" s="236"/>
      <c r="S799" s="62"/>
      <c r="T799" s="236"/>
      <c r="U799" s="236"/>
      <c r="V799" s="28"/>
      <c r="W799" s="243"/>
      <c r="X799" s="243"/>
      <c r="Y799" s="28">
        <v>1901003.38</v>
      </c>
      <c r="Z799" s="244"/>
      <c r="AA799" s="244"/>
      <c r="AB799" s="28"/>
      <c r="AC799" s="28"/>
      <c r="AD799" s="28"/>
      <c r="AE799" s="62">
        <v>3719.1547717205099</v>
      </c>
      <c r="AF799" s="62">
        <v>1272.2830200640001</v>
      </c>
      <c r="AG799" s="33">
        <v>2024</v>
      </c>
      <c r="AH799" s="5">
        <f>+[3]Лист1!$BC$280</f>
        <v>59734.07</v>
      </c>
      <c r="AI799" s="5">
        <f>+(K799*12.98+L799*25.97)*12*0.85</f>
        <v>211356.97440000001</v>
      </c>
      <c r="AJ799" s="5">
        <f>+(K799*12.98+L799*25.97)*12*30</f>
        <v>7459657.9200000009</v>
      </c>
      <c r="AK799" s="5">
        <f t="shared" si="197"/>
        <v>1901003.38</v>
      </c>
      <c r="AL799" s="28">
        <f>'Приложение №2'!E797</f>
        <v>0</v>
      </c>
      <c r="AM799" s="62"/>
      <c r="AN799" s="62">
        <v>1833049.74</v>
      </c>
      <c r="AO799" s="62">
        <v>0</v>
      </c>
      <c r="AP799" s="62">
        <v>0</v>
      </c>
      <c r="AQ799" s="62"/>
      <c r="AR799" s="62"/>
      <c r="AS799" s="62"/>
      <c r="AT799" s="62">
        <v>0</v>
      </c>
      <c r="AU799" s="62">
        <v>0</v>
      </c>
      <c r="AV799" s="62">
        <v>0</v>
      </c>
      <c r="AW799" s="62">
        <v>0</v>
      </c>
      <c r="AX799" s="62">
        <v>0</v>
      </c>
      <c r="AY799" s="62"/>
      <c r="AZ799" s="62"/>
      <c r="BA799" s="151"/>
      <c r="BB799" s="237">
        <f t="shared" si="191"/>
        <v>1</v>
      </c>
      <c r="BH799" s="5"/>
      <c r="BI799" s="5"/>
    </row>
    <row r="800" spans="1:61" ht="15.75" hidden="1">
      <c r="A800" s="234">
        <f t="shared" si="192"/>
        <v>775</v>
      </c>
      <c r="B800" s="101">
        <f>B795+1</f>
        <v>279</v>
      </c>
      <c r="C800" s="101" t="s">
        <v>185</v>
      </c>
      <c r="D800" s="101" t="s">
        <v>698</v>
      </c>
      <c r="E800" s="102">
        <v>1987</v>
      </c>
      <c r="F800" s="102">
        <v>2010</v>
      </c>
      <c r="G800" s="102" t="s">
        <v>3</v>
      </c>
      <c r="H800" s="102">
        <v>5</v>
      </c>
      <c r="I800" s="102">
        <v>2</v>
      </c>
      <c r="J800" s="62">
        <v>3854.65</v>
      </c>
      <c r="K800" s="62">
        <v>3186.55</v>
      </c>
      <c r="L800" s="62">
        <v>663.3</v>
      </c>
      <c r="M800" s="103">
        <v>157</v>
      </c>
      <c r="N800" s="28">
        <f t="shared" si="190"/>
        <v>2262542.54</v>
      </c>
      <c r="O800" s="62"/>
      <c r="P800" s="62">
        <f t="shared" si="199"/>
        <v>0</v>
      </c>
      <c r="Q800" s="236"/>
      <c r="R800" s="236"/>
      <c r="S800" s="62"/>
      <c r="T800" s="236"/>
      <c r="U800" s="236"/>
      <c r="V800" s="28">
        <v>2262542.54</v>
      </c>
      <c r="W800" s="235"/>
      <c r="X800" s="235"/>
      <c r="Y800" s="62">
        <v>0</v>
      </c>
      <c r="Z800" s="236"/>
      <c r="AA800" s="236"/>
      <c r="AB800" s="62"/>
      <c r="AC800" s="62"/>
      <c r="AD800" s="62"/>
      <c r="AE800" s="62">
        <v>724.49455098668898</v>
      </c>
      <c r="AF800" s="62">
        <v>1288.2830200640001</v>
      </c>
      <c r="AG800" s="33">
        <v>2024</v>
      </c>
      <c r="AH800" s="98">
        <v>2978715.88</v>
      </c>
      <c r="AI800" s="5">
        <f>+(K800*12.98+L800*25.97)*12*0.85</f>
        <v>597590.66399999999</v>
      </c>
      <c r="AJ800" s="5">
        <f>+(K800*12.98+L800*25.97)*12*30</f>
        <v>21091435.199999999</v>
      </c>
      <c r="AK800" s="5">
        <f t="shared" si="197"/>
        <v>2262542.54</v>
      </c>
      <c r="AL800" s="28">
        <f>'Приложение №2'!E798</f>
        <v>0</v>
      </c>
      <c r="AM800" s="62">
        <v>0</v>
      </c>
      <c r="AN800" s="62">
        <v>0</v>
      </c>
      <c r="AO800" s="62">
        <v>0</v>
      </c>
      <c r="AP800" s="62">
        <v>0</v>
      </c>
      <c r="AQ800" s="62">
        <v>2147049.31</v>
      </c>
      <c r="AR800" s="62"/>
      <c r="AS800" s="62"/>
      <c r="AT800" s="62">
        <v>0</v>
      </c>
      <c r="AU800" s="62">
        <v>0</v>
      </c>
      <c r="AV800" s="62">
        <v>0</v>
      </c>
      <c r="AW800" s="62">
        <v>0</v>
      </c>
      <c r="AX800" s="62">
        <v>0</v>
      </c>
      <c r="AY800" s="62"/>
      <c r="AZ800" s="62"/>
      <c r="BA800" s="151"/>
      <c r="BB800" s="237">
        <f t="shared" si="191"/>
        <v>1</v>
      </c>
      <c r="BH800" s="5"/>
      <c r="BI800" s="5"/>
    </row>
    <row r="801" spans="1:61" s="142" customFormat="1" ht="15.75" hidden="1">
      <c r="A801" s="234">
        <f t="shared" si="192"/>
        <v>776</v>
      </c>
      <c r="B801" s="101">
        <f>B800+1</f>
        <v>280</v>
      </c>
      <c r="C801" s="101" t="s">
        <v>185</v>
      </c>
      <c r="D801" s="101" t="s">
        <v>699</v>
      </c>
      <c r="E801" s="102" t="s">
        <v>204</v>
      </c>
      <c r="F801" s="102"/>
      <c r="G801" s="102" t="s">
        <v>3</v>
      </c>
      <c r="H801" s="102" t="s">
        <v>174</v>
      </c>
      <c r="I801" s="102" t="s">
        <v>244</v>
      </c>
      <c r="J801" s="62">
        <v>5386.8</v>
      </c>
      <c r="K801" s="62">
        <v>4410.8999999999996</v>
      </c>
      <c r="L801" s="62">
        <v>0</v>
      </c>
      <c r="M801" s="103">
        <v>267</v>
      </c>
      <c r="N801" s="28">
        <f t="shared" si="190"/>
        <v>1410134.84</v>
      </c>
      <c r="O801" s="62">
        <v>0</v>
      </c>
      <c r="P801" s="62">
        <f t="shared" si="199"/>
        <v>0</v>
      </c>
      <c r="Q801" s="236"/>
      <c r="R801" s="236"/>
      <c r="S801" s="62"/>
      <c r="T801" s="236"/>
      <c r="U801" s="236"/>
      <c r="V801" s="28">
        <v>1410134.84</v>
      </c>
      <c r="W801" s="235"/>
      <c r="X801" s="235"/>
      <c r="Y801" s="62">
        <v>0</v>
      </c>
      <c r="Z801" s="236"/>
      <c r="AA801" s="236"/>
      <c r="AB801" s="62">
        <v>0</v>
      </c>
      <c r="AC801" s="62"/>
      <c r="AD801" s="62"/>
      <c r="AE801" s="62">
        <v>413.68943176112202</v>
      </c>
      <c r="AF801" s="62">
        <v>1296.2830200640001</v>
      </c>
      <c r="AG801" s="33">
        <v>2024</v>
      </c>
      <c r="AH801" s="98">
        <v>3350857.2</v>
      </c>
      <c r="AI801" s="5">
        <f>+(K801*17.26+L801*29.25)*12*0.85</f>
        <v>776547.76679999998</v>
      </c>
      <c r="AJ801" s="5">
        <f>+(K801*17.26+L801*29.25)*12*30</f>
        <v>27407568.240000002</v>
      </c>
      <c r="AK801" s="5">
        <f t="shared" si="197"/>
        <v>1410134.84</v>
      </c>
      <c r="AL801" s="28">
        <f>'Приложение №2'!E799</f>
        <v>0</v>
      </c>
      <c r="AM801" s="62"/>
      <c r="AN801" s="62"/>
      <c r="AO801" s="62"/>
      <c r="AP801" s="62"/>
      <c r="AQ801" s="62">
        <v>1410134.84</v>
      </c>
      <c r="AR801" s="62"/>
      <c r="AS801" s="62"/>
      <c r="AT801" s="62"/>
      <c r="AU801" s="62"/>
      <c r="AV801" s="62"/>
      <c r="AW801" s="62"/>
      <c r="AX801" s="62"/>
      <c r="AY801" s="62"/>
      <c r="AZ801" s="62"/>
      <c r="BA801" s="151"/>
      <c r="BB801" s="237">
        <f t="shared" si="191"/>
        <v>1</v>
      </c>
      <c r="BH801" s="5"/>
      <c r="BI801" s="5"/>
    </row>
    <row r="802" spans="1:61" s="142" customFormat="1" ht="15.75" hidden="1">
      <c r="A802" s="234">
        <f t="shared" si="192"/>
        <v>777</v>
      </c>
      <c r="B802" s="101">
        <f>B801+1</f>
        <v>281</v>
      </c>
      <c r="C802" s="101" t="s">
        <v>185</v>
      </c>
      <c r="D802" s="101" t="s">
        <v>700</v>
      </c>
      <c r="E802" s="102" t="s">
        <v>207</v>
      </c>
      <c r="F802" s="102"/>
      <c r="G802" s="102" t="s">
        <v>3</v>
      </c>
      <c r="H802" s="102" t="s">
        <v>174</v>
      </c>
      <c r="I802" s="102" t="s">
        <v>244</v>
      </c>
      <c r="J802" s="62">
        <v>5259.4</v>
      </c>
      <c r="K802" s="62">
        <v>4259.8</v>
      </c>
      <c r="L802" s="62">
        <v>65.2</v>
      </c>
      <c r="M802" s="103">
        <v>245</v>
      </c>
      <c r="N802" s="28">
        <f t="shared" ref="N802:N833" si="200">P802+S802+V802+Y802+AB802</f>
        <v>1382673.19</v>
      </c>
      <c r="O802" s="62">
        <v>0</v>
      </c>
      <c r="P802" s="62">
        <f t="shared" si="199"/>
        <v>0</v>
      </c>
      <c r="Q802" s="236"/>
      <c r="R802" s="236"/>
      <c r="S802" s="62"/>
      <c r="T802" s="236"/>
      <c r="U802" s="236"/>
      <c r="V802" s="28">
        <v>1382673.19</v>
      </c>
      <c r="W802" s="235"/>
      <c r="X802" s="235"/>
      <c r="Y802" s="62">
        <v>0</v>
      </c>
      <c r="Z802" s="236"/>
      <c r="AA802" s="236"/>
      <c r="AB802" s="62">
        <v>0</v>
      </c>
      <c r="AC802" s="62"/>
      <c r="AD802" s="62"/>
      <c r="AE802" s="62">
        <v>421.60322691102698</v>
      </c>
      <c r="AF802" s="62">
        <v>1297.2830200640001</v>
      </c>
      <c r="AG802" s="33">
        <v>2024</v>
      </c>
      <c r="AH802" s="98">
        <v>3302142.34</v>
      </c>
      <c r="AI802" s="5">
        <f>+(K802*17.26+L802*29.25)*12*0.85</f>
        <v>769398.7296000002</v>
      </c>
      <c r="AJ802" s="5">
        <f>+(K802*17.26+L802*29.25)*12*30</f>
        <v>27155249.280000009</v>
      </c>
      <c r="AK802" s="5">
        <f t="shared" si="197"/>
        <v>1382673.19</v>
      </c>
      <c r="AL802" s="28">
        <f>'Приложение №2'!E800</f>
        <v>0</v>
      </c>
      <c r="AM802" s="62"/>
      <c r="AN802" s="62"/>
      <c r="AO802" s="62"/>
      <c r="AP802" s="62"/>
      <c r="AQ802" s="62">
        <v>1382673.19</v>
      </c>
      <c r="AR802" s="62"/>
      <c r="AS802" s="62"/>
      <c r="AT802" s="62"/>
      <c r="AU802" s="62"/>
      <c r="AV802" s="62"/>
      <c r="AW802" s="62"/>
      <c r="AX802" s="62"/>
      <c r="AY802" s="62"/>
      <c r="AZ802" s="62"/>
      <c r="BA802" s="151"/>
      <c r="BB802" s="237">
        <f t="shared" ref="BB802:BB814" si="201">COUNTIF(AM802:AX802, "&gt;0")</f>
        <v>1</v>
      </c>
      <c r="BH802" s="5"/>
      <c r="BI802" s="5"/>
    </row>
    <row r="803" spans="1:61" s="142" customFormat="1" ht="15.75" hidden="1">
      <c r="A803" s="234">
        <f t="shared" ref="A803:A814" si="202">A802+1</f>
        <v>778</v>
      </c>
      <c r="B803" s="101">
        <f>B802+1</f>
        <v>282</v>
      </c>
      <c r="C803" s="101" t="s">
        <v>185</v>
      </c>
      <c r="D803" s="101" t="s">
        <v>701</v>
      </c>
      <c r="E803" s="102" t="s">
        <v>207</v>
      </c>
      <c r="F803" s="102"/>
      <c r="G803" s="102" t="s">
        <v>3</v>
      </c>
      <c r="H803" s="102" t="s">
        <v>174</v>
      </c>
      <c r="I803" s="102" t="s">
        <v>244</v>
      </c>
      <c r="J803" s="62">
        <v>5408.1</v>
      </c>
      <c r="K803" s="62">
        <v>4395.54</v>
      </c>
      <c r="L803" s="62">
        <v>0</v>
      </c>
      <c r="M803" s="103">
        <v>222</v>
      </c>
      <c r="N803" s="28">
        <f t="shared" si="200"/>
        <v>1405224.35</v>
      </c>
      <c r="O803" s="62">
        <v>0</v>
      </c>
      <c r="P803" s="62">
        <f t="shared" si="199"/>
        <v>0</v>
      </c>
      <c r="Q803" s="236"/>
      <c r="R803" s="236"/>
      <c r="S803" s="62"/>
      <c r="T803" s="236"/>
      <c r="U803" s="236"/>
      <c r="V803" s="28">
        <v>1405224.35</v>
      </c>
      <c r="W803" s="235"/>
      <c r="X803" s="235"/>
      <c r="Y803" s="62">
        <v>0</v>
      </c>
      <c r="Z803" s="236"/>
      <c r="AA803" s="236"/>
      <c r="AB803" s="62">
        <v>0</v>
      </c>
      <c r="AC803" s="62"/>
      <c r="AD803" s="62"/>
      <c r="AE803" s="62">
        <v>413.98286085661402</v>
      </c>
      <c r="AF803" s="62">
        <v>1298.2830200640001</v>
      </c>
      <c r="AG803" s="33">
        <v>2024</v>
      </c>
      <c r="AH803" s="98">
        <v>3071697.04</v>
      </c>
      <c r="AI803" s="5">
        <f>+(K803*17.26+L803*29.25)*12*0.85</f>
        <v>773843.60808000003</v>
      </c>
      <c r="AJ803" s="5">
        <f>+(K803*17.26+L803*29.25)*12*30</f>
        <v>27312127.344000004</v>
      </c>
      <c r="AK803" s="5">
        <f t="shared" si="197"/>
        <v>1405224.35</v>
      </c>
      <c r="AL803" s="28">
        <f>'Приложение №2'!E801</f>
        <v>0</v>
      </c>
      <c r="AM803" s="62"/>
      <c r="AN803" s="62"/>
      <c r="AO803" s="62"/>
      <c r="AP803" s="62"/>
      <c r="AQ803" s="62">
        <v>1405224.35</v>
      </c>
      <c r="AR803" s="62"/>
      <c r="AS803" s="62"/>
      <c r="AT803" s="62"/>
      <c r="AU803" s="62"/>
      <c r="AV803" s="62"/>
      <c r="AW803" s="62"/>
      <c r="AX803" s="62"/>
      <c r="AY803" s="62"/>
      <c r="AZ803" s="62"/>
      <c r="BA803" s="151"/>
      <c r="BB803" s="237">
        <f t="shared" si="201"/>
        <v>1</v>
      </c>
      <c r="BD803" s="240"/>
      <c r="BH803" s="5"/>
      <c r="BI803" s="5"/>
    </row>
    <row r="804" spans="1:61" ht="15.75" hidden="1">
      <c r="A804" s="234">
        <f t="shared" si="202"/>
        <v>779</v>
      </c>
      <c r="B804" s="101" t="s">
        <v>96</v>
      </c>
      <c r="C804" s="101" t="s">
        <v>185</v>
      </c>
      <c r="D804" s="101" t="s">
        <v>436</v>
      </c>
      <c r="E804" s="102">
        <v>1964</v>
      </c>
      <c r="F804" s="102">
        <v>2009</v>
      </c>
      <c r="G804" s="102" t="s">
        <v>3</v>
      </c>
      <c r="H804" s="102">
        <v>4</v>
      </c>
      <c r="I804" s="102">
        <v>2</v>
      </c>
      <c r="J804" s="62">
        <v>1462.3</v>
      </c>
      <c r="K804" s="62">
        <v>1198.5999999999999</v>
      </c>
      <c r="L804" s="62">
        <v>42.9</v>
      </c>
      <c r="M804" s="103">
        <v>60</v>
      </c>
      <c r="N804" s="28">
        <f t="shared" si="200"/>
        <v>4102429.8200000003</v>
      </c>
      <c r="O804" s="62"/>
      <c r="P804" s="62">
        <f t="shared" si="199"/>
        <v>0</v>
      </c>
      <c r="Q804" s="235"/>
      <c r="R804" s="235"/>
      <c r="S804" s="62">
        <v>0</v>
      </c>
      <c r="T804" s="236"/>
      <c r="U804" s="236"/>
      <c r="V804" s="28">
        <v>170053.79819999999</v>
      </c>
      <c r="W804" s="235"/>
      <c r="X804" s="235"/>
      <c r="Y804" s="28">
        <v>1453436.89</v>
      </c>
      <c r="Z804" s="235"/>
      <c r="AA804" s="235"/>
      <c r="AB804" s="28">
        <v>2478939.1318000001</v>
      </c>
      <c r="AC804" s="28"/>
      <c r="AD804" s="28"/>
      <c r="AE804" s="62">
        <v>14439.003804399301</v>
      </c>
      <c r="AF804" s="62">
        <v>1311.2830200640001</v>
      </c>
      <c r="AG804" s="33">
        <v>2024</v>
      </c>
      <c r="AH804" s="18"/>
      <c r="AI804" s="5">
        <f>+(K804*12.98+L804*25.97)*12*0.85</f>
        <v>170053.79819999999</v>
      </c>
      <c r="AJ804" s="5">
        <f>+(K804*12.98+L804*25.97)*12*30-[3]Лист1!$AQ$314</f>
        <v>1453436.8899999997</v>
      </c>
      <c r="AK804" s="5">
        <f t="shared" si="197"/>
        <v>4102429.8200000003</v>
      </c>
      <c r="AL804" s="28">
        <f>'Приложение №2'!E802</f>
        <v>0</v>
      </c>
      <c r="AM804" s="62"/>
      <c r="AN804" s="62"/>
      <c r="AO804" s="62"/>
      <c r="AP804" s="62">
        <v>1294043.96</v>
      </c>
      <c r="AQ804" s="62"/>
      <c r="AR804" s="62"/>
      <c r="AS804" s="62"/>
      <c r="AT804" s="62">
        <v>0</v>
      </c>
      <c r="AU804" s="62"/>
      <c r="AV804" s="62">
        <v>0</v>
      </c>
      <c r="AW804" s="62"/>
      <c r="AX804" s="62">
        <v>3959521.14</v>
      </c>
      <c r="AY804" s="62"/>
      <c r="AZ804" s="62"/>
      <c r="BA804" s="151"/>
      <c r="BB804" s="237">
        <f t="shared" si="201"/>
        <v>2</v>
      </c>
      <c r="BH804" s="5"/>
      <c r="BI804" s="5"/>
    </row>
    <row r="805" spans="1:61" s="142" customFormat="1" ht="15.75" hidden="1">
      <c r="A805" s="234">
        <f t="shared" si="202"/>
        <v>780</v>
      </c>
      <c r="B805" s="101" t="s">
        <v>96</v>
      </c>
      <c r="C805" s="101" t="s">
        <v>313</v>
      </c>
      <c r="D805" s="101" t="s">
        <v>440</v>
      </c>
      <c r="E805" s="102" t="s">
        <v>441</v>
      </c>
      <c r="F805" s="102"/>
      <c r="G805" s="102" t="s">
        <v>3</v>
      </c>
      <c r="H805" s="102" t="s">
        <v>183</v>
      </c>
      <c r="I805" s="102" t="s">
        <v>27</v>
      </c>
      <c r="J805" s="62">
        <v>2017.1</v>
      </c>
      <c r="K805" s="62">
        <v>1568.7</v>
      </c>
      <c r="L805" s="62">
        <v>241.9</v>
      </c>
      <c r="M805" s="103">
        <v>64</v>
      </c>
      <c r="N805" s="28">
        <f t="shared" si="200"/>
        <v>13730610.52</v>
      </c>
      <c r="O805" s="62">
        <v>0</v>
      </c>
      <c r="P805" s="62">
        <f t="shared" si="199"/>
        <v>0</v>
      </c>
      <c r="Q805" s="235"/>
      <c r="R805" s="235"/>
      <c r="S805" s="62"/>
      <c r="T805" s="236"/>
      <c r="U805" s="236"/>
      <c r="V805" s="28">
        <v>188651.42</v>
      </c>
      <c r="W805" s="235"/>
      <c r="X805" s="235"/>
      <c r="Y805" s="28">
        <v>3247364.09</v>
      </c>
      <c r="Z805" s="235"/>
      <c r="AA805" s="235"/>
      <c r="AB805" s="28">
        <v>10294595.01</v>
      </c>
      <c r="AC805" s="28"/>
      <c r="AD805" s="28"/>
      <c r="AE805" s="62">
        <v>12922.8899657411</v>
      </c>
      <c r="AF805" s="62">
        <v>12922.8899657411</v>
      </c>
      <c r="AG805" s="33">
        <v>2024</v>
      </c>
      <c r="AH805" s="157"/>
      <c r="AI805" s="5">
        <f>+(K805*12.71+L805*25.41)*12*0.85</f>
        <v>266065.53120000003</v>
      </c>
      <c r="AJ805" s="5">
        <f>+(K805*12.71+L805*25.41)*12*30-[3]Лист1!$AQ$316</f>
        <v>3247364.0900000017</v>
      </c>
      <c r="AK805" s="5">
        <f t="shared" si="197"/>
        <v>13730610.52</v>
      </c>
      <c r="AL805" s="28">
        <f>'Приложение №2'!E803</f>
        <v>0</v>
      </c>
      <c r="AM805" s="62"/>
      <c r="AN805" s="62"/>
      <c r="AO805" s="62"/>
      <c r="AP805" s="62"/>
      <c r="AQ805" s="62"/>
      <c r="AR805" s="62"/>
      <c r="AS805" s="62"/>
      <c r="AT805" s="62"/>
      <c r="AU805" s="62"/>
      <c r="AV805" s="62"/>
      <c r="AW805" s="62">
        <v>13577425.68</v>
      </c>
      <c r="AX805" s="62"/>
      <c r="AY805" s="62"/>
      <c r="AZ805" s="62"/>
      <c r="BA805" s="151"/>
      <c r="BB805" s="237">
        <f t="shared" si="201"/>
        <v>1</v>
      </c>
      <c r="BH805" s="5"/>
      <c r="BI805" s="5"/>
    </row>
    <row r="806" spans="1:61" ht="15.75" hidden="1">
      <c r="A806" s="234">
        <f t="shared" si="202"/>
        <v>781</v>
      </c>
      <c r="B806" s="101" t="s">
        <v>96</v>
      </c>
      <c r="C806" s="101" t="s">
        <v>185</v>
      </c>
      <c r="D806" s="101" t="s">
        <v>285</v>
      </c>
      <c r="E806" s="102">
        <v>1965</v>
      </c>
      <c r="F806" s="102">
        <v>2005</v>
      </c>
      <c r="G806" s="102" t="s">
        <v>3</v>
      </c>
      <c r="H806" s="102">
        <v>4</v>
      </c>
      <c r="I806" s="102">
        <v>4</v>
      </c>
      <c r="J806" s="62">
        <v>2661.8</v>
      </c>
      <c r="K806" s="62">
        <v>2220.4</v>
      </c>
      <c r="L806" s="62">
        <v>229.71</v>
      </c>
      <c r="M806" s="103">
        <v>111</v>
      </c>
      <c r="N806" s="28">
        <f t="shared" si="200"/>
        <v>2887440.45</v>
      </c>
      <c r="O806" s="62"/>
      <c r="P806" s="62">
        <f t="shared" si="199"/>
        <v>0</v>
      </c>
      <c r="Q806" s="235"/>
      <c r="R806" s="235"/>
      <c r="S806" s="62"/>
      <c r="T806" s="236"/>
      <c r="U806" s="236"/>
      <c r="V806" s="28">
        <v>143493.71</v>
      </c>
      <c r="W806" s="235"/>
      <c r="X806" s="235"/>
      <c r="Y806" s="28">
        <v>2743946.74</v>
      </c>
      <c r="Z806" s="235"/>
      <c r="AA806" s="235"/>
      <c r="AB806" s="28"/>
      <c r="AC806" s="28"/>
      <c r="AD806" s="28"/>
      <c r="AE806" s="62">
        <v>12180.3300759663</v>
      </c>
      <c r="AF806" s="62">
        <v>1309.2830200640001</v>
      </c>
      <c r="AG806" s="33">
        <v>2024</v>
      </c>
      <c r="AH806" s="18"/>
      <c r="AI806" s="5">
        <f>+(K806*12.98+L806*25.97)*12*0.85</f>
        <v>354820.87914000003</v>
      </c>
      <c r="AJ806" s="5">
        <f>+(K806*12.98+L806*25.97)*12*30-[3]Лист1!$AQ$319</f>
        <v>7192756.302000002</v>
      </c>
      <c r="AK806" s="5">
        <f t="shared" si="197"/>
        <v>2887440.45</v>
      </c>
      <c r="AL806" s="28">
        <f>'Приложение №2'!E804</f>
        <v>0</v>
      </c>
      <c r="AM806" s="62"/>
      <c r="AN806" s="62">
        <v>2813313.39</v>
      </c>
      <c r="AO806" s="62"/>
      <c r="AP806" s="62"/>
      <c r="AQ806" s="62"/>
      <c r="AR806" s="62"/>
      <c r="AS806" s="62"/>
      <c r="AT806" s="62">
        <v>0</v>
      </c>
      <c r="AU806" s="62"/>
      <c r="AV806" s="62">
        <v>0</v>
      </c>
      <c r="AW806" s="62"/>
      <c r="AX806" s="62"/>
      <c r="AY806" s="62"/>
      <c r="AZ806" s="62"/>
      <c r="BA806" s="151"/>
      <c r="BB806" s="237">
        <f t="shared" si="201"/>
        <v>1</v>
      </c>
      <c r="BH806" s="5"/>
      <c r="BI806" s="5"/>
    </row>
    <row r="807" spans="1:61" s="142" customFormat="1" ht="15.75" hidden="1">
      <c r="A807" s="234">
        <f t="shared" si="202"/>
        <v>782</v>
      </c>
      <c r="B807" s="101" t="s">
        <v>96</v>
      </c>
      <c r="C807" s="101" t="s">
        <v>313</v>
      </c>
      <c r="D807" s="101" t="s">
        <v>459</v>
      </c>
      <c r="E807" s="102" t="s">
        <v>81</v>
      </c>
      <c r="F807" s="102"/>
      <c r="G807" s="102" t="s">
        <v>3</v>
      </c>
      <c r="H807" s="102" t="s">
        <v>183</v>
      </c>
      <c r="I807" s="102" t="s">
        <v>220</v>
      </c>
      <c r="J807" s="62">
        <v>5051.1899999999996</v>
      </c>
      <c r="K807" s="62">
        <v>4630.8</v>
      </c>
      <c r="L807" s="62">
        <v>0</v>
      </c>
      <c r="M807" s="103">
        <v>233</v>
      </c>
      <c r="N807" s="28">
        <f t="shared" si="200"/>
        <v>4362639.07</v>
      </c>
      <c r="O807" s="62">
        <v>0</v>
      </c>
      <c r="P807" s="62">
        <f t="shared" si="199"/>
        <v>0</v>
      </c>
      <c r="Q807" s="245"/>
      <c r="R807" s="245"/>
      <c r="S807" s="62"/>
      <c r="T807" s="236"/>
      <c r="U807" s="236"/>
      <c r="V807" s="28"/>
      <c r="W807" s="235"/>
      <c r="X807" s="235"/>
      <c r="Y807" s="28">
        <v>4362639.07</v>
      </c>
      <c r="Z807" s="236"/>
      <c r="AA807" s="236"/>
      <c r="AB807" s="28"/>
      <c r="AC807" s="28"/>
      <c r="AD807" s="28"/>
      <c r="AE807" s="62">
        <v>13629.8191357263</v>
      </c>
      <c r="AF807" s="62">
        <v>1323.2830200640001</v>
      </c>
      <c r="AG807" s="33">
        <v>2024</v>
      </c>
      <c r="AH807" s="98"/>
      <c r="AI807" s="5">
        <f>+(K807*12.98+L807*25.97)*12*0.85</f>
        <v>613099.39679999999</v>
      </c>
      <c r="AJ807" s="5">
        <f>+(K807*12.98+L807*25.97)*12*30-[3]Лист1!$AQ$326</f>
        <v>14342132.430000003</v>
      </c>
      <c r="AK807" s="5">
        <f t="shared" si="197"/>
        <v>4362639.07</v>
      </c>
      <c r="AL807" s="28">
        <f>'Приложение №2'!E805</f>
        <v>0</v>
      </c>
      <c r="AM807" s="62"/>
      <c r="AN807" s="62"/>
      <c r="AO807" s="62"/>
      <c r="AP807" s="62">
        <v>4285819.8499999996</v>
      </c>
      <c r="AQ807" s="62"/>
      <c r="AR807" s="62"/>
      <c r="AS807" s="62"/>
      <c r="AT807" s="62"/>
      <c r="AU807" s="62"/>
      <c r="AV807" s="62"/>
      <c r="AW807" s="62"/>
      <c r="AX807" s="62"/>
      <c r="AY807" s="62"/>
      <c r="AZ807" s="62"/>
      <c r="BA807" s="151"/>
      <c r="BB807" s="237">
        <f t="shared" si="201"/>
        <v>1</v>
      </c>
      <c r="BD807" s="240"/>
      <c r="BE807" s="240"/>
      <c r="BH807" s="5"/>
      <c r="BI807" s="5"/>
    </row>
    <row r="808" spans="1:61" s="142" customFormat="1" ht="15.75" hidden="1">
      <c r="A808" s="234">
        <f t="shared" si="202"/>
        <v>783</v>
      </c>
      <c r="B808" s="101" t="s">
        <v>96</v>
      </c>
      <c r="C808" s="101" t="s">
        <v>313</v>
      </c>
      <c r="D808" s="101" t="s">
        <v>463</v>
      </c>
      <c r="E808" s="102" t="s">
        <v>315</v>
      </c>
      <c r="F808" s="102"/>
      <c r="G808" s="102" t="s">
        <v>3</v>
      </c>
      <c r="H808" s="102" t="s">
        <v>183</v>
      </c>
      <c r="I808" s="102" t="s">
        <v>183</v>
      </c>
      <c r="J808" s="62">
        <v>3950.89</v>
      </c>
      <c r="K808" s="62">
        <v>3454.6</v>
      </c>
      <c r="L808" s="62">
        <v>0</v>
      </c>
      <c r="M808" s="103">
        <v>153</v>
      </c>
      <c r="N808" s="28">
        <f t="shared" si="200"/>
        <v>1473221.62</v>
      </c>
      <c r="O808" s="62">
        <v>0</v>
      </c>
      <c r="P808" s="62">
        <f t="shared" si="199"/>
        <v>0</v>
      </c>
      <c r="Q808" s="235"/>
      <c r="R808" s="235"/>
      <c r="S808" s="62"/>
      <c r="T808" s="236"/>
      <c r="U808" s="236"/>
      <c r="V808" s="28"/>
      <c r="W808" s="235"/>
      <c r="X808" s="235"/>
      <c r="Y808" s="28">
        <v>1473221.62</v>
      </c>
      <c r="Z808" s="235"/>
      <c r="AA808" s="235"/>
      <c r="AB808" s="28"/>
      <c r="AC808" s="28"/>
      <c r="AD808" s="28"/>
      <c r="AE808" s="62">
        <v>6210.6556224145697</v>
      </c>
      <c r="AF808" s="62">
        <v>1327.2830200640001</v>
      </c>
      <c r="AG808" s="33">
        <v>2024</v>
      </c>
      <c r="AH808" s="98"/>
      <c r="AI808" s="5">
        <f>+(K808*12.98+L808*25.97)*12*0.85</f>
        <v>457375.22160000005</v>
      </c>
      <c r="AJ808" s="5">
        <f>+(K808*12.98+L808*25.97)*12*30-[3]Лист1!$AQ$330</f>
        <v>5570957.8100000005</v>
      </c>
      <c r="AK808" s="5">
        <f t="shared" si="197"/>
        <v>1473221.62</v>
      </c>
      <c r="AL808" s="28">
        <f>'Приложение №2'!E806</f>
        <v>0</v>
      </c>
      <c r="AM808" s="62"/>
      <c r="AN808" s="62"/>
      <c r="AO808" s="62"/>
      <c r="AP808" s="62"/>
      <c r="AQ808" s="62">
        <v>1398827.38</v>
      </c>
      <c r="AR808" s="62"/>
      <c r="AS808" s="62"/>
      <c r="AT808" s="62">
        <v>0</v>
      </c>
      <c r="AU808" s="62"/>
      <c r="AV808" s="62">
        <v>0</v>
      </c>
      <c r="AW808" s="62"/>
      <c r="AX808" s="62"/>
      <c r="AY808" s="62"/>
      <c r="AZ808" s="62"/>
      <c r="BA808" s="151"/>
      <c r="BB808" s="237">
        <f t="shared" si="201"/>
        <v>1</v>
      </c>
      <c r="BE808" s="240"/>
      <c r="BH808" s="5"/>
      <c r="BI808" s="5"/>
    </row>
    <row r="809" spans="1:61" s="142" customFormat="1" ht="15.75" hidden="1">
      <c r="A809" s="234">
        <f t="shared" si="202"/>
        <v>784</v>
      </c>
      <c r="B809" s="101" t="s">
        <v>96</v>
      </c>
      <c r="C809" s="101" t="s">
        <v>313</v>
      </c>
      <c r="D809" s="101" t="s">
        <v>471</v>
      </c>
      <c r="E809" s="102" t="s">
        <v>315</v>
      </c>
      <c r="F809" s="102"/>
      <c r="G809" s="102" t="s">
        <v>3</v>
      </c>
      <c r="H809" s="102" t="s">
        <v>183</v>
      </c>
      <c r="I809" s="102" t="s">
        <v>316</v>
      </c>
      <c r="J809" s="62">
        <v>5751.1</v>
      </c>
      <c r="K809" s="62">
        <v>4971.6000000000004</v>
      </c>
      <c r="L809" s="62">
        <v>0</v>
      </c>
      <c r="M809" s="103">
        <v>221</v>
      </c>
      <c r="N809" s="28">
        <f t="shared" si="200"/>
        <v>2122133.44</v>
      </c>
      <c r="O809" s="62">
        <v>0</v>
      </c>
      <c r="P809" s="62">
        <f t="shared" si="199"/>
        <v>0</v>
      </c>
      <c r="Q809" s="235"/>
      <c r="R809" s="235"/>
      <c r="S809" s="62"/>
      <c r="T809" s="236"/>
      <c r="U809" s="236"/>
      <c r="V809" s="28">
        <v>73376.710000000006</v>
      </c>
      <c r="W809" s="235"/>
      <c r="X809" s="235"/>
      <c r="Y809" s="28">
        <v>2048756.73</v>
      </c>
      <c r="Z809" s="235"/>
      <c r="AA809" s="235"/>
      <c r="AB809" s="28"/>
      <c r="AC809" s="28"/>
      <c r="AD809" s="28"/>
      <c r="AE809" s="62">
        <v>7573.9732792899003</v>
      </c>
      <c r="AF809" s="62">
        <v>1330.2830200640001</v>
      </c>
      <c r="AG809" s="33">
        <v>2024</v>
      </c>
      <c r="AH809" s="98"/>
      <c r="AI809" s="5">
        <f>+(K809*12.98+L809*25.97)*12*0.85</f>
        <v>658219.95360000001</v>
      </c>
      <c r="AJ809" s="5">
        <f>+(K809*12.98+L809*25.97)*12*30-[3]Лист1!$AQ$337</f>
        <v>3339908.6800000034</v>
      </c>
      <c r="AK809" s="5">
        <f t="shared" si="197"/>
        <v>2122133.44</v>
      </c>
      <c r="AL809" s="28">
        <f>'Приложение №2'!E807</f>
        <v>0</v>
      </c>
      <c r="AM809" s="62"/>
      <c r="AN809" s="62"/>
      <c r="AO809" s="62">
        <v>0</v>
      </c>
      <c r="AP809" s="62">
        <v>0</v>
      </c>
      <c r="AQ809" s="62">
        <v>2013086.95</v>
      </c>
      <c r="AR809" s="62"/>
      <c r="AS809" s="62"/>
      <c r="AT809" s="62">
        <v>0</v>
      </c>
      <c r="AU809" s="62"/>
      <c r="AV809" s="62">
        <v>0</v>
      </c>
      <c r="AW809" s="62"/>
      <c r="AX809" s="62"/>
      <c r="AY809" s="62"/>
      <c r="AZ809" s="62"/>
      <c r="BA809" s="151"/>
      <c r="BB809" s="237">
        <f t="shared" si="201"/>
        <v>1</v>
      </c>
      <c r="BH809" s="5"/>
      <c r="BI809" s="5"/>
    </row>
    <row r="810" spans="1:61" ht="15.75">
      <c r="A810" s="234">
        <f t="shared" si="202"/>
        <v>785</v>
      </c>
      <c r="B810" s="101" t="s">
        <v>96</v>
      </c>
      <c r="C810" s="101" t="s">
        <v>496</v>
      </c>
      <c r="D810" s="101" t="s">
        <v>655</v>
      </c>
      <c r="E810" s="102">
        <v>1984</v>
      </c>
      <c r="F810" s="102">
        <v>1984</v>
      </c>
      <c r="G810" s="102" t="s">
        <v>3</v>
      </c>
      <c r="H810" s="102">
        <v>2</v>
      </c>
      <c r="I810" s="102">
        <v>2</v>
      </c>
      <c r="J810" s="62">
        <v>638.79999999999995</v>
      </c>
      <c r="K810" s="62">
        <v>591.79999999999995</v>
      </c>
      <c r="L810" s="62">
        <v>0</v>
      </c>
      <c r="M810" s="103">
        <v>27</v>
      </c>
      <c r="N810" s="28">
        <f t="shared" si="200"/>
        <v>2464274.3200000003</v>
      </c>
      <c r="O810" s="62"/>
      <c r="P810" s="62">
        <f t="shared" si="199"/>
        <v>0</v>
      </c>
      <c r="Q810" s="236"/>
      <c r="R810" s="236"/>
      <c r="S810" s="62"/>
      <c r="T810" s="236"/>
      <c r="U810" s="236"/>
      <c r="V810" s="28">
        <v>56703.205000000002</v>
      </c>
      <c r="W810" s="235"/>
      <c r="X810" s="235"/>
      <c r="Y810" s="28">
        <v>2407571.1150000002</v>
      </c>
      <c r="Z810" s="235"/>
      <c r="AA810" s="235"/>
      <c r="AB810" s="28"/>
      <c r="AC810" s="28"/>
      <c r="AD810" s="28"/>
      <c r="AE810" s="62">
        <v>7984.8028105902804</v>
      </c>
      <c r="AF810" s="62">
        <v>1348.2830200640001</v>
      </c>
      <c r="AG810" s="33">
        <v>2024</v>
      </c>
      <c r="AH810" s="98">
        <v>43686.45</v>
      </c>
      <c r="AI810" s="5">
        <f>+(K810*12.71+L810*25.41)*12*0.85</f>
        <v>76722.135600000009</v>
      </c>
      <c r="AJ810" s="5">
        <f>+(K810*12.71+L810*25.41)*12*30</f>
        <v>2707840.08</v>
      </c>
      <c r="AK810" s="5">
        <f t="shared" si="197"/>
        <v>0</v>
      </c>
      <c r="AL810" s="28">
        <f>'Приложение №2'!E808</f>
        <v>2464274.3199999998</v>
      </c>
      <c r="AM810" s="62"/>
      <c r="AN810" s="62">
        <v>2442319.31</v>
      </c>
      <c r="AO810" s="62"/>
      <c r="AP810" s="62">
        <v>853962.43</v>
      </c>
      <c r="AQ810" s="62">
        <v>0</v>
      </c>
      <c r="AR810" s="62"/>
      <c r="AS810" s="62"/>
      <c r="AT810" s="62">
        <v>0</v>
      </c>
      <c r="AU810" s="62">
        <v>0</v>
      </c>
      <c r="AV810" s="62">
        <v>0</v>
      </c>
      <c r="AW810" s="62">
        <v>0</v>
      </c>
      <c r="AX810" s="62">
        <v>0</v>
      </c>
      <c r="AY810" s="62"/>
      <c r="AZ810" s="62"/>
      <c r="BA810" s="151"/>
      <c r="BB810" s="237">
        <f t="shared" si="201"/>
        <v>2</v>
      </c>
      <c r="BH810" s="5"/>
      <c r="BI810" s="5"/>
    </row>
    <row r="811" spans="1:61" ht="15.75" hidden="1">
      <c r="A811" s="234">
        <f t="shared" si="202"/>
        <v>786</v>
      </c>
      <c r="B811" s="101">
        <f>B803+1</f>
        <v>283</v>
      </c>
      <c r="C811" s="101" t="s">
        <v>355</v>
      </c>
      <c r="D811" s="101" t="s">
        <v>612</v>
      </c>
      <c r="E811" s="102">
        <v>1972</v>
      </c>
      <c r="F811" s="102">
        <v>2013</v>
      </c>
      <c r="G811" s="102" t="s">
        <v>3</v>
      </c>
      <c r="H811" s="102">
        <v>4</v>
      </c>
      <c r="I811" s="102">
        <v>3</v>
      </c>
      <c r="J811" s="62">
        <v>1348.9</v>
      </c>
      <c r="K811" s="62">
        <v>1047.4000000000001</v>
      </c>
      <c r="L811" s="62">
        <v>182.5</v>
      </c>
      <c r="M811" s="103">
        <v>50</v>
      </c>
      <c r="N811" s="28">
        <f t="shared" si="200"/>
        <v>1153809.18</v>
      </c>
      <c r="O811" s="62"/>
      <c r="P811" s="62">
        <f t="shared" si="199"/>
        <v>0</v>
      </c>
      <c r="Q811" s="236"/>
      <c r="R811" s="236"/>
      <c r="S811" s="62"/>
      <c r="T811" s="236"/>
      <c r="U811" s="236"/>
      <c r="V811" s="28">
        <v>166394.84</v>
      </c>
      <c r="W811" s="243"/>
      <c r="X811" s="243"/>
      <c r="Y811" s="28">
        <v>987414.34</v>
      </c>
      <c r="Z811" s="244"/>
      <c r="AA811" s="244"/>
      <c r="AB811" s="28"/>
      <c r="AC811" s="28"/>
      <c r="AD811" s="28"/>
      <c r="AE811" s="62">
        <v>2310.24590133422</v>
      </c>
      <c r="AF811" s="62">
        <v>1362.2830200640001</v>
      </c>
      <c r="AG811" s="33">
        <v>2024</v>
      </c>
      <c r="AH811" s="98"/>
      <c r="AI811" s="5">
        <f>+(K811*12.71+L811*25.41)*12*0.85</f>
        <v>183087.7458</v>
      </c>
      <c r="AJ811" s="5">
        <f>+(K811*12.71+L811*25.41)*12*30-[3]Лист1!$AQ$45</f>
        <v>6400660.6900000004</v>
      </c>
      <c r="AK811" s="5">
        <f t="shared" si="197"/>
        <v>1153809.18</v>
      </c>
      <c r="AL811" s="28">
        <f>'Приложение №2'!E809</f>
        <v>0</v>
      </c>
      <c r="AM811" s="62">
        <v>0</v>
      </c>
      <c r="AN811" s="62">
        <v>0</v>
      </c>
      <c r="AO811" s="62"/>
      <c r="AP811" s="62">
        <v>0</v>
      </c>
      <c r="AQ811" s="62">
        <v>0</v>
      </c>
      <c r="AR811" s="62"/>
      <c r="AS811" s="62"/>
      <c r="AT811" s="62">
        <v>0</v>
      </c>
      <c r="AU811" s="62">
        <v>0</v>
      </c>
      <c r="AV811" s="62">
        <v>1041448.46</v>
      </c>
      <c r="AW811" s="62">
        <v>0</v>
      </c>
      <c r="AX811" s="62"/>
      <c r="AY811" s="62"/>
      <c r="AZ811" s="62"/>
      <c r="BA811" s="151"/>
      <c r="BB811" s="237">
        <f t="shared" si="201"/>
        <v>1</v>
      </c>
      <c r="BE811" s="5"/>
      <c r="BH811" s="5"/>
      <c r="BI811" s="5"/>
    </row>
    <row r="812" spans="1:61" ht="15.75" hidden="1">
      <c r="A812" s="234">
        <f t="shared" si="202"/>
        <v>787</v>
      </c>
      <c r="B812" s="101" t="s">
        <v>96</v>
      </c>
      <c r="C812" s="101" t="s">
        <v>355</v>
      </c>
      <c r="D812" s="101" t="s">
        <v>524</v>
      </c>
      <c r="E812" s="102">
        <v>1972</v>
      </c>
      <c r="F812" s="102">
        <v>2013</v>
      </c>
      <c r="G812" s="102" t="s">
        <v>3</v>
      </c>
      <c r="H812" s="102">
        <v>4</v>
      </c>
      <c r="I812" s="102">
        <v>1</v>
      </c>
      <c r="J812" s="62">
        <v>1401</v>
      </c>
      <c r="K812" s="62">
        <v>1155.5999999999999</v>
      </c>
      <c r="L812" s="62">
        <v>81.099999999999994</v>
      </c>
      <c r="M812" s="103">
        <v>60</v>
      </c>
      <c r="N812" s="28">
        <f t="shared" si="200"/>
        <v>1159525.4099999999</v>
      </c>
      <c r="O812" s="62"/>
      <c r="P812" s="62">
        <f t="shared" si="199"/>
        <v>0</v>
      </c>
      <c r="Q812" s="235"/>
      <c r="R812" s="235"/>
      <c r="S812" s="62"/>
      <c r="T812" s="236"/>
      <c r="U812" s="236"/>
      <c r="V812" s="28">
        <v>509348.07</v>
      </c>
      <c r="W812" s="235"/>
      <c r="X812" s="235"/>
      <c r="Y812" s="62">
        <v>650177.34</v>
      </c>
      <c r="Z812" s="235"/>
      <c r="AA812" s="235"/>
      <c r="AB812" s="62"/>
      <c r="AC812" s="62"/>
      <c r="AD812" s="62"/>
      <c r="AE812" s="62">
        <v>5399.2726339057099</v>
      </c>
      <c r="AF812" s="62">
        <v>1363.2830200640001</v>
      </c>
      <c r="AG812" s="33">
        <v>2024</v>
      </c>
      <c r="AH812" s="98">
        <v>590250.21</v>
      </c>
      <c r="AI812" s="5">
        <f>+(K812*12.71+L812*25.41)*12*0.85</f>
        <v>170833.95540000001</v>
      </c>
      <c r="AJ812" s="5">
        <f>+(K812*12.71+L812*25.41)*12*30</f>
        <v>6029433.7200000007</v>
      </c>
      <c r="AK812" s="5">
        <f t="shared" si="197"/>
        <v>1159525.4099999999</v>
      </c>
      <c r="AL812" s="28">
        <f>'Приложение №2'!E810</f>
        <v>0</v>
      </c>
      <c r="AM812" s="62">
        <v>0</v>
      </c>
      <c r="AN812" s="62">
        <v>0</v>
      </c>
      <c r="AO812" s="62"/>
      <c r="AP812" s="62">
        <v>0</v>
      </c>
      <c r="AQ812" s="62">
        <v>0</v>
      </c>
      <c r="AR812" s="62"/>
      <c r="AS812" s="62"/>
      <c r="AT812" s="62">
        <v>0</v>
      </c>
      <c r="AU812" s="62">
        <v>0</v>
      </c>
      <c r="AV812" s="62">
        <v>1047206.53</v>
      </c>
      <c r="AW812" s="62">
        <v>0</v>
      </c>
      <c r="AX812" s="62"/>
      <c r="AY812" s="62"/>
      <c r="AZ812" s="62"/>
      <c r="BA812" s="151"/>
      <c r="BB812" s="237">
        <f t="shared" si="201"/>
        <v>1</v>
      </c>
      <c r="BE812" s="5"/>
      <c r="BH812" s="5"/>
      <c r="BI812" s="5"/>
    </row>
    <row r="813" spans="1:61" ht="15.75" hidden="1">
      <c r="A813" s="234">
        <f t="shared" si="202"/>
        <v>788</v>
      </c>
      <c r="B813" s="101">
        <f>+B811+1</f>
        <v>284</v>
      </c>
      <c r="C813" s="101" t="s">
        <v>355</v>
      </c>
      <c r="D813" s="101" t="s">
        <v>357</v>
      </c>
      <c r="E813" s="102">
        <v>1973</v>
      </c>
      <c r="F813" s="102">
        <v>1973</v>
      </c>
      <c r="G813" s="102" t="s">
        <v>3</v>
      </c>
      <c r="H813" s="102">
        <v>4</v>
      </c>
      <c r="I813" s="102">
        <v>3</v>
      </c>
      <c r="J813" s="62">
        <v>1399</v>
      </c>
      <c r="K813" s="62">
        <v>1081.5999999999999</v>
      </c>
      <c r="L813" s="62">
        <v>197.9</v>
      </c>
      <c r="M813" s="103">
        <v>41</v>
      </c>
      <c r="N813" s="28">
        <f t="shared" si="200"/>
        <v>2599381.0700000003</v>
      </c>
      <c r="O813" s="62"/>
      <c r="P813" s="62">
        <f t="shared" si="199"/>
        <v>0</v>
      </c>
      <c r="Q813" s="236"/>
      <c r="R813" s="236"/>
      <c r="S813" s="62"/>
      <c r="T813" s="236"/>
      <c r="U813" s="236"/>
      <c r="V813" s="28">
        <v>174052.49</v>
      </c>
      <c r="W813" s="243"/>
      <c r="X813" s="243"/>
      <c r="Y813" s="28">
        <v>2425328.58</v>
      </c>
      <c r="Z813" s="244"/>
      <c r="AA813" s="244"/>
      <c r="AB813" s="28"/>
      <c r="AC813" s="28"/>
      <c r="AD813" s="28"/>
      <c r="AE813" s="62">
        <v>1627.7795214497</v>
      </c>
      <c r="AF813" s="62">
        <v>1361.2830200640001</v>
      </c>
      <c r="AG813" s="33">
        <v>2024</v>
      </c>
      <c r="AH813" s="18"/>
      <c r="AI813" s="5">
        <f>+(K813*12.71+L813*25.41)*12*0.85</f>
        <v>191512.905</v>
      </c>
      <c r="AJ813" s="5">
        <f>+(K813*12.71+L813*25.41)*12*30-[3]Лист1!$AQ$47</f>
        <v>3621200.6100000008</v>
      </c>
      <c r="AK813" s="5">
        <f t="shared" si="197"/>
        <v>2599381.0700000003</v>
      </c>
      <c r="AL813" s="28">
        <f>'Приложение №2'!E811</f>
        <v>0</v>
      </c>
      <c r="AM813" s="62"/>
      <c r="AN813" s="62"/>
      <c r="AO813" s="62">
        <v>1722929.35</v>
      </c>
      <c r="AP813" s="62">
        <v>0</v>
      </c>
      <c r="AQ813" s="62">
        <v>0</v>
      </c>
      <c r="AR813" s="62"/>
      <c r="AS813" s="62"/>
      <c r="AT813" s="62">
        <v>0</v>
      </c>
      <c r="AU813" s="62">
        <v>0</v>
      </c>
      <c r="AV813" s="62">
        <v>0</v>
      </c>
      <c r="AW813" s="62">
        <v>0</v>
      </c>
      <c r="AX813" s="62">
        <v>0</v>
      </c>
      <c r="AY813" s="62"/>
      <c r="AZ813" s="62"/>
      <c r="BA813" s="151"/>
      <c r="BB813" s="237">
        <f t="shared" si="201"/>
        <v>1</v>
      </c>
      <c r="BH813" s="5"/>
      <c r="BI813" s="5"/>
    </row>
    <row r="814" spans="1:61" ht="15.75" hidden="1">
      <c r="A814" s="234">
        <f t="shared" si="202"/>
        <v>789</v>
      </c>
      <c r="B814" s="101" t="s">
        <v>96</v>
      </c>
      <c r="C814" s="101" t="s">
        <v>355</v>
      </c>
      <c r="D814" s="101" t="s">
        <v>538</v>
      </c>
      <c r="E814" s="102">
        <v>1967</v>
      </c>
      <c r="F814" s="102">
        <v>1967</v>
      </c>
      <c r="G814" s="102" t="s">
        <v>3</v>
      </c>
      <c r="H814" s="102">
        <v>3</v>
      </c>
      <c r="I814" s="102">
        <v>2</v>
      </c>
      <c r="J814" s="62">
        <v>994.3</v>
      </c>
      <c r="K814" s="62">
        <v>775.2</v>
      </c>
      <c r="L814" s="62">
        <v>168.7</v>
      </c>
      <c r="M814" s="103">
        <v>26</v>
      </c>
      <c r="N814" s="28">
        <f t="shared" si="200"/>
        <v>1038651.6</v>
      </c>
      <c r="O814" s="62"/>
      <c r="P814" s="62">
        <f t="shared" si="199"/>
        <v>0</v>
      </c>
      <c r="Q814" s="236"/>
      <c r="R814" s="236"/>
      <c r="S814" s="62"/>
      <c r="T814" s="236"/>
      <c r="U814" s="236"/>
      <c r="V814" s="28"/>
      <c r="W814" s="235"/>
      <c r="X814" s="235"/>
      <c r="Y814" s="28">
        <v>1038651.6</v>
      </c>
      <c r="Z814" s="235"/>
      <c r="AA814" s="235"/>
      <c r="AB814" s="28"/>
      <c r="AC814" s="28"/>
      <c r="AD814" s="28"/>
      <c r="AE814" s="62">
        <v>1325.78203196453</v>
      </c>
      <c r="AF814" s="62">
        <v>1325.78203196453</v>
      </c>
      <c r="AG814" s="33">
        <v>2024</v>
      </c>
      <c r="AI814" s="5">
        <f>+(K814*12.71+L814*25.41)*12*0.85</f>
        <v>144222.48180000001</v>
      </c>
      <c r="AJ814" s="5">
        <f>+(K814*12.71+L814*25.41)*12*30-[3]Лист1!$AQ$56</f>
        <v>1075401.8600000003</v>
      </c>
      <c r="AK814" s="5">
        <f t="shared" si="197"/>
        <v>1038651.6</v>
      </c>
      <c r="AL814" s="28">
        <f>'Приложение №2'!E812</f>
        <v>0</v>
      </c>
      <c r="AM814" s="62"/>
      <c r="AN814" s="62"/>
      <c r="AO814" s="62"/>
      <c r="AP814" s="62">
        <v>341058.14</v>
      </c>
      <c r="AQ814" s="62">
        <v>0</v>
      </c>
      <c r="AR814" s="62"/>
      <c r="AS814" s="62"/>
      <c r="AT814" s="62">
        <v>0</v>
      </c>
      <c r="AU814" s="62"/>
      <c r="AV814" s="62">
        <v>0</v>
      </c>
      <c r="AW814" s="62"/>
      <c r="AX814" s="62"/>
      <c r="AY814" s="62"/>
      <c r="AZ814" s="62"/>
      <c r="BA814" s="151"/>
      <c r="BB814" s="237">
        <f t="shared" si="201"/>
        <v>1</v>
      </c>
      <c r="BE814" s="5"/>
      <c r="BH814" s="5"/>
      <c r="BI814" s="5"/>
    </row>
    <row r="815" spans="1:61" ht="15.75" hidden="1">
      <c r="A815" s="223"/>
      <c r="B815" s="224"/>
      <c r="C815" s="225"/>
      <c r="D815" s="133" t="s">
        <v>721</v>
      </c>
      <c r="E815" s="226"/>
      <c r="F815" s="226"/>
      <c r="G815" s="226"/>
      <c r="H815" s="226"/>
      <c r="I815" s="226"/>
      <c r="J815" s="227">
        <v>126843.29</v>
      </c>
      <c r="K815" s="227">
        <v>106815.56</v>
      </c>
      <c r="L815" s="227">
        <v>5968.94</v>
      </c>
      <c r="M815" s="227">
        <v>4030</v>
      </c>
      <c r="N815" s="230">
        <f t="shared" si="200"/>
        <v>139216419.05000001</v>
      </c>
      <c r="O815" s="230">
        <f>SUM(O816:O834)</f>
        <v>0</v>
      </c>
      <c r="P815" s="230">
        <f>SUM(P816:P834)</f>
        <v>0</v>
      </c>
      <c r="Q815" s="254"/>
      <c r="R815" s="254"/>
      <c r="S815" s="231">
        <f>SUM(S816:S834)</f>
        <v>0</v>
      </c>
      <c r="T815" s="231">
        <f>SUM(T816:T834)</f>
        <v>0</v>
      </c>
      <c r="U815" s="231">
        <f>SUM(U816:U834)</f>
        <v>0</v>
      </c>
      <c r="V815" s="231">
        <f>SUM(V816:V834)</f>
        <v>62940509.149999999</v>
      </c>
      <c r="W815" s="254"/>
      <c r="X815" s="254"/>
      <c r="Y815" s="231">
        <f>SUM(Y816:Y834)</f>
        <v>0</v>
      </c>
      <c r="Z815" s="254"/>
      <c r="AA815" s="254"/>
      <c r="AB815" s="231">
        <f>SUM(AB816:AB834)</f>
        <v>76275909.900000006</v>
      </c>
      <c r="AC815" s="231">
        <f>SUM(AC816:AC834)</f>
        <v>0</v>
      </c>
      <c r="AD815" s="231">
        <f>SUM(AD816:AD834)</f>
        <v>0</v>
      </c>
      <c r="AE815" s="230"/>
      <c r="AF815" s="230"/>
      <c r="AG815" s="232"/>
      <c r="AH815" s="155"/>
      <c r="AL815" s="246">
        <f>'Приложение №2'!E813</f>
        <v>0</v>
      </c>
      <c r="AM815" s="233">
        <f t="shared" ref="AM815:BA815" si="203">SUM(AM817:AM830)</f>
        <v>32127092.420000002</v>
      </c>
      <c r="AN815" s="233">
        <f t="shared" si="203"/>
        <v>15323179.09</v>
      </c>
      <c r="AO815" s="233">
        <f t="shared" si="203"/>
        <v>7448558.8900000006</v>
      </c>
      <c r="AP815" s="233">
        <f t="shared" si="203"/>
        <v>2208309.0099999998</v>
      </c>
      <c r="AQ815" s="233">
        <f t="shared" si="203"/>
        <v>0</v>
      </c>
      <c r="AR815" s="233">
        <f t="shared" si="203"/>
        <v>0</v>
      </c>
      <c r="AS815" s="233">
        <f t="shared" si="203"/>
        <v>0</v>
      </c>
      <c r="AT815" s="233">
        <f t="shared" si="203"/>
        <v>61325906.669999994</v>
      </c>
      <c r="AU815" s="233">
        <f t="shared" si="203"/>
        <v>4256351.5</v>
      </c>
      <c r="AV815" s="233">
        <f t="shared" si="203"/>
        <v>2000973</v>
      </c>
      <c r="AW815" s="233">
        <f t="shared" si="203"/>
        <v>7661130.5399999991</v>
      </c>
      <c r="AX815" s="233">
        <f t="shared" si="203"/>
        <v>0</v>
      </c>
      <c r="AY815" s="233">
        <f t="shared" si="203"/>
        <v>949584.48</v>
      </c>
      <c r="AZ815" s="233">
        <f t="shared" si="203"/>
        <v>116147.45</v>
      </c>
      <c r="BA815" s="233">
        <f t="shared" si="203"/>
        <v>0</v>
      </c>
      <c r="BB815" s="149"/>
      <c r="BE815" s="5"/>
    </row>
    <row r="816" spans="1:61" ht="15.75" hidden="1">
      <c r="A816" s="10">
        <f>A814+1</f>
        <v>790</v>
      </c>
      <c r="B816" s="12">
        <f>B813+1</f>
        <v>285</v>
      </c>
      <c r="C816" s="101" t="s">
        <v>702</v>
      </c>
      <c r="D816" s="101" t="s">
        <v>724</v>
      </c>
      <c r="E816" s="206">
        <v>1995</v>
      </c>
      <c r="F816" s="206"/>
      <c r="G816" s="206" t="s">
        <v>3</v>
      </c>
      <c r="H816" s="206">
        <v>5</v>
      </c>
      <c r="I816" s="206">
        <v>4</v>
      </c>
      <c r="J816" s="179">
        <v>6328.8</v>
      </c>
      <c r="K816" s="179">
        <v>5632.4</v>
      </c>
      <c r="L816" s="179">
        <v>0</v>
      </c>
      <c r="M816" s="103">
        <v>167</v>
      </c>
      <c r="N816" s="28">
        <f t="shared" si="200"/>
        <v>1500250</v>
      </c>
      <c r="O816" s="255"/>
      <c r="P816" s="255"/>
      <c r="Q816" s="256"/>
      <c r="R816" s="256"/>
      <c r="S816" s="255"/>
      <c r="T816" s="256"/>
      <c r="U816" s="256"/>
      <c r="V816" s="257">
        <v>1500250</v>
      </c>
      <c r="W816" s="258"/>
      <c r="X816" s="258"/>
      <c r="Y816" s="255"/>
      <c r="Z816" s="256"/>
      <c r="AA816" s="256"/>
      <c r="AB816" s="255"/>
      <c r="AC816" s="260"/>
      <c r="AD816" s="260"/>
      <c r="AE816" s="193">
        <v>266.36069881400499</v>
      </c>
      <c r="AF816" s="193">
        <v>266.36069881400499</v>
      </c>
      <c r="AG816" s="211">
        <v>2024</v>
      </c>
      <c r="AH816" s="155"/>
      <c r="AL816" s="246">
        <f>'Приложение №2'!E814</f>
        <v>0</v>
      </c>
      <c r="AM816" s="218"/>
      <c r="AN816" s="218"/>
      <c r="AO816" s="218"/>
      <c r="AP816" s="218"/>
      <c r="AQ816" s="218"/>
      <c r="AR816" s="218"/>
      <c r="AS816" s="218"/>
      <c r="AT816" s="218"/>
      <c r="AU816" s="218"/>
      <c r="AV816" s="218"/>
      <c r="AW816" s="177">
        <v>1500250</v>
      </c>
      <c r="AX816" s="218"/>
      <c r="AY816" s="218"/>
      <c r="AZ816" s="218"/>
      <c r="BA816" s="261"/>
      <c r="BB816" s="149"/>
    </row>
    <row r="817" spans="1:54" ht="15.75" hidden="1">
      <c r="A817" s="10">
        <f t="shared" ref="A817:A834" si="204">A816+1</f>
        <v>791</v>
      </c>
      <c r="B817" s="12">
        <f t="shared" ref="B817:B834" si="205">B816+1</f>
        <v>286</v>
      </c>
      <c r="C817" s="101" t="s">
        <v>702</v>
      </c>
      <c r="D817" s="101" t="s">
        <v>703</v>
      </c>
      <c r="E817" s="102">
        <v>1996</v>
      </c>
      <c r="F817" s="102">
        <v>1996</v>
      </c>
      <c r="G817" s="102" t="s">
        <v>3</v>
      </c>
      <c r="H817" s="102">
        <v>5</v>
      </c>
      <c r="I817" s="102">
        <v>3</v>
      </c>
      <c r="J817" s="62">
        <v>4938</v>
      </c>
      <c r="K817" s="62">
        <v>4205.3999999999996</v>
      </c>
      <c r="L817" s="62">
        <v>368.1</v>
      </c>
      <c r="M817" s="103">
        <v>144</v>
      </c>
      <c r="N817" s="28">
        <f t="shared" si="200"/>
        <v>25883294.729999997</v>
      </c>
      <c r="O817" s="62"/>
      <c r="P817" s="146"/>
      <c r="Q817" s="145"/>
      <c r="R817" s="145"/>
      <c r="S817" s="30"/>
      <c r="T817" s="31"/>
      <c r="U817" s="31"/>
      <c r="V817" s="146">
        <v>893007.83</v>
      </c>
      <c r="W817" s="145"/>
      <c r="X817" s="145"/>
      <c r="Y817" s="30">
        <v>0</v>
      </c>
      <c r="Z817" s="31"/>
      <c r="AA817" s="31"/>
      <c r="AB817" s="146">
        <v>24990286.899999999</v>
      </c>
      <c r="AC817" s="147"/>
      <c r="AD817" s="147"/>
      <c r="AE817" s="30">
        <v>6378.5574020888098</v>
      </c>
      <c r="AF817" s="30">
        <v>1183.2830200640001</v>
      </c>
      <c r="AG817" s="33">
        <v>2024</v>
      </c>
      <c r="AI817" s="5">
        <f>+(K817*10.5+L817*21)*12*0.85</f>
        <v>529245.36</v>
      </c>
      <c r="AK817" s="5">
        <f>+N817-AL817</f>
        <v>25883294.729999997</v>
      </c>
      <c r="AL817" s="246">
        <f>'Приложение №2'!E815</f>
        <v>0</v>
      </c>
      <c r="AM817" s="62">
        <v>14432823.300000001</v>
      </c>
      <c r="AN817" s="30">
        <v>7108989.1500000004</v>
      </c>
      <c r="AO817" s="30">
        <v>4341482.28</v>
      </c>
      <c r="AP817" s="30">
        <v>0</v>
      </c>
      <c r="AQ817" s="30">
        <v>0</v>
      </c>
      <c r="AR817" s="30">
        <v>0</v>
      </c>
      <c r="AS817" s="62"/>
      <c r="AT817" s="30">
        <v>0</v>
      </c>
      <c r="AU817" s="30">
        <v>0</v>
      </c>
      <c r="AV817" s="30">
        <v>0</v>
      </c>
      <c r="AW817" s="30">
        <v>0</v>
      </c>
      <c r="AX817" s="30">
        <v>0</v>
      </c>
      <c r="AY817" s="30"/>
      <c r="AZ817" s="30"/>
      <c r="BA817" s="148"/>
      <c r="BB817" s="149">
        <f>COUNTIF(AM817:AX817, "&gt;0")</f>
        <v>3</v>
      </c>
    </row>
    <row r="818" spans="1:54" ht="15.75" hidden="1">
      <c r="A818" s="10">
        <f t="shared" si="204"/>
        <v>792</v>
      </c>
      <c r="B818" s="12">
        <f t="shared" si="205"/>
        <v>287</v>
      </c>
      <c r="C818" s="101" t="s">
        <v>120</v>
      </c>
      <c r="D818" s="12" t="s">
        <v>704</v>
      </c>
      <c r="E818" s="102">
        <v>1986</v>
      </c>
      <c r="F818" s="102"/>
      <c r="G818" s="206" t="s">
        <v>3</v>
      </c>
      <c r="H818" s="102">
        <v>9</v>
      </c>
      <c r="I818" s="102">
        <v>1</v>
      </c>
      <c r="J818" s="62">
        <v>3166.9</v>
      </c>
      <c r="K818" s="62">
        <v>2687.51</v>
      </c>
      <c r="L818" s="62">
        <v>0</v>
      </c>
      <c r="M818" s="103">
        <v>93</v>
      </c>
      <c r="N818" s="28">
        <f t="shared" si="200"/>
        <v>2000973</v>
      </c>
      <c r="O818" s="62"/>
      <c r="P818" s="146"/>
      <c r="Q818" s="145"/>
      <c r="R818" s="145"/>
      <c r="S818" s="30"/>
      <c r="T818" s="31"/>
      <c r="U818" s="31"/>
      <c r="V818" s="30">
        <v>2000973</v>
      </c>
      <c r="W818" s="31"/>
      <c r="X818" s="31"/>
      <c r="Y818" s="30"/>
      <c r="Z818" s="31"/>
      <c r="AA818" s="31"/>
      <c r="AB818" s="146"/>
      <c r="AC818" s="210"/>
      <c r="AD818" s="210"/>
      <c r="AE818" s="193">
        <v>744.54532262205498</v>
      </c>
      <c r="AF818" s="193">
        <v>744.54532262205498</v>
      </c>
      <c r="AG818" s="33">
        <v>2024</v>
      </c>
      <c r="AL818" s="246">
        <f>'Приложение №2'!E816</f>
        <v>0</v>
      </c>
      <c r="AM818" s="62">
        <v>0</v>
      </c>
      <c r="AN818" s="30">
        <v>0</v>
      </c>
      <c r="AO818" s="30"/>
      <c r="AP818" s="30">
        <v>0</v>
      </c>
      <c r="AQ818" s="30">
        <v>0</v>
      </c>
      <c r="AR818" s="30"/>
      <c r="AS818" s="62"/>
      <c r="AT818" s="30">
        <v>0</v>
      </c>
      <c r="AU818" s="30">
        <v>0</v>
      </c>
      <c r="AV818" s="30">
        <v>2000973</v>
      </c>
      <c r="AW818" s="30">
        <v>0</v>
      </c>
      <c r="AX818" s="30">
        <v>0</v>
      </c>
      <c r="AY818" s="30"/>
      <c r="AZ818" s="30"/>
      <c r="BA818" s="156"/>
      <c r="BB818" s="149"/>
    </row>
    <row r="819" spans="1:54" ht="15.75" hidden="1">
      <c r="A819" s="10">
        <f t="shared" si="204"/>
        <v>793</v>
      </c>
      <c r="B819" s="12">
        <f t="shared" si="205"/>
        <v>288</v>
      </c>
      <c r="C819" s="101" t="s">
        <v>120</v>
      </c>
      <c r="D819" s="12" t="s">
        <v>705</v>
      </c>
      <c r="E819" s="102">
        <v>1986</v>
      </c>
      <c r="F819" s="102"/>
      <c r="G819" s="206" t="s">
        <v>3</v>
      </c>
      <c r="H819" s="102">
        <v>9</v>
      </c>
      <c r="I819" s="102">
        <v>1</v>
      </c>
      <c r="J819" s="62">
        <v>3133.7</v>
      </c>
      <c r="K819" s="62">
        <v>2674.7</v>
      </c>
      <c r="L819" s="62">
        <v>459</v>
      </c>
      <c r="M819" s="103">
        <v>106</v>
      </c>
      <c r="N819" s="28">
        <f t="shared" si="200"/>
        <v>1963777.32</v>
      </c>
      <c r="O819" s="62"/>
      <c r="P819" s="146"/>
      <c r="Q819" s="145"/>
      <c r="R819" s="145"/>
      <c r="S819" s="30"/>
      <c r="T819" s="31"/>
      <c r="U819" s="31"/>
      <c r="V819" s="30">
        <v>1963777.32</v>
      </c>
      <c r="W819" s="31"/>
      <c r="X819" s="31"/>
      <c r="Y819" s="30"/>
      <c r="Z819" s="31"/>
      <c r="AA819" s="31"/>
      <c r="AB819" s="146"/>
      <c r="AC819" s="210"/>
      <c r="AD819" s="210"/>
      <c r="AE819" s="193">
        <v>626.66410951909904</v>
      </c>
      <c r="AF819" s="193">
        <v>626.66410951909904</v>
      </c>
      <c r="AG819" s="33">
        <v>2024</v>
      </c>
      <c r="AL819" s="246">
        <f>'Приложение №2'!E817</f>
        <v>0</v>
      </c>
      <c r="AM819" s="62"/>
      <c r="AN819" s="30"/>
      <c r="AO819" s="30">
        <v>1963777.32</v>
      </c>
      <c r="AP819" s="30"/>
      <c r="AQ819" s="30"/>
      <c r="AR819" s="30"/>
      <c r="AS819" s="62"/>
      <c r="AT819" s="30"/>
      <c r="AU819" s="30"/>
      <c r="AV819" s="30"/>
      <c r="AW819" s="30"/>
      <c r="AX819" s="30"/>
      <c r="AY819" s="30"/>
      <c r="AZ819" s="30"/>
      <c r="BA819" s="156"/>
      <c r="BB819" s="149"/>
    </row>
    <row r="820" spans="1:54" ht="15.75" hidden="1">
      <c r="A820" s="10">
        <f t="shared" si="204"/>
        <v>794</v>
      </c>
      <c r="B820" s="12">
        <f t="shared" si="205"/>
        <v>289</v>
      </c>
      <c r="C820" s="101" t="s">
        <v>120</v>
      </c>
      <c r="D820" s="12" t="s">
        <v>706</v>
      </c>
      <c r="E820" s="102">
        <v>1992</v>
      </c>
      <c r="F820" s="102"/>
      <c r="G820" s="206" t="s">
        <v>3</v>
      </c>
      <c r="H820" s="102">
        <v>9</v>
      </c>
      <c r="I820" s="102">
        <v>1</v>
      </c>
      <c r="J820" s="62">
        <v>2853.9</v>
      </c>
      <c r="K820" s="62">
        <v>2392.6</v>
      </c>
      <c r="L820" s="62">
        <v>387.3</v>
      </c>
      <c r="M820" s="103">
        <v>81</v>
      </c>
      <c r="N820" s="28">
        <f t="shared" si="200"/>
        <v>1143299.29</v>
      </c>
      <c r="O820" s="62"/>
      <c r="P820" s="146"/>
      <c r="Q820" s="145"/>
      <c r="R820" s="145"/>
      <c r="S820" s="30"/>
      <c r="T820" s="31"/>
      <c r="U820" s="31"/>
      <c r="V820" s="30">
        <v>1143299.29</v>
      </c>
      <c r="W820" s="31"/>
      <c r="X820" s="31"/>
      <c r="Y820" s="30"/>
      <c r="Z820" s="31"/>
      <c r="AA820" s="31"/>
      <c r="AB820" s="146"/>
      <c r="AC820" s="210"/>
      <c r="AD820" s="210"/>
      <c r="AE820" s="193">
        <v>411.27353142199399</v>
      </c>
      <c r="AF820" s="193">
        <v>411.27353142199399</v>
      </c>
      <c r="AG820" s="33">
        <v>2024</v>
      </c>
      <c r="AL820" s="246">
        <f>'Приложение №2'!E818</f>
        <v>0</v>
      </c>
      <c r="AM820" s="62"/>
      <c r="AN820" s="30">
        <v>0</v>
      </c>
      <c r="AO820" s="30">
        <v>1143299.29</v>
      </c>
      <c r="AP820" s="30">
        <v>0</v>
      </c>
      <c r="AQ820" s="30">
        <v>0</v>
      </c>
      <c r="AR820" s="30"/>
      <c r="AS820" s="62"/>
      <c r="AT820" s="30">
        <v>0</v>
      </c>
      <c r="AU820" s="30">
        <v>0</v>
      </c>
      <c r="AV820" s="30">
        <v>0</v>
      </c>
      <c r="AW820" s="30">
        <v>0</v>
      </c>
      <c r="AX820" s="30">
        <v>0</v>
      </c>
      <c r="AY820" s="30"/>
      <c r="AZ820" s="30"/>
      <c r="BA820" s="156"/>
      <c r="BB820" s="149"/>
    </row>
    <row r="821" spans="1:54" ht="15.75" hidden="1">
      <c r="A821" s="10">
        <f t="shared" si="204"/>
        <v>795</v>
      </c>
      <c r="B821" s="12">
        <f t="shared" si="205"/>
        <v>290</v>
      </c>
      <c r="C821" s="101" t="s">
        <v>120</v>
      </c>
      <c r="D821" s="101" t="s">
        <v>707</v>
      </c>
      <c r="E821" s="102">
        <v>1991</v>
      </c>
      <c r="F821" s="102">
        <v>2007</v>
      </c>
      <c r="G821" s="102" t="s">
        <v>3</v>
      </c>
      <c r="H821" s="102">
        <v>9</v>
      </c>
      <c r="I821" s="102">
        <v>5</v>
      </c>
      <c r="J821" s="62">
        <v>17171.8</v>
      </c>
      <c r="K821" s="62">
        <v>14372.9</v>
      </c>
      <c r="L821" s="62">
        <v>1885.6</v>
      </c>
      <c r="M821" s="103">
        <v>500</v>
      </c>
      <c r="N821" s="28">
        <f t="shared" si="200"/>
        <v>17956800</v>
      </c>
      <c r="O821" s="62"/>
      <c r="P821" s="146"/>
      <c r="Q821" s="145"/>
      <c r="R821" s="145"/>
      <c r="S821" s="30"/>
      <c r="T821" s="31"/>
      <c r="U821" s="31"/>
      <c r="V821" s="146">
        <v>10240482.560000001</v>
      </c>
      <c r="W821" s="145"/>
      <c r="X821" s="145"/>
      <c r="Y821" s="146">
        <v>0</v>
      </c>
      <c r="Z821" s="145"/>
      <c r="AA821" s="145"/>
      <c r="AB821" s="146">
        <v>7716317.4400000004</v>
      </c>
      <c r="AC821" s="147"/>
      <c r="AD821" s="147"/>
      <c r="AE821" s="30">
        <v>1249.3512095680101</v>
      </c>
      <c r="AF821" s="30">
        <v>1202.2830200640001</v>
      </c>
      <c r="AG821" s="33">
        <v>2024</v>
      </c>
      <c r="AI821" s="5">
        <f>+(K821*15.35+L821*26.02)*12*0.85</f>
        <v>2750810.7353999997</v>
      </c>
      <c r="AK821" s="5">
        <f>+N821-AL821</f>
        <v>17956800</v>
      </c>
      <c r="AL821" s="246">
        <f>'Приложение №2'!E819</f>
        <v>0</v>
      </c>
      <c r="AM821" s="62"/>
      <c r="AN821" s="30"/>
      <c r="AO821" s="30"/>
      <c r="AP821" s="30"/>
      <c r="AQ821" s="30"/>
      <c r="AR821" s="30"/>
      <c r="AS821" s="62"/>
      <c r="AT821" s="30">
        <v>17956800</v>
      </c>
      <c r="AU821" s="30"/>
      <c r="AV821" s="30"/>
      <c r="AW821" s="30"/>
      <c r="AX821" s="30"/>
      <c r="AY821" s="30"/>
      <c r="AZ821" s="30"/>
      <c r="BA821" s="156"/>
      <c r="BB821" s="149">
        <f>COUNTIF(AM821:AX821, "&gt;0")</f>
        <v>1</v>
      </c>
    </row>
    <row r="822" spans="1:54" ht="15.75" hidden="1">
      <c r="A822" s="10">
        <f t="shared" si="204"/>
        <v>796</v>
      </c>
      <c r="B822" s="12">
        <f t="shared" si="205"/>
        <v>291</v>
      </c>
      <c r="C822" s="101" t="s">
        <v>120</v>
      </c>
      <c r="D822" s="101" t="s">
        <v>708</v>
      </c>
      <c r="E822" s="102">
        <v>1992</v>
      </c>
      <c r="F822" s="102">
        <v>2008</v>
      </c>
      <c r="G822" s="102" t="s">
        <v>3</v>
      </c>
      <c r="H822" s="102">
        <v>9</v>
      </c>
      <c r="I822" s="102">
        <v>5</v>
      </c>
      <c r="J822" s="62">
        <v>17240</v>
      </c>
      <c r="K822" s="62">
        <v>14691.6</v>
      </c>
      <c r="L822" s="62">
        <v>793.1</v>
      </c>
      <c r="M822" s="103">
        <v>518</v>
      </c>
      <c r="N822" s="28">
        <f t="shared" si="200"/>
        <v>28379298.949999996</v>
      </c>
      <c r="O822" s="62"/>
      <c r="P822" s="146"/>
      <c r="Q822" s="145"/>
      <c r="R822" s="145"/>
      <c r="S822" s="30"/>
      <c r="T822" s="31"/>
      <c r="U822" s="31"/>
      <c r="V822" s="146">
        <v>18171770.829999998</v>
      </c>
      <c r="W822" s="145"/>
      <c r="X822" s="145"/>
      <c r="Y822" s="146">
        <v>0</v>
      </c>
      <c r="Z822" s="145"/>
      <c r="AA822" s="145"/>
      <c r="AB822" s="146">
        <v>10207528.119999999</v>
      </c>
      <c r="AC822" s="147"/>
      <c r="AD822" s="147"/>
      <c r="AE822" s="30">
        <v>1222.2494486645401</v>
      </c>
      <c r="AF822" s="30">
        <v>1203.2830200640001</v>
      </c>
      <c r="AG822" s="33">
        <v>2024</v>
      </c>
      <c r="AH822" s="1">
        <v>620</v>
      </c>
      <c r="AI822" s="5">
        <f>+(K822*15.35+L822*26.02)*12*0.85</f>
        <v>2510755.7243999997</v>
      </c>
      <c r="AK822" s="5">
        <f>+N822-AL822</f>
        <v>28379298.949999996</v>
      </c>
      <c r="AL822" s="246">
        <f>'Приложение №2'!E820</f>
        <v>0</v>
      </c>
      <c r="AM822" s="62"/>
      <c r="AN822" s="30">
        <v>8214189.9400000004</v>
      </c>
      <c r="AO822" s="30"/>
      <c r="AP822" s="30">
        <v>2208309.0099999998</v>
      </c>
      <c r="AQ822" s="30"/>
      <c r="AR822" s="30"/>
      <c r="AS822" s="62"/>
      <c r="AT822" s="30">
        <v>17956800</v>
      </c>
      <c r="AU822" s="30"/>
      <c r="AV822" s="30"/>
      <c r="AW822" s="30"/>
      <c r="AX822" s="30"/>
      <c r="AY822" s="30"/>
      <c r="AZ822" s="30"/>
      <c r="BA822" s="156"/>
      <c r="BB822" s="149">
        <f>COUNTIF(AM822:AX822, "&gt;0")</f>
        <v>3</v>
      </c>
    </row>
    <row r="823" spans="1:54" ht="15.75" hidden="1">
      <c r="A823" s="10">
        <f t="shared" si="204"/>
        <v>797</v>
      </c>
      <c r="B823" s="12">
        <f t="shared" si="205"/>
        <v>292</v>
      </c>
      <c r="C823" s="101" t="s">
        <v>709</v>
      </c>
      <c r="D823" s="101" t="s">
        <v>710</v>
      </c>
      <c r="E823" s="102">
        <v>1994</v>
      </c>
      <c r="F823" s="102">
        <v>1994</v>
      </c>
      <c r="G823" s="102" t="s">
        <v>3</v>
      </c>
      <c r="H823" s="102">
        <v>10</v>
      </c>
      <c r="I823" s="102">
        <v>1</v>
      </c>
      <c r="J823" s="62">
        <v>4860.7</v>
      </c>
      <c r="K823" s="62">
        <v>4172.3999999999996</v>
      </c>
      <c r="L823" s="62">
        <v>0</v>
      </c>
      <c r="M823" s="103">
        <v>162</v>
      </c>
      <c r="N823" s="28">
        <f t="shared" si="200"/>
        <v>7085527.9299999997</v>
      </c>
      <c r="O823" s="62"/>
      <c r="P823" s="146"/>
      <c r="Q823" s="145"/>
      <c r="R823" s="145"/>
      <c r="S823" s="30"/>
      <c r="T823" s="31"/>
      <c r="U823" s="31"/>
      <c r="V823" s="221">
        <v>7085527.9299999997</v>
      </c>
      <c r="W823" s="191"/>
      <c r="X823" s="191"/>
      <c r="Y823" s="146"/>
      <c r="Z823" s="145"/>
      <c r="AA823" s="145"/>
      <c r="AB823" s="146"/>
      <c r="AC823" s="147"/>
      <c r="AD823" s="147"/>
      <c r="AE823" s="30">
        <v>1023.64346658997</v>
      </c>
      <c r="AF823" s="30">
        <v>1210.2830200640001</v>
      </c>
      <c r="AG823" s="33">
        <v>2024</v>
      </c>
      <c r="AI823" s="5">
        <f>+(K823*15.35+L823*26.02)*12*0.85</f>
        <v>653272.66799999995</v>
      </c>
      <c r="AK823" s="5">
        <f>+N823-AL823</f>
        <v>7085527.9299999997</v>
      </c>
      <c r="AL823" s="246">
        <f>'Приложение №2'!E821</f>
        <v>0</v>
      </c>
      <c r="AM823" s="62"/>
      <c r="AN823" s="30"/>
      <c r="AO823" s="30"/>
      <c r="AP823" s="30"/>
      <c r="AQ823" s="30"/>
      <c r="AR823" s="30"/>
      <c r="AS823" s="62"/>
      <c r="AT823" s="146">
        <v>2704312.41</v>
      </c>
      <c r="AU823" s="30">
        <v>4256351.5</v>
      </c>
      <c r="AV823" s="30"/>
      <c r="AW823" s="30"/>
      <c r="AX823" s="30"/>
      <c r="AY823" s="146">
        <v>110716.57</v>
      </c>
      <c r="AZ823" s="146">
        <v>14147.45</v>
      </c>
      <c r="BA823" s="148"/>
      <c r="BB823" s="149">
        <f>COUNTIF(AM823:AX823, "&gt;0")</f>
        <v>2</v>
      </c>
    </row>
    <row r="824" spans="1:54" ht="15.75" hidden="1">
      <c r="A824" s="10">
        <f t="shared" si="204"/>
        <v>798</v>
      </c>
      <c r="B824" s="12">
        <f t="shared" si="205"/>
        <v>293</v>
      </c>
      <c r="C824" s="101" t="s">
        <v>120</v>
      </c>
      <c r="D824" s="101" t="s">
        <v>711</v>
      </c>
      <c r="E824" s="102">
        <v>1994</v>
      </c>
      <c r="F824" s="102">
        <v>2005</v>
      </c>
      <c r="G824" s="102" t="s">
        <v>3</v>
      </c>
      <c r="H824" s="102">
        <v>10</v>
      </c>
      <c r="I824" s="102">
        <v>1</v>
      </c>
      <c r="J824" s="62">
        <v>3221.8</v>
      </c>
      <c r="K824" s="62">
        <v>2772.9</v>
      </c>
      <c r="L824" s="62">
        <v>0</v>
      </c>
      <c r="M824" s="103">
        <v>100</v>
      </c>
      <c r="N824" s="28">
        <f t="shared" si="200"/>
        <v>3517263.77</v>
      </c>
      <c r="O824" s="62"/>
      <c r="P824" s="146"/>
      <c r="Q824" s="145"/>
      <c r="R824" s="145"/>
      <c r="S824" s="30"/>
      <c r="T824" s="31"/>
      <c r="U824" s="31"/>
      <c r="V824" s="146">
        <v>1683337.51</v>
      </c>
      <c r="W824" s="145"/>
      <c r="X824" s="145"/>
      <c r="Y824" s="146">
        <v>0</v>
      </c>
      <c r="Z824" s="145"/>
      <c r="AA824" s="145"/>
      <c r="AB824" s="146">
        <v>1833926.26</v>
      </c>
      <c r="AC824" s="147"/>
      <c r="AD824" s="147"/>
      <c r="AE824" s="30">
        <v>1295.1639078221399</v>
      </c>
      <c r="AF824" s="30">
        <v>1215.2830200640001</v>
      </c>
      <c r="AG824" s="33">
        <v>2024</v>
      </c>
      <c r="AI824" s="5">
        <f>+(K824*15.35+L824*26.02)*12*0.85</f>
        <v>434152.95299999998</v>
      </c>
      <c r="AK824" s="5">
        <f>+N824-AL824</f>
        <v>3517263.77</v>
      </c>
      <c r="AL824" s="246">
        <f>'Приложение №2'!E822</f>
        <v>0</v>
      </c>
      <c r="AM824" s="62"/>
      <c r="AN824" s="30"/>
      <c r="AO824" s="30"/>
      <c r="AP824" s="30"/>
      <c r="AQ824" s="30"/>
      <c r="AR824" s="30"/>
      <c r="AS824" s="62"/>
      <c r="AT824" s="30">
        <v>3388344.65</v>
      </c>
      <c r="AU824" s="30"/>
      <c r="AV824" s="30"/>
      <c r="AW824" s="30"/>
      <c r="AX824" s="30"/>
      <c r="AY824" s="30">
        <v>104919.12</v>
      </c>
      <c r="AZ824" s="30">
        <v>24000</v>
      </c>
      <c r="BA824" s="148"/>
      <c r="BB824" s="149">
        <f>COUNTIF(AM824:AX824, "&gt;0")</f>
        <v>1</v>
      </c>
    </row>
    <row r="825" spans="1:54" ht="15.75" hidden="1">
      <c r="A825" s="10">
        <f t="shared" si="204"/>
        <v>799</v>
      </c>
      <c r="B825" s="12">
        <f t="shared" si="205"/>
        <v>294</v>
      </c>
      <c r="C825" s="101" t="s">
        <v>120</v>
      </c>
      <c r="D825" s="12" t="s">
        <v>712</v>
      </c>
      <c r="E825" s="102">
        <v>1989</v>
      </c>
      <c r="F825" s="102"/>
      <c r="G825" s="206" t="s">
        <v>3</v>
      </c>
      <c r="H825" s="102">
        <v>9</v>
      </c>
      <c r="I825" s="102">
        <v>1</v>
      </c>
      <c r="J825" s="62">
        <v>3177.2</v>
      </c>
      <c r="K825" s="62">
        <v>2634</v>
      </c>
      <c r="L825" s="62">
        <v>187.2</v>
      </c>
      <c r="M825" s="103">
        <v>108</v>
      </c>
      <c r="N825" s="28">
        <f t="shared" si="200"/>
        <v>2567769.61</v>
      </c>
      <c r="O825" s="62"/>
      <c r="P825" s="146"/>
      <c r="Q825" s="145"/>
      <c r="R825" s="145"/>
      <c r="S825" s="30"/>
      <c r="T825" s="31"/>
      <c r="U825" s="31"/>
      <c r="V825" s="30">
        <v>2567769.61</v>
      </c>
      <c r="W825" s="31"/>
      <c r="X825" s="31"/>
      <c r="Y825" s="146"/>
      <c r="Z825" s="145"/>
      <c r="AA825" s="145"/>
      <c r="AB825" s="146"/>
      <c r="AC825" s="210"/>
      <c r="AD825" s="210"/>
      <c r="AE825" s="193">
        <v>910.169293208564</v>
      </c>
      <c r="AF825" s="193">
        <v>910.169293208564</v>
      </c>
      <c r="AG825" s="33">
        <v>2024</v>
      </c>
      <c r="AL825" s="246">
        <f>'Приложение №2'!E823</f>
        <v>0</v>
      </c>
      <c r="AM825" s="62"/>
      <c r="AN825" s="30"/>
      <c r="AO825" s="30"/>
      <c r="AP825" s="30"/>
      <c r="AQ825" s="30">
        <v>0</v>
      </c>
      <c r="AR825" s="30"/>
      <c r="AS825" s="62"/>
      <c r="AT825" s="30">
        <v>0</v>
      </c>
      <c r="AU825" s="30">
        <v>0</v>
      </c>
      <c r="AV825" s="30"/>
      <c r="AW825" s="30">
        <v>2567769.61</v>
      </c>
      <c r="AX825" s="30">
        <v>0</v>
      </c>
      <c r="AY825" s="30"/>
      <c r="AZ825" s="30"/>
      <c r="BA825" s="156"/>
      <c r="BB825" s="149"/>
    </row>
    <row r="826" spans="1:54" ht="15.75" hidden="1">
      <c r="A826" s="10">
        <f t="shared" si="204"/>
        <v>800</v>
      </c>
      <c r="B826" s="12">
        <f t="shared" si="205"/>
        <v>295</v>
      </c>
      <c r="C826" s="101" t="s">
        <v>120</v>
      </c>
      <c r="D826" s="12" t="s">
        <v>713</v>
      </c>
      <c r="E826" s="102">
        <v>1984</v>
      </c>
      <c r="F826" s="102"/>
      <c r="G826" s="206" t="s">
        <v>3</v>
      </c>
      <c r="H826" s="102">
        <v>5</v>
      </c>
      <c r="I826" s="102">
        <v>9</v>
      </c>
      <c r="J826" s="62">
        <v>10740.2</v>
      </c>
      <c r="K826" s="62">
        <v>8904.5</v>
      </c>
      <c r="L826" s="62">
        <v>0</v>
      </c>
      <c r="M826" s="103">
        <v>402</v>
      </c>
      <c r="N826" s="28">
        <f t="shared" si="200"/>
        <v>5093360.93</v>
      </c>
      <c r="O826" s="62"/>
      <c r="P826" s="146"/>
      <c r="Q826" s="145"/>
      <c r="R826" s="145"/>
      <c r="S826" s="30"/>
      <c r="T826" s="31"/>
      <c r="U826" s="31"/>
      <c r="V826" s="30">
        <v>5093360.93</v>
      </c>
      <c r="W826" s="31"/>
      <c r="X826" s="31"/>
      <c r="Y826" s="146"/>
      <c r="Z826" s="145"/>
      <c r="AA826" s="145"/>
      <c r="AB826" s="146"/>
      <c r="AC826" s="147"/>
      <c r="AD826" s="147"/>
      <c r="AE826" s="193">
        <v>571.99853220281898</v>
      </c>
      <c r="AF826" s="193">
        <v>571.99853220281898</v>
      </c>
      <c r="AG826" s="33">
        <v>2024</v>
      </c>
      <c r="AL826" s="246">
        <f>'Приложение №2'!E824</f>
        <v>0</v>
      </c>
      <c r="AM826" s="62"/>
      <c r="AN826" s="30"/>
      <c r="AO826" s="30"/>
      <c r="AP826" s="30"/>
      <c r="AQ826" s="30"/>
      <c r="AR826" s="30"/>
      <c r="AS826" s="62"/>
      <c r="AT826" s="30"/>
      <c r="AU826" s="30"/>
      <c r="AV826" s="30"/>
      <c r="AW826" s="30">
        <v>5093360.93</v>
      </c>
      <c r="AX826" s="30"/>
      <c r="AY826" s="30"/>
      <c r="AZ826" s="30"/>
      <c r="BA826" s="156"/>
      <c r="BB826" s="149"/>
    </row>
    <row r="827" spans="1:54" ht="15.75" hidden="1">
      <c r="A827" s="10">
        <f t="shared" si="204"/>
        <v>801</v>
      </c>
      <c r="B827" s="12">
        <f t="shared" si="205"/>
        <v>296</v>
      </c>
      <c r="C827" s="101" t="s">
        <v>714</v>
      </c>
      <c r="D827" s="101" t="s">
        <v>715</v>
      </c>
      <c r="E827" s="102">
        <v>1993</v>
      </c>
      <c r="F827" s="102" t="s">
        <v>716</v>
      </c>
      <c r="G827" s="102" t="s">
        <v>3</v>
      </c>
      <c r="H827" s="102">
        <v>9</v>
      </c>
      <c r="I827" s="102">
        <v>3</v>
      </c>
      <c r="J827" s="62">
        <v>10078.200000000001</v>
      </c>
      <c r="K827" s="62">
        <v>8569.9</v>
      </c>
      <c r="L827" s="62">
        <v>245.1</v>
      </c>
      <c r="M827" s="103">
        <v>295</v>
      </c>
      <c r="N827" s="28">
        <f t="shared" si="200"/>
        <v>9581814.5999999996</v>
      </c>
      <c r="O827" s="62"/>
      <c r="P827" s="146"/>
      <c r="Q827" s="145"/>
      <c r="R827" s="145"/>
      <c r="S827" s="30"/>
      <c r="T827" s="31"/>
      <c r="U827" s="31"/>
      <c r="V827" s="146">
        <v>1280989.54</v>
      </c>
      <c r="W827" s="145"/>
      <c r="X827" s="145"/>
      <c r="Y827" s="146">
        <v>0</v>
      </c>
      <c r="Z827" s="247"/>
      <c r="AA827" s="247"/>
      <c r="AB827" s="5">
        <v>8300825.0599999996</v>
      </c>
      <c r="AC827" s="147"/>
      <c r="AD827" s="147"/>
      <c r="AE827" s="30">
        <v>1141.2035146267799</v>
      </c>
      <c r="AF827" s="30">
        <v>1245.2830200640001</v>
      </c>
      <c r="AG827" s="33">
        <v>2024</v>
      </c>
      <c r="AH827" s="98"/>
      <c r="AI827" s="5">
        <f>+(K827*15.35+L827*26.02)*12*0.85</f>
        <v>1406839.7634000001</v>
      </c>
      <c r="AK827" s="5">
        <f>+N827-AL827</f>
        <v>9581814.5999999996</v>
      </c>
      <c r="AL827" s="246">
        <f>'Приложение №2'!E825</f>
        <v>0</v>
      </c>
      <c r="AM827" s="62"/>
      <c r="AN827" s="30"/>
      <c r="AO827" s="30"/>
      <c r="AP827" s="30"/>
      <c r="AQ827" s="30"/>
      <c r="AR827" s="30"/>
      <c r="AS827" s="62"/>
      <c r="AT827" s="30">
        <v>9062814.5999999996</v>
      </c>
      <c r="AU827" s="30"/>
      <c r="AV827" s="30"/>
      <c r="AW827" s="30"/>
      <c r="AX827" s="30"/>
      <c r="AY827" s="30">
        <v>489000</v>
      </c>
      <c r="AZ827" s="30">
        <v>30000</v>
      </c>
      <c r="BA827" s="148"/>
      <c r="BB827" s="149">
        <f>COUNTIF(AM827:AX827, "&gt;0")</f>
        <v>1</v>
      </c>
    </row>
    <row r="828" spans="1:54" ht="15.75" hidden="1">
      <c r="A828" s="10">
        <f t="shared" si="204"/>
        <v>802</v>
      </c>
      <c r="B828" s="12">
        <f t="shared" si="205"/>
        <v>297</v>
      </c>
      <c r="C828" s="101" t="s">
        <v>120</v>
      </c>
      <c r="D828" s="101" t="s">
        <v>717</v>
      </c>
      <c r="E828" s="102">
        <v>1993</v>
      </c>
      <c r="F828" s="102">
        <v>2007</v>
      </c>
      <c r="G828" s="102" t="s">
        <v>3</v>
      </c>
      <c r="H828" s="102">
        <v>9</v>
      </c>
      <c r="I828" s="102">
        <v>1</v>
      </c>
      <c r="J828" s="62">
        <v>2855.54</v>
      </c>
      <c r="K828" s="62">
        <v>2487.9</v>
      </c>
      <c r="L828" s="62">
        <v>367.64</v>
      </c>
      <c r="M828" s="103">
        <v>94</v>
      </c>
      <c r="N828" s="28">
        <f t="shared" si="200"/>
        <v>3517263.77</v>
      </c>
      <c r="O828" s="62"/>
      <c r="P828" s="146"/>
      <c r="Q828" s="145"/>
      <c r="R828" s="145"/>
      <c r="S828" s="30"/>
      <c r="T828" s="31"/>
      <c r="U828" s="31"/>
      <c r="V828" s="146">
        <v>1390815.35</v>
      </c>
      <c r="W828" s="145"/>
      <c r="X828" s="145"/>
      <c r="Y828" s="146">
        <v>0</v>
      </c>
      <c r="Z828" s="145"/>
      <c r="AA828" s="145"/>
      <c r="AB828" s="146">
        <v>2126448.42</v>
      </c>
      <c r="AC828" s="147"/>
      <c r="AD828" s="147"/>
      <c r="AE828" s="30">
        <v>1443.5306885325001</v>
      </c>
      <c r="AF828" s="30">
        <v>1247.2830200640001</v>
      </c>
      <c r="AG828" s="33">
        <v>2024</v>
      </c>
      <c r="AI828" s="5">
        <f>+(K828*15.35+L828*26.02)*12*0.85</f>
        <v>487103.62956000003</v>
      </c>
      <c r="AK828" s="5">
        <f>+N828-AL828</f>
        <v>3517263.77</v>
      </c>
      <c r="AL828" s="246">
        <f>'Приложение №2'!E826</f>
        <v>0</v>
      </c>
      <c r="AM828" s="62"/>
      <c r="AN828" s="30"/>
      <c r="AO828" s="30"/>
      <c r="AP828" s="30"/>
      <c r="AQ828" s="30"/>
      <c r="AR828" s="30"/>
      <c r="AS828" s="62"/>
      <c r="AT828" s="30">
        <v>3388344.65</v>
      </c>
      <c r="AU828" s="30"/>
      <c r="AV828" s="30"/>
      <c r="AW828" s="30"/>
      <c r="AX828" s="30"/>
      <c r="AY828" s="30">
        <v>104919.12</v>
      </c>
      <c r="AZ828" s="30">
        <v>24000</v>
      </c>
      <c r="BA828" s="148"/>
      <c r="BB828" s="149">
        <f>COUNTIF(AM828:AX828, "&gt;0")</f>
        <v>1</v>
      </c>
    </row>
    <row r="829" spans="1:54" s="142" customFormat="1" ht="15.75" hidden="1">
      <c r="A829" s="10">
        <f t="shared" si="204"/>
        <v>803</v>
      </c>
      <c r="B829" s="12">
        <f t="shared" si="205"/>
        <v>298</v>
      </c>
      <c r="C829" s="101" t="s">
        <v>120</v>
      </c>
      <c r="D829" s="101" t="s">
        <v>718</v>
      </c>
      <c r="E829" s="102" t="s">
        <v>222</v>
      </c>
      <c r="F829" s="102"/>
      <c r="G829" s="102" t="s">
        <v>3</v>
      </c>
      <c r="H829" s="102" t="s">
        <v>174</v>
      </c>
      <c r="I829" s="102" t="s">
        <v>27</v>
      </c>
      <c r="J829" s="62">
        <v>7245.1</v>
      </c>
      <c r="K829" s="62">
        <v>6191.5</v>
      </c>
      <c r="L829" s="62">
        <v>105</v>
      </c>
      <c r="M829" s="103">
        <v>262</v>
      </c>
      <c r="N829" s="28">
        <f t="shared" si="200"/>
        <v>7032520.0300000003</v>
      </c>
      <c r="O829" s="62">
        <v>0</v>
      </c>
      <c r="P829" s="146"/>
      <c r="Q829" s="145"/>
      <c r="R829" s="145"/>
      <c r="S829" s="30"/>
      <c r="T829" s="31"/>
      <c r="U829" s="31"/>
      <c r="V829" s="146">
        <v>2531984.92</v>
      </c>
      <c r="W829" s="145"/>
      <c r="X829" s="145"/>
      <c r="Y829" s="146">
        <v>0</v>
      </c>
      <c r="Z829" s="145"/>
      <c r="AA829" s="145"/>
      <c r="AB829" s="146">
        <v>4500535.1100000003</v>
      </c>
      <c r="AC829" s="147"/>
      <c r="AD829" s="147"/>
      <c r="AE829" s="30">
        <v>1160.09367681499</v>
      </c>
      <c r="AF829" s="30">
        <v>1248.2830200640001</v>
      </c>
      <c r="AG829" s="33">
        <v>2024</v>
      </c>
      <c r="AI829" s="5">
        <f>+(K829*15.35+L829*26.02)*12*0.85</f>
        <v>997270.57499999995</v>
      </c>
      <c r="AJ829" s="5"/>
      <c r="AK829" s="5">
        <f>+N829-AL829</f>
        <v>7032520.0300000003</v>
      </c>
      <c r="AL829" s="246">
        <f>'Приложение №2'!E827</f>
        <v>0</v>
      </c>
      <c r="AM829" s="62"/>
      <c r="AN829" s="30"/>
      <c r="AO829" s="30"/>
      <c r="AP829" s="30"/>
      <c r="AQ829" s="30"/>
      <c r="AR829" s="30"/>
      <c r="AS829" s="62"/>
      <c r="AT829" s="30">
        <v>6868490.3600000003</v>
      </c>
      <c r="AU829" s="30"/>
      <c r="AV829" s="30"/>
      <c r="AW829" s="30"/>
      <c r="AX829" s="30"/>
      <c r="AY829" s="30">
        <v>140029.67000000001</v>
      </c>
      <c r="AZ829" s="30">
        <v>24000</v>
      </c>
      <c r="BA829" s="148"/>
      <c r="BB829" s="149">
        <f>COUNTIF(AM829:AX829, "&gt;0")</f>
        <v>1</v>
      </c>
    </row>
    <row r="830" spans="1:54" ht="15.75" hidden="1">
      <c r="A830" s="10">
        <f t="shared" si="204"/>
        <v>804</v>
      </c>
      <c r="B830" s="12">
        <f t="shared" si="205"/>
        <v>299</v>
      </c>
      <c r="C830" s="101" t="s">
        <v>120</v>
      </c>
      <c r="D830" s="101" t="s">
        <v>184</v>
      </c>
      <c r="E830" s="102">
        <v>1995</v>
      </c>
      <c r="F830" s="102">
        <v>2007</v>
      </c>
      <c r="G830" s="102" t="s">
        <v>3</v>
      </c>
      <c r="H830" s="102">
        <v>9</v>
      </c>
      <c r="I830" s="102">
        <v>3</v>
      </c>
      <c r="J830" s="62">
        <v>8715.5</v>
      </c>
      <c r="K830" s="62">
        <v>7251.1</v>
      </c>
      <c r="L830" s="62">
        <v>660.9</v>
      </c>
      <c r="M830" s="103">
        <v>283</v>
      </c>
      <c r="N830" s="28">
        <f t="shared" si="200"/>
        <v>17694269.120000001</v>
      </c>
      <c r="O830" s="62"/>
      <c r="P830" s="30"/>
      <c r="Q830" s="31"/>
      <c r="R830" s="31"/>
      <c r="S830" s="116"/>
      <c r="T830" s="117"/>
      <c r="U830" s="117"/>
      <c r="V830" s="146">
        <v>1094226.53</v>
      </c>
      <c r="W830" s="145"/>
      <c r="X830" s="145"/>
      <c r="Y830" s="30">
        <v>0</v>
      </c>
      <c r="Z830" s="31"/>
      <c r="AA830" s="31"/>
      <c r="AB830" s="221">
        <v>16600042.59</v>
      </c>
      <c r="AC830" s="248"/>
      <c r="AD830" s="248"/>
      <c r="AE830" s="30">
        <v>2236.3838624873601</v>
      </c>
      <c r="AF830" s="30">
        <v>2236.3838624873601</v>
      </c>
      <c r="AG830" s="33">
        <v>2024</v>
      </c>
      <c r="AI830" s="5">
        <f>+(K830*15.35+L830*26.02)*12*0.85</f>
        <v>1310710.2306000001</v>
      </c>
      <c r="AK830" s="5">
        <f>+N830-AL830</f>
        <v>17694269.120000001</v>
      </c>
      <c r="AL830" s="246">
        <f>'Приложение №2'!E828</f>
        <v>0</v>
      </c>
      <c r="AM830" s="62">
        <v>17694269.120000001</v>
      </c>
      <c r="AN830" s="30"/>
      <c r="AO830" s="30"/>
      <c r="AP830" s="30"/>
      <c r="AQ830" s="30"/>
      <c r="AR830" s="30"/>
      <c r="AS830" s="62"/>
      <c r="AT830" s="30"/>
      <c r="AU830" s="30"/>
      <c r="AV830" s="30"/>
      <c r="AW830" s="30"/>
      <c r="AX830" s="30"/>
      <c r="AY830" s="30"/>
      <c r="AZ830" s="30"/>
      <c r="BA830" s="156"/>
      <c r="BB830" s="149">
        <f>COUNTIF(AM830:AX830, "&gt;0")</f>
        <v>1</v>
      </c>
    </row>
    <row r="831" spans="1:54" ht="15.75" hidden="1">
      <c r="A831" s="10">
        <f t="shared" si="204"/>
        <v>805</v>
      </c>
      <c r="B831" s="12">
        <f t="shared" si="205"/>
        <v>300</v>
      </c>
      <c r="C831" s="101" t="s">
        <v>719</v>
      </c>
      <c r="D831" s="12" t="s">
        <v>720</v>
      </c>
      <c r="E831" s="102">
        <v>2004</v>
      </c>
      <c r="F831" s="102"/>
      <c r="G831" s="206" t="s">
        <v>3</v>
      </c>
      <c r="H831" s="102">
        <v>9</v>
      </c>
      <c r="I831" s="102">
        <v>2</v>
      </c>
      <c r="J831" s="62">
        <v>3834.5</v>
      </c>
      <c r="K831" s="62">
        <v>3245.6</v>
      </c>
      <c r="L831" s="62">
        <v>371.7</v>
      </c>
      <c r="M831" s="103">
        <v>141</v>
      </c>
      <c r="N831" s="28">
        <f t="shared" si="200"/>
        <v>1200000</v>
      </c>
      <c r="O831" s="179"/>
      <c r="P831" s="193"/>
      <c r="Q831" s="194"/>
      <c r="R831" s="194"/>
      <c r="S831" s="249"/>
      <c r="T831" s="250"/>
      <c r="U831" s="250"/>
      <c r="V831" s="173">
        <v>1200000</v>
      </c>
      <c r="W831" s="251"/>
      <c r="X831" s="251"/>
      <c r="Y831" s="193"/>
      <c r="Z831" s="194"/>
      <c r="AA831" s="194"/>
      <c r="AB831" s="252"/>
      <c r="AC831" s="253"/>
      <c r="AD831" s="253"/>
      <c r="AE831" s="193">
        <v>331.739142454317</v>
      </c>
      <c r="AF831" s="30">
        <v>331.739142454317</v>
      </c>
      <c r="AG831" s="33">
        <v>2024</v>
      </c>
      <c r="AL831" s="246">
        <f>'Приложение №2'!E829</f>
        <v>0</v>
      </c>
      <c r="AM831" s="169"/>
      <c r="AN831" s="173"/>
      <c r="AO831" s="173"/>
      <c r="AP831" s="173"/>
      <c r="AQ831" s="173"/>
      <c r="AR831" s="173"/>
      <c r="AS831" s="169"/>
      <c r="AT831" s="173"/>
      <c r="AU831" s="173">
        <v>1200000</v>
      </c>
      <c r="AV831" s="173"/>
      <c r="AW831" s="173"/>
      <c r="AX831" s="173"/>
      <c r="AY831" s="173"/>
      <c r="AZ831" s="173"/>
      <c r="BA831" s="156"/>
      <c r="BB831" s="149"/>
    </row>
    <row r="832" spans="1:54" ht="15.75" hidden="1">
      <c r="A832" s="10">
        <f t="shared" si="204"/>
        <v>806</v>
      </c>
      <c r="B832" s="12">
        <f t="shared" si="205"/>
        <v>301</v>
      </c>
      <c r="C832" s="101" t="s">
        <v>719</v>
      </c>
      <c r="D832" s="12" t="s">
        <v>722</v>
      </c>
      <c r="E832" s="102">
        <v>2010</v>
      </c>
      <c r="F832" s="102"/>
      <c r="G832" s="206" t="s">
        <v>3</v>
      </c>
      <c r="H832" s="102">
        <v>3</v>
      </c>
      <c r="I832" s="102">
        <v>5</v>
      </c>
      <c r="J832" s="62">
        <v>4786.2</v>
      </c>
      <c r="K832" s="62">
        <v>4155.1499999999996</v>
      </c>
      <c r="L832" s="62">
        <v>0</v>
      </c>
      <c r="M832" s="103">
        <v>130</v>
      </c>
      <c r="N832" s="28">
        <f t="shared" si="200"/>
        <v>707332</v>
      </c>
      <c r="O832" s="179"/>
      <c r="P832" s="193"/>
      <c r="Q832" s="194"/>
      <c r="R832" s="194"/>
      <c r="S832" s="249"/>
      <c r="T832" s="250"/>
      <c r="U832" s="250"/>
      <c r="V832" s="173">
        <v>707332</v>
      </c>
      <c r="W832" s="251"/>
      <c r="X832" s="251"/>
      <c r="Y832" s="193"/>
      <c r="Z832" s="194"/>
      <c r="AA832" s="194"/>
      <c r="AB832" s="252"/>
      <c r="AC832" s="253"/>
      <c r="AD832" s="253"/>
      <c r="AE832" s="193">
        <v>170.23019626246901</v>
      </c>
      <c r="AF832" s="30">
        <v>170.23019626246901</v>
      </c>
      <c r="AG832" s="33">
        <v>2024</v>
      </c>
      <c r="AL832" s="246">
        <f>'Приложение №2'!E830</f>
        <v>0</v>
      </c>
      <c r="AM832" s="169"/>
      <c r="AN832" s="173"/>
      <c r="AO832" s="173"/>
      <c r="AP832" s="173"/>
      <c r="AQ832" s="173"/>
      <c r="AR832" s="173"/>
      <c r="AS832" s="169"/>
      <c r="AT832" s="173"/>
      <c r="AU832" s="173"/>
      <c r="AV832" s="173"/>
      <c r="AW832" s="173"/>
      <c r="AX832" s="173">
        <v>707332</v>
      </c>
      <c r="AY832" s="173"/>
      <c r="AZ832" s="173"/>
      <c r="BA832" s="156"/>
      <c r="BB832" s="149"/>
    </row>
    <row r="833" spans="1:54" ht="15.75" hidden="1">
      <c r="A833" s="10">
        <f t="shared" si="204"/>
        <v>807</v>
      </c>
      <c r="B833" s="12">
        <f t="shared" si="205"/>
        <v>302</v>
      </c>
      <c r="C833" s="101" t="s">
        <v>719</v>
      </c>
      <c r="D833" s="12" t="s">
        <v>723</v>
      </c>
      <c r="E833" s="102">
        <v>1990</v>
      </c>
      <c r="F833" s="102"/>
      <c r="G833" s="206" t="s">
        <v>3</v>
      </c>
      <c r="H833" s="102">
        <v>5</v>
      </c>
      <c r="I833" s="102">
        <v>3</v>
      </c>
      <c r="J833" s="62">
        <v>4257.49</v>
      </c>
      <c r="K833" s="62">
        <v>3612</v>
      </c>
      <c r="L833" s="62">
        <v>67.599999999999994</v>
      </c>
      <c r="M833" s="103">
        <v>142</v>
      </c>
      <c r="N833" s="28">
        <f t="shared" si="200"/>
        <v>418182</v>
      </c>
      <c r="O833" s="179"/>
      <c r="P833" s="193"/>
      <c r="Q833" s="194"/>
      <c r="R833" s="194"/>
      <c r="S833" s="249"/>
      <c r="T833" s="250"/>
      <c r="U833" s="250"/>
      <c r="V833" s="173">
        <v>418182</v>
      </c>
      <c r="W833" s="251"/>
      <c r="X833" s="251"/>
      <c r="Y833" s="193"/>
      <c r="Z833" s="194"/>
      <c r="AA833" s="194"/>
      <c r="AB833" s="252"/>
      <c r="AC833" s="253"/>
      <c r="AD833" s="253"/>
      <c r="AE833" s="193">
        <v>113.648766170236</v>
      </c>
      <c r="AF833" s="30">
        <v>113.648766170236</v>
      </c>
      <c r="AG833" s="33">
        <v>2024</v>
      </c>
      <c r="AL833" s="246">
        <f>'Приложение №2'!E831</f>
        <v>0</v>
      </c>
      <c r="AM833" s="169"/>
      <c r="AN833" s="173"/>
      <c r="AO833" s="173"/>
      <c r="AP833" s="173"/>
      <c r="AQ833" s="173"/>
      <c r="AR833" s="173"/>
      <c r="AS833" s="169"/>
      <c r="AT833" s="173"/>
      <c r="AU833" s="173">
        <v>418182</v>
      </c>
      <c r="AV833" s="173"/>
      <c r="AW833" s="173"/>
      <c r="AX833" s="173"/>
      <c r="AY833" s="173"/>
      <c r="AZ833" s="173"/>
      <c r="BA833" s="156"/>
      <c r="BB833" s="149"/>
    </row>
    <row r="834" spans="1:54" ht="15.75" hidden="1">
      <c r="A834" s="10">
        <f t="shared" si="204"/>
        <v>808</v>
      </c>
      <c r="B834" s="12">
        <f t="shared" si="205"/>
        <v>303</v>
      </c>
      <c r="C834" s="101" t="s">
        <v>719</v>
      </c>
      <c r="D834" s="12" t="s">
        <v>725</v>
      </c>
      <c r="E834" s="102">
        <v>1988</v>
      </c>
      <c r="F834" s="102"/>
      <c r="G834" s="206" t="s">
        <v>3</v>
      </c>
      <c r="H834" s="102">
        <v>5</v>
      </c>
      <c r="I834" s="102">
        <v>6</v>
      </c>
      <c r="J834" s="62">
        <v>8237.76</v>
      </c>
      <c r="K834" s="62">
        <v>6161.5</v>
      </c>
      <c r="L834" s="62">
        <v>70.7</v>
      </c>
      <c r="M834" s="103">
        <v>302</v>
      </c>
      <c r="N834" s="28">
        <f t="shared" ref="N834:N861" si="206">P834+S834+V834+Y834+AB834</f>
        <v>1973422</v>
      </c>
      <c r="O834" s="179"/>
      <c r="P834" s="193"/>
      <c r="Q834" s="194"/>
      <c r="R834" s="194"/>
      <c r="S834" s="249"/>
      <c r="T834" s="250"/>
      <c r="U834" s="250"/>
      <c r="V834" s="259">
        <v>1973422</v>
      </c>
      <c r="W834" s="251"/>
      <c r="X834" s="251"/>
      <c r="Y834" s="193"/>
      <c r="Z834" s="194"/>
      <c r="AA834" s="194"/>
      <c r="AB834" s="252"/>
      <c r="AC834" s="253"/>
      <c r="AD834" s="253"/>
      <c r="AE834" s="193">
        <v>316.64933731266598</v>
      </c>
      <c r="AF834" s="30">
        <v>316.64933731266598</v>
      </c>
      <c r="AG834" s="33">
        <v>2024</v>
      </c>
      <c r="AL834" s="246">
        <f>'Приложение №2'!E832</f>
        <v>0</v>
      </c>
      <c r="AM834" s="169"/>
      <c r="AN834" s="173"/>
      <c r="AO834" s="173"/>
      <c r="AP834" s="173"/>
      <c r="AQ834" s="173"/>
      <c r="AR834" s="173"/>
      <c r="AS834" s="169"/>
      <c r="AT834" s="173"/>
      <c r="AU834" s="173"/>
      <c r="AV834" s="173"/>
      <c r="AW834" s="259">
        <v>1973422</v>
      </c>
      <c r="AX834" s="173"/>
      <c r="AY834" s="173"/>
      <c r="AZ834" s="173"/>
      <c r="BA834" s="156"/>
      <c r="BB834" s="149"/>
    </row>
    <row r="835" spans="1:54" ht="26.65" hidden="1" customHeight="1">
      <c r="A835" s="223"/>
      <c r="B835" s="224"/>
      <c r="C835" s="340" t="s">
        <v>726</v>
      </c>
      <c r="D835" s="341"/>
      <c r="E835" s="262"/>
      <c r="F835" s="262"/>
      <c r="G835" s="262"/>
      <c r="H835" s="262"/>
      <c r="I835" s="262"/>
      <c r="J835" s="263">
        <v>63604.18</v>
      </c>
      <c r="K835" s="263">
        <v>49314.62</v>
      </c>
      <c r="L835" s="263">
        <v>10275.14</v>
      </c>
      <c r="M835" s="263">
        <v>2162</v>
      </c>
      <c r="N835" s="230">
        <f t="shared" si="206"/>
        <v>104719369.98999999</v>
      </c>
      <c r="O835" s="230">
        <f>SUM(O836:O861)</f>
        <v>0</v>
      </c>
      <c r="P835" s="230">
        <f>SUM(P836:P861)</f>
        <v>0</v>
      </c>
      <c r="Q835" s="231"/>
      <c r="R835" s="231"/>
      <c r="S835" s="231">
        <f>SUM(S836:S861)</f>
        <v>104719369.98999999</v>
      </c>
      <c r="T835" s="231">
        <f>SUM(T836:T861)</f>
        <v>104719369.98999999</v>
      </c>
      <c r="U835" s="231">
        <f>SUM(U836:U861)</f>
        <v>0</v>
      </c>
      <c r="V835" s="231">
        <v>0</v>
      </c>
      <c r="W835" s="254"/>
      <c r="X835" s="254"/>
      <c r="Y835" s="231">
        <v>0</v>
      </c>
      <c r="Z835" s="254"/>
      <c r="AA835" s="254"/>
      <c r="AB835" s="231">
        <v>0</v>
      </c>
      <c r="AC835" s="231">
        <v>0</v>
      </c>
      <c r="AD835" s="231">
        <v>0</v>
      </c>
      <c r="AE835" s="230">
        <v>0</v>
      </c>
      <c r="AF835" s="230">
        <v>0</v>
      </c>
      <c r="AG835" s="139"/>
      <c r="AH835" s="264"/>
      <c r="AI835" s="265"/>
      <c r="AJ835" s="265"/>
      <c r="AK835" s="265"/>
      <c r="AL835" s="233">
        <f>SUM(AL836:AL861)</f>
        <v>0</v>
      </c>
      <c r="AM835" s="233">
        <f t="shared" ref="AM835:AV835" si="207">SUM(AM851:AM861)</f>
        <v>0</v>
      </c>
      <c r="AN835" s="233">
        <f t="shared" si="207"/>
        <v>0</v>
      </c>
      <c r="AO835" s="233">
        <f t="shared" si="207"/>
        <v>0</v>
      </c>
      <c r="AP835" s="233">
        <f t="shared" si="207"/>
        <v>0</v>
      </c>
      <c r="AQ835" s="233">
        <f t="shared" si="207"/>
        <v>0</v>
      </c>
      <c r="AR835" s="233">
        <f t="shared" si="207"/>
        <v>0</v>
      </c>
      <c r="AS835" s="233">
        <f t="shared" si="207"/>
        <v>0</v>
      </c>
      <c r="AT835" s="233">
        <f t="shared" si="207"/>
        <v>0</v>
      </c>
      <c r="AU835" s="233">
        <f t="shared" si="207"/>
        <v>0</v>
      </c>
      <c r="AV835" s="233">
        <f t="shared" si="207"/>
        <v>0</v>
      </c>
      <c r="AW835" s="233">
        <f>SUM(AW836:AW861)</f>
        <v>104719369.98999999</v>
      </c>
      <c r="AX835" s="233">
        <f>SUM(AX851:AX861)</f>
        <v>0</v>
      </c>
      <c r="AY835" s="233">
        <f>SUM(AY851:AY861)</f>
        <v>0</v>
      </c>
      <c r="AZ835" s="233">
        <f>SUM(AZ851:AZ861)</f>
        <v>0</v>
      </c>
      <c r="BA835" s="266">
        <f>SUM(BA851:BA861)</f>
        <v>0</v>
      </c>
      <c r="BB835" s="132"/>
    </row>
    <row r="836" spans="1:54" hidden="1">
      <c r="A836" s="10">
        <f>A834+1</f>
        <v>809</v>
      </c>
      <c r="B836" s="12">
        <f>B834+1</f>
        <v>304</v>
      </c>
      <c r="C836" s="12" t="s">
        <v>185</v>
      </c>
      <c r="D836" s="12" t="s">
        <v>212</v>
      </c>
      <c r="E836" s="206">
        <v>1962</v>
      </c>
      <c r="F836" s="206">
        <v>1962</v>
      </c>
      <c r="G836" s="206" t="s">
        <v>3</v>
      </c>
      <c r="H836" s="206">
        <v>3</v>
      </c>
      <c r="I836" s="206">
        <v>4</v>
      </c>
      <c r="J836" s="62">
        <v>2475.3000000000002</v>
      </c>
      <c r="K836" s="62">
        <v>1760.3</v>
      </c>
      <c r="L836" s="62">
        <v>633.70000000000005</v>
      </c>
      <c r="M836" s="103">
        <v>67</v>
      </c>
      <c r="N836" s="28">
        <f t="shared" si="206"/>
        <v>1920799.11</v>
      </c>
      <c r="O836" s="30"/>
      <c r="P836" s="30"/>
      <c r="Q836" s="31"/>
      <c r="R836" s="31"/>
      <c r="S836" s="30">
        <v>1920799.11</v>
      </c>
      <c r="T836" s="31">
        <v>1920799.11</v>
      </c>
      <c r="U836" s="31"/>
      <c r="V836" s="146"/>
      <c r="W836" s="145"/>
      <c r="X836" s="145"/>
      <c r="Y836" s="146"/>
      <c r="Z836" s="145"/>
      <c r="AA836" s="145"/>
      <c r="AB836" s="146"/>
      <c r="AC836" s="147"/>
      <c r="AD836" s="147"/>
      <c r="AE836" s="30"/>
      <c r="AF836" s="30"/>
      <c r="AG836" s="211">
        <v>2024</v>
      </c>
      <c r="AH836" s="155"/>
      <c r="AL836" s="177">
        <f t="shared" ref="AL836:AL861" si="208">SUBTOTAL(9, AM836:BA836)</f>
        <v>0</v>
      </c>
      <c r="AM836" s="62"/>
      <c r="AN836" s="62"/>
      <c r="AO836" s="62"/>
      <c r="AP836" s="62"/>
      <c r="AQ836" s="62"/>
      <c r="AR836" s="62"/>
      <c r="AS836" s="62"/>
      <c r="AT836" s="62"/>
      <c r="AU836" s="62"/>
      <c r="AV836" s="62"/>
      <c r="AW836" s="30">
        <v>1920799.11</v>
      </c>
      <c r="AX836" s="62"/>
      <c r="AY836" s="62"/>
      <c r="AZ836" s="62"/>
      <c r="BA836" s="151"/>
    </row>
    <row r="837" spans="1:54" hidden="1">
      <c r="A837" s="10">
        <f t="shared" ref="A837:A861" si="209">A836+1</f>
        <v>810</v>
      </c>
      <c r="B837" s="12">
        <f>+B836+1</f>
        <v>305</v>
      </c>
      <c r="C837" s="12" t="s">
        <v>185</v>
      </c>
      <c r="D837" s="12" t="s">
        <v>729</v>
      </c>
      <c r="E837" s="206">
        <v>1957</v>
      </c>
      <c r="F837" s="206">
        <v>1957</v>
      </c>
      <c r="G837" s="206" t="s">
        <v>3</v>
      </c>
      <c r="H837" s="206">
        <v>4</v>
      </c>
      <c r="I837" s="206">
        <v>2</v>
      </c>
      <c r="J837" s="62">
        <v>1858.34</v>
      </c>
      <c r="K837" s="62">
        <v>1382.4</v>
      </c>
      <c r="L837" s="62">
        <v>475.94</v>
      </c>
      <c r="M837" s="103">
        <v>37</v>
      </c>
      <c r="N837" s="28">
        <f t="shared" si="206"/>
        <v>2882347.55</v>
      </c>
      <c r="O837" s="30"/>
      <c r="P837" s="30"/>
      <c r="Q837" s="31"/>
      <c r="R837" s="31"/>
      <c r="S837" s="30">
        <v>2882347.55</v>
      </c>
      <c r="T837" s="31">
        <v>2882347.55</v>
      </c>
      <c r="U837" s="31"/>
      <c r="V837" s="146"/>
      <c r="W837" s="145"/>
      <c r="X837" s="145"/>
      <c r="Y837" s="146"/>
      <c r="Z837" s="145"/>
      <c r="AA837" s="145"/>
      <c r="AB837" s="146"/>
      <c r="AC837" s="147"/>
      <c r="AD837" s="147"/>
      <c r="AE837" s="30"/>
      <c r="AF837" s="30"/>
      <c r="AG837" s="211">
        <v>2024</v>
      </c>
      <c r="AH837" s="155"/>
      <c r="AL837" s="177">
        <f t="shared" si="208"/>
        <v>0</v>
      </c>
      <c r="AM837" s="62"/>
      <c r="AN837" s="62"/>
      <c r="AO837" s="62"/>
      <c r="AP837" s="62"/>
      <c r="AQ837" s="62"/>
      <c r="AR837" s="62"/>
      <c r="AS837" s="62"/>
      <c r="AT837" s="62"/>
      <c r="AU837" s="62"/>
      <c r="AV837" s="62"/>
      <c r="AW837" s="30">
        <v>2882347.55</v>
      </c>
      <c r="AX837" s="62"/>
      <c r="AY837" s="62"/>
      <c r="AZ837" s="62"/>
      <c r="BA837" s="151"/>
    </row>
    <row r="838" spans="1:54" hidden="1">
      <c r="A838" s="10">
        <f t="shared" si="209"/>
        <v>811</v>
      </c>
      <c r="B838" s="12" t="s">
        <v>96</v>
      </c>
      <c r="C838" s="12" t="s">
        <v>185</v>
      </c>
      <c r="D838" s="12" t="s">
        <v>353</v>
      </c>
      <c r="E838" s="206">
        <v>1964</v>
      </c>
      <c r="F838" s="206">
        <v>1964</v>
      </c>
      <c r="G838" s="206" t="s">
        <v>3</v>
      </c>
      <c r="H838" s="206">
        <v>5</v>
      </c>
      <c r="I838" s="206">
        <v>7</v>
      </c>
      <c r="J838" s="62">
        <v>6384.4</v>
      </c>
      <c r="K838" s="62">
        <v>5253.8</v>
      </c>
      <c r="L838" s="62">
        <v>1130.5999999999999</v>
      </c>
      <c r="M838" s="103">
        <v>210</v>
      </c>
      <c r="N838" s="28">
        <f t="shared" si="206"/>
        <v>7419047.0800000001</v>
      </c>
      <c r="O838" s="30"/>
      <c r="P838" s="30"/>
      <c r="Q838" s="31"/>
      <c r="R838" s="31"/>
      <c r="S838" s="30">
        <v>7419047.0800000001</v>
      </c>
      <c r="T838" s="31">
        <v>7419047.0800000001</v>
      </c>
      <c r="U838" s="31"/>
      <c r="V838" s="146"/>
      <c r="W838" s="145"/>
      <c r="X838" s="145"/>
      <c r="Y838" s="146"/>
      <c r="Z838" s="145"/>
      <c r="AA838" s="145"/>
      <c r="AB838" s="146"/>
      <c r="AC838" s="147"/>
      <c r="AD838" s="147"/>
      <c r="AE838" s="30"/>
      <c r="AF838" s="30"/>
      <c r="AG838" s="211">
        <v>2024</v>
      </c>
      <c r="AH838" s="155"/>
      <c r="AL838" s="177">
        <f t="shared" si="208"/>
        <v>0</v>
      </c>
      <c r="AM838" s="62"/>
      <c r="AN838" s="62"/>
      <c r="AO838" s="62"/>
      <c r="AP838" s="62"/>
      <c r="AQ838" s="62"/>
      <c r="AR838" s="62"/>
      <c r="AS838" s="62"/>
      <c r="AT838" s="62"/>
      <c r="AU838" s="62"/>
      <c r="AV838" s="62"/>
      <c r="AW838" s="30">
        <v>7419047.0800000001</v>
      </c>
      <c r="AX838" s="62"/>
      <c r="AY838" s="62"/>
      <c r="AZ838" s="62"/>
      <c r="BA838" s="151"/>
    </row>
    <row r="839" spans="1:54" hidden="1">
      <c r="A839" s="10">
        <f t="shared" si="209"/>
        <v>812</v>
      </c>
      <c r="B839" s="12">
        <f>+B837+1</f>
        <v>306</v>
      </c>
      <c r="C839" s="12" t="s">
        <v>185</v>
      </c>
      <c r="D839" s="12" t="s">
        <v>730</v>
      </c>
      <c r="E839" s="206" t="s">
        <v>577</v>
      </c>
      <c r="F839" s="206"/>
      <c r="G839" s="206" t="s">
        <v>3</v>
      </c>
      <c r="H839" s="206">
        <v>5</v>
      </c>
      <c r="I839" s="206">
        <v>3</v>
      </c>
      <c r="J839" s="62">
        <v>1900.32</v>
      </c>
      <c r="K839" s="62">
        <v>1432.42</v>
      </c>
      <c r="L839" s="62">
        <v>288.3</v>
      </c>
      <c r="M839" s="103">
        <v>63</v>
      </c>
      <c r="N839" s="28">
        <f t="shared" si="206"/>
        <v>3073747.52</v>
      </c>
      <c r="O839" s="30"/>
      <c r="P839" s="30"/>
      <c r="Q839" s="31"/>
      <c r="R839" s="31"/>
      <c r="S839" s="30">
        <v>3073747.52</v>
      </c>
      <c r="T839" s="31">
        <v>3073747.52</v>
      </c>
      <c r="U839" s="31"/>
      <c r="V839" s="146"/>
      <c r="W839" s="145"/>
      <c r="X839" s="145"/>
      <c r="Y839" s="146"/>
      <c r="Z839" s="145"/>
      <c r="AA839" s="145"/>
      <c r="AB839" s="146"/>
      <c r="AC839" s="147"/>
      <c r="AD839" s="147"/>
      <c r="AE839" s="30"/>
      <c r="AF839" s="30"/>
      <c r="AG839" s="211">
        <v>2024</v>
      </c>
      <c r="AH839" s="155"/>
      <c r="AL839" s="177">
        <f t="shared" si="208"/>
        <v>0</v>
      </c>
      <c r="AM839" s="62"/>
      <c r="AN839" s="62"/>
      <c r="AO839" s="62"/>
      <c r="AP839" s="62"/>
      <c r="AQ839" s="62"/>
      <c r="AR839" s="62"/>
      <c r="AS839" s="62"/>
      <c r="AT839" s="62"/>
      <c r="AU839" s="62"/>
      <c r="AV839" s="62"/>
      <c r="AW839" s="30">
        <v>3073747.52</v>
      </c>
      <c r="AX839" s="62"/>
      <c r="AY839" s="62"/>
      <c r="AZ839" s="62"/>
      <c r="BA839" s="151"/>
    </row>
    <row r="840" spans="1:54" hidden="1">
      <c r="A840" s="10">
        <f t="shared" si="209"/>
        <v>813</v>
      </c>
      <c r="B840" s="12">
        <f>+B839+1</f>
        <v>307</v>
      </c>
      <c r="C840" s="12" t="s">
        <v>185</v>
      </c>
      <c r="D840" s="12" t="s">
        <v>732</v>
      </c>
      <c r="E840" s="206">
        <v>1954</v>
      </c>
      <c r="F840" s="206">
        <v>1954</v>
      </c>
      <c r="G840" s="206" t="s">
        <v>3</v>
      </c>
      <c r="H840" s="206">
        <v>3</v>
      </c>
      <c r="I840" s="206">
        <v>3</v>
      </c>
      <c r="J840" s="62">
        <v>1802.3</v>
      </c>
      <c r="K840" s="62">
        <v>1033</v>
      </c>
      <c r="L840" s="62">
        <v>769.3</v>
      </c>
      <c r="M840" s="103">
        <v>35</v>
      </c>
      <c r="N840" s="28">
        <f t="shared" si="206"/>
        <v>2978133.91</v>
      </c>
      <c r="O840" s="30"/>
      <c r="P840" s="30"/>
      <c r="Q840" s="31"/>
      <c r="R840" s="31"/>
      <c r="S840" s="30">
        <v>2978133.91</v>
      </c>
      <c r="T840" s="31">
        <v>2978133.91</v>
      </c>
      <c r="U840" s="31"/>
      <c r="V840" s="146"/>
      <c r="W840" s="145"/>
      <c r="X840" s="145"/>
      <c r="Y840" s="146"/>
      <c r="Z840" s="145"/>
      <c r="AA840" s="145"/>
      <c r="AB840" s="146"/>
      <c r="AC840" s="147"/>
      <c r="AD840" s="147"/>
      <c r="AE840" s="30"/>
      <c r="AF840" s="30"/>
      <c r="AG840" s="211">
        <v>2024</v>
      </c>
      <c r="AH840" s="155"/>
      <c r="AL840" s="177">
        <f t="shared" si="208"/>
        <v>0</v>
      </c>
      <c r="AM840" s="62"/>
      <c r="AN840" s="62"/>
      <c r="AO840" s="62"/>
      <c r="AP840" s="62"/>
      <c r="AQ840" s="62"/>
      <c r="AR840" s="62"/>
      <c r="AS840" s="62"/>
      <c r="AT840" s="62"/>
      <c r="AU840" s="62"/>
      <c r="AV840" s="62"/>
      <c r="AW840" s="30">
        <v>2978133.91</v>
      </c>
      <c r="AX840" s="62"/>
      <c r="AY840" s="62"/>
      <c r="AZ840" s="62"/>
      <c r="BA840" s="151"/>
    </row>
    <row r="841" spans="1:54" hidden="1">
      <c r="A841" s="10">
        <f t="shared" si="209"/>
        <v>814</v>
      </c>
      <c r="B841" s="12">
        <f>+B840+1</f>
        <v>308</v>
      </c>
      <c r="C841" s="12" t="s">
        <v>185</v>
      </c>
      <c r="D841" s="12" t="s">
        <v>734</v>
      </c>
      <c r="E841" s="206">
        <v>1962</v>
      </c>
      <c r="F841" s="206">
        <v>1962</v>
      </c>
      <c r="G841" s="206" t="s">
        <v>3</v>
      </c>
      <c r="H841" s="206">
        <v>4</v>
      </c>
      <c r="I841" s="206">
        <v>4</v>
      </c>
      <c r="J841" s="62">
        <v>4073.5</v>
      </c>
      <c r="K841" s="62">
        <v>3188.1</v>
      </c>
      <c r="L841" s="62">
        <v>883.3</v>
      </c>
      <c r="M841" s="103">
        <v>80</v>
      </c>
      <c r="N841" s="28">
        <f t="shared" si="206"/>
        <v>5027302.96</v>
      </c>
      <c r="O841" s="30"/>
      <c r="P841" s="30"/>
      <c r="Q841" s="31"/>
      <c r="R841" s="31"/>
      <c r="S841" s="30">
        <v>5027302.96</v>
      </c>
      <c r="T841" s="31">
        <v>5027302.96</v>
      </c>
      <c r="U841" s="31"/>
      <c r="V841" s="146"/>
      <c r="W841" s="145"/>
      <c r="X841" s="145"/>
      <c r="Y841" s="146"/>
      <c r="Z841" s="145"/>
      <c r="AA841" s="145"/>
      <c r="AB841" s="146"/>
      <c r="AC841" s="147"/>
      <c r="AD841" s="147"/>
      <c r="AE841" s="30"/>
      <c r="AF841" s="30"/>
      <c r="AG841" s="211">
        <v>2024</v>
      </c>
      <c r="AH841" s="155"/>
      <c r="AL841" s="177">
        <f t="shared" si="208"/>
        <v>0</v>
      </c>
      <c r="AM841" s="62"/>
      <c r="AN841" s="62"/>
      <c r="AO841" s="62"/>
      <c r="AP841" s="62"/>
      <c r="AQ841" s="62"/>
      <c r="AR841" s="62"/>
      <c r="AS841" s="62"/>
      <c r="AT841" s="62"/>
      <c r="AU841" s="62"/>
      <c r="AV841" s="62"/>
      <c r="AW841" s="30">
        <v>5027302.96</v>
      </c>
      <c r="AX841" s="62"/>
      <c r="AY841" s="62"/>
      <c r="AZ841" s="62"/>
      <c r="BA841" s="151"/>
    </row>
    <row r="842" spans="1:54" hidden="1">
      <c r="A842" s="10">
        <f t="shared" si="209"/>
        <v>815</v>
      </c>
      <c r="B842" s="12">
        <f>+B841+1</f>
        <v>309</v>
      </c>
      <c r="C842" s="12" t="s">
        <v>185</v>
      </c>
      <c r="D842" s="12" t="s">
        <v>736</v>
      </c>
      <c r="E842" s="206">
        <v>1990</v>
      </c>
      <c r="F842" s="206">
        <v>1990</v>
      </c>
      <c r="G842" s="206" t="s">
        <v>3</v>
      </c>
      <c r="H842" s="206">
        <v>4</v>
      </c>
      <c r="I842" s="206">
        <v>2</v>
      </c>
      <c r="J842" s="62">
        <v>2012.4</v>
      </c>
      <c r="K842" s="62">
        <v>1752.2</v>
      </c>
      <c r="L842" s="62">
        <v>0</v>
      </c>
      <c r="M842" s="103">
        <v>54</v>
      </c>
      <c r="N842" s="28">
        <f t="shared" si="206"/>
        <v>2875467.93</v>
      </c>
      <c r="O842" s="30"/>
      <c r="P842" s="30"/>
      <c r="Q842" s="31"/>
      <c r="R842" s="31"/>
      <c r="S842" s="30">
        <v>2875467.93</v>
      </c>
      <c r="T842" s="31">
        <v>2875467.93</v>
      </c>
      <c r="U842" s="31"/>
      <c r="V842" s="146"/>
      <c r="W842" s="145"/>
      <c r="X842" s="145"/>
      <c r="Y842" s="146"/>
      <c r="Z842" s="145"/>
      <c r="AA842" s="145"/>
      <c r="AB842" s="146"/>
      <c r="AC842" s="147"/>
      <c r="AD842" s="147"/>
      <c r="AE842" s="30"/>
      <c r="AF842" s="30"/>
      <c r="AG842" s="211">
        <v>2024</v>
      </c>
      <c r="AH842" s="155"/>
      <c r="AL842" s="177">
        <f t="shared" si="208"/>
        <v>0</v>
      </c>
      <c r="AM842" s="62"/>
      <c r="AN842" s="62"/>
      <c r="AO842" s="62"/>
      <c r="AP842" s="62"/>
      <c r="AQ842" s="62"/>
      <c r="AR842" s="62"/>
      <c r="AS842" s="62"/>
      <c r="AT842" s="62"/>
      <c r="AU842" s="62"/>
      <c r="AV842" s="62"/>
      <c r="AW842" s="30">
        <v>2875467.93</v>
      </c>
      <c r="AX842" s="62"/>
      <c r="AY842" s="62"/>
      <c r="AZ842" s="62"/>
      <c r="BA842" s="151"/>
    </row>
    <row r="843" spans="1:54" hidden="1">
      <c r="A843" s="10">
        <f t="shared" si="209"/>
        <v>816</v>
      </c>
      <c r="B843" s="12">
        <f>+B842+1</f>
        <v>310</v>
      </c>
      <c r="C843" s="12" t="s">
        <v>185</v>
      </c>
      <c r="D843" s="12" t="s">
        <v>738</v>
      </c>
      <c r="E843" s="206">
        <v>1996</v>
      </c>
      <c r="F843" s="206">
        <v>1996</v>
      </c>
      <c r="G843" s="206" t="s">
        <v>3</v>
      </c>
      <c r="H843" s="206">
        <v>8</v>
      </c>
      <c r="I843" s="206">
        <v>2</v>
      </c>
      <c r="J843" s="62">
        <v>5186.3599999999997</v>
      </c>
      <c r="K843" s="62">
        <v>4076.7</v>
      </c>
      <c r="L843" s="62">
        <v>540.4</v>
      </c>
      <c r="M843" s="103">
        <v>130</v>
      </c>
      <c r="N843" s="28">
        <f t="shared" si="206"/>
        <v>6456490.96</v>
      </c>
      <c r="O843" s="30"/>
      <c r="P843" s="30"/>
      <c r="Q843" s="31"/>
      <c r="R843" s="31"/>
      <c r="S843" s="30">
        <v>6456490.96</v>
      </c>
      <c r="T843" s="31">
        <v>6456490.96</v>
      </c>
      <c r="U843" s="31"/>
      <c r="V843" s="146"/>
      <c r="W843" s="145"/>
      <c r="X843" s="145"/>
      <c r="Y843" s="146"/>
      <c r="Z843" s="145"/>
      <c r="AA843" s="145"/>
      <c r="AB843" s="146"/>
      <c r="AC843" s="147"/>
      <c r="AD843" s="147"/>
      <c r="AE843" s="30"/>
      <c r="AF843" s="30"/>
      <c r="AG843" s="211">
        <v>2024</v>
      </c>
      <c r="AH843" s="155"/>
      <c r="AL843" s="177">
        <f t="shared" si="208"/>
        <v>0</v>
      </c>
      <c r="AM843" s="62"/>
      <c r="AN843" s="62"/>
      <c r="AO843" s="62"/>
      <c r="AP843" s="62"/>
      <c r="AQ843" s="62"/>
      <c r="AR843" s="62"/>
      <c r="AS843" s="62"/>
      <c r="AT843" s="62"/>
      <c r="AU843" s="62"/>
      <c r="AV843" s="62"/>
      <c r="AW843" s="30">
        <v>6456490.96</v>
      </c>
      <c r="AX843" s="62"/>
      <c r="AY843" s="62"/>
      <c r="AZ843" s="62"/>
      <c r="BA843" s="151"/>
    </row>
    <row r="844" spans="1:54" hidden="1">
      <c r="A844" s="10">
        <f t="shared" si="209"/>
        <v>817</v>
      </c>
      <c r="B844" s="12" t="s">
        <v>96</v>
      </c>
      <c r="C844" s="12" t="s">
        <v>185</v>
      </c>
      <c r="D844" s="12" t="s">
        <v>727</v>
      </c>
      <c r="E844" s="206">
        <v>1959</v>
      </c>
      <c r="F844" s="206">
        <v>1959</v>
      </c>
      <c r="G844" s="206" t="s">
        <v>3</v>
      </c>
      <c r="H844" s="206">
        <v>3</v>
      </c>
      <c r="I844" s="206">
        <v>2</v>
      </c>
      <c r="J844" s="62">
        <v>1349.3</v>
      </c>
      <c r="K844" s="62">
        <v>898.8</v>
      </c>
      <c r="L844" s="62">
        <v>450.5</v>
      </c>
      <c r="M844" s="103">
        <v>25</v>
      </c>
      <c r="N844" s="28">
        <f t="shared" si="206"/>
        <v>3099553.05</v>
      </c>
      <c r="O844" s="30"/>
      <c r="P844" s="30"/>
      <c r="Q844" s="31"/>
      <c r="R844" s="31"/>
      <c r="S844" s="30">
        <v>3099553.05</v>
      </c>
      <c r="T844" s="31">
        <v>3099553.05</v>
      </c>
      <c r="U844" s="31"/>
      <c r="V844" s="146"/>
      <c r="W844" s="145"/>
      <c r="X844" s="145"/>
      <c r="Y844" s="146"/>
      <c r="Z844" s="145"/>
      <c r="AA844" s="145"/>
      <c r="AB844" s="146"/>
      <c r="AC844" s="147"/>
      <c r="AD844" s="147"/>
      <c r="AE844" s="30"/>
      <c r="AF844" s="30"/>
      <c r="AG844" s="211">
        <v>2024</v>
      </c>
      <c r="AH844" s="155"/>
      <c r="AL844" s="177">
        <f t="shared" si="208"/>
        <v>0</v>
      </c>
      <c r="AM844" s="62"/>
      <c r="AN844" s="62"/>
      <c r="AO844" s="62"/>
      <c r="AP844" s="62"/>
      <c r="AQ844" s="62"/>
      <c r="AR844" s="62"/>
      <c r="AS844" s="62"/>
      <c r="AT844" s="62"/>
      <c r="AU844" s="62"/>
      <c r="AV844" s="62"/>
      <c r="AW844" s="30">
        <v>3099553.05</v>
      </c>
      <c r="AX844" s="62"/>
      <c r="AY844" s="62"/>
      <c r="AZ844" s="62"/>
      <c r="BA844" s="151"/>
    </row>
    <row r="845" spans="1:54" hidden="1">
      <c r="A845" s="10">
        <f t="shared" si="209"/>
        <v>818</v>
      </c>
      <c r="B845" s="12">
        <f>+B843+1</f>
        <v>311</v>
      </c>
      <c r="C845" s="12" t="s">
        <v>185</v>
      </c>
      <c r="D845" s="12" t="s">
        <v>728</v>
      </c>
      <c r="E845" s="206">
        <v>1968</v>
      </c>
      <c r="F845" s="206">
        <v>1968</v>
      </c>
      <c r="G845" s="206" t="s">
        <v>3</v>
      </c>
      <c r="H845" s="206">
        <v>4</v>
      </c>
      <c r="I845" s="206">
        <v>3</v>
      </c>
      <c r="J845" s="62">
        <v>1951.7</v>
      </c>
      <c r="K845" s="62">
        <v>1451.8</v>
      </c>
      <c r="L845" s="62">
        <v>499.9</v>
      </c>
      <c r="M845" s="103">
        <v>64</v>
      </c>
      <c r="N845" s="28">
        <f t="shared" si="206"/>
        <v>2807046.34</v>
      </c>
      <c r="O845" s="30"/>
      <c r="P845" s="30"/>
      <c r="Q845" s="31"/>
      <c r="R845" s="31"/>
      <c r="S845" s="30">
        <v>2807046.34</v>
      </c>
      <c r="T845" s="31">
        <v>2807046.34</v>
      </c>
      <c r="U845" s="31"/>
      <c r="V845" s="146"/>
      <c r="W845" s="145"/>
      <c r="X845" s="145"/>
      <c r="Y845" s="146"/>
      <c r="Z845" s="145"/>
      <c r="AA845" s="145"/>
      <c r="AB845" s="146"/>
      <c r="AC845" s="147"/>
      <c r="AD845" s="147"/>
      <c r="AE845" s="30"/>
      <c r="AF845" s="30"/>
      <c r="AG845" s="211">
        <v>2024</v>
      </c>
      <c r="AH845" s="155"/>
      <c r="AL845" s="177">
        <f t="shared" si="208"/>
        <v>0</v>
      </c>
      <c r="AM845" s="62"/>
      <c r="AN845" s="62"/>
      <c r="AO845" s="62"/>
      <c r="AP845" s="62"/>
      <c r="AQ845" s="62"/>
      <c r="AR845" s="62"/>
      <c r="AS845" s="62"/>
      <c r="AT845" s="62"/>
      <c r="AU845" s="62"/>
      <c r="AV845" s="62"/>
      <c r="AW845" s="30">
        <v>2807046.34</v>
      </c>
      <c r="AX845" s="62"/>
      <c r="AY845" s="62"/>
      <c r="AZ845" s="62"/>
      <c r="BA845" s="151"/>
    </row>
    <row r="846" spans="1:54" hidden="1">
      <c r="A846" s="10">
        <f t="shared" si="209"/>
        <v>819</v>
      </c>
      <c r="B846" s="12">
        <f>+B845+1</f>
        <v>312</v>
      </c>
      <c r="C846" s="12" t="s">
        <v>185</v>
      </c>
      <c r="D846" s="12" t="s">
        <v>500</v>
      </c>
      <c r="E846" s="206">
        <v>1959</v>
      </c>
      <c r="F846" s="206">
        <v>1959</v>
      </c>
      <c r="G846" s="206" t="s">
        <v>3</v>
      </c>
      <c r="H846" s="206">
        <v>4</v>
      </c>
      <c r="I846" s="206">
        <v>3</v>
      </c>
      <c r="J846" s="62">
        <v>2378.1999999999998</v>
      </c>
      <c r="K846" s="62">
        <v>1790.7</v>
      </c>
      <c r="L846" s="62">
        <v>587.5</v>
      </c>
      <c r="M846" s="103">
        <v>74</v>
      </c>
      <c r="N846" s="28">
        <f t="shared" si="206"/>
        <v>2245110.29</v>
      </c>
      <c r="O846" s="30"/>
      <c r="P846" s="30"/>
      <c r="Q846" s="31"/>
      <c r="R846" s="31"/>
      <c r="S846" s="30">
        <v>2245110.29</v>
      </c>
      <c r="T846" s="31">
        <v>2245110.29</v>
      </c>
      <c r="U846" s="31"/>
      <c r="V846" s="146"/>
      <c r="W846" s="145"/>
      <c r="X846" s="145"/>
      <c r="Y846" s="146"/>
      <c r="Z846" s="145"/>
      <c r="AA846" s="145"/>
      <c r="AB846" s="146"/>
      <c r="AC846" s="147"/>
      <c r="AD846" s="147"/>
      <c r="AE846" s="30"/>
      <c r="AF846" s="30"/>
      <c r="AG846" s="211">
        <v>2024</v>
      </c>
      <c r="AH846" s="155"/>
      <c r="AL846" s="177">
        <f t="shared" si="208"/>
        <v>0</v>
      </c>
      <c r="AM846" s="62"/>
      <c r="AN846" s="62"/>
      <c r="AO846" s="62"/>
      <c r="AP846" s="62"/>
      <c r="AQ846" s="62"/>
      <c r="AR846" s="62"/>
      <c r="AS846" s="62"/>
      <c r="AT846" s="62"/>
      <c r="AU846" s="62"/>
      <c r="AV846" s="62"/>
      <c r="AW846" s="30">
        <v>2245110.29</v>
      </c>
      <c r="AX846" s="62"/>
      <c r="AY846" s="62"/>
      <c r="AZ846" s="62"/>
      <c r="BA846" s="151"/>
    </row>
    <row r="847" spans="1:54" hidden="1">
      <c r="A847" s="10">
        <f t="shared" si="209"/>
        <v>820</v>
      </c>
      <c r="B847" s="12" t="s">
        <v>96</v>
      </c>
      <c r="C847" s="12" t="s">
        <v>185</v>
      </c>
      <c r="D847" s="12" t="s">
        <v>223</v>
      </c>
      <c r="E847" s="206">
        <v>1968</v>
      </c>
      <c r="F847" s="206">
        <v>1968</v>
      </c>
      <c r="G847" s="206" t="s">
        <v>3</v>
      </c>
      <c r="H847" s="206">
        <v>5</v>
      </c>
      <c r="I847" s="206">
        <v>4</v>
      </c>
      <c r="J847" s="62">
        <v>3228.9</v>
      </c>
      <c r="K847" s="62">
        <v>2518.9</v>
      </c>
      <c r="L847" s="62">
        <v>710</v>
      </c>
      <c r="M847" s="103">
        <v>136</v>
      </c>
      <c r="N847" s="28">
        <f t="shared" si="206"/>
        <v>3542453.57</v>
      </c>
      <c r="O847" s="30"/>
      <c r="P847" s="30"/>
      <c r="Q847" s="31"/>
      <c r="R847" s="31"/>
      <c r="S847" s="30">
        <v>3542453.57</v>
      </c>
      <c r="T847" s="31">
        <v>3542453.57</v>
      </c>
      <c r="U847" s="31"/>
      <c r="V847" s="146"/>
      <c r="W847" s="145"/>
      <c r="X847" s="145"/>
      <c r="Y847" s="146"/>
      <c r="Z847" s="145"/>
      <c r="AA847" s="145"/>
      <c r="AB847" s="146"/>
      <c r="AC847" s="147"/>
      <c r="AD847" s="147"/>
      <c r="AE847" s="30"/>
      <c r="AF847" s="30"/>
      <c r="AG847" s="211">
        <v>2024</v>
      </c>
      <c r="AH847" s="155"/>
      <c r="AL847" s="177">
        <f t="shared" si="208"/>
        <v>0</v>
      </c>
      <c r="AM847" s="62"/>
      <c r="AN847" s="62"/>
      <c r="AO847" s="62"/>
      <c r="AP847" s="62"/>
      <c r="AQ847" s="62"/>
      <c r="AR847" s="62"/>
      <c r="AS847" s="62"/>
      <c r="AT847" s="62"/>
      <c r="AU847" s="62"/>
      <c r="AV847" s="62"/>
      <c r="AW847" s="30">
        <v>3542453.57</v>
      </c>
      <c r="AX847" s="62"/>
      <c r="AY847" s="62"/>
      <c r="AZ847" s="62"/>
      <c r="BA847" s="151"/>
    </row>
    <row r="848" spans="1:54" hidden="1">
      <c r="A848" s="10">
        <f t="shared" si="209"/>
        <v>821</v>
      </c>
      <c r="B848" s="12">
        <f>+B846+1</f>
        <v>313</v>
      </c>
      <c r="C848" s="12" t="s">
        <v>185</v>
      </c>
      <c r="D848" s="12" t="s">
        <v>224</v>
      </c>
      <c r="E848" s="206">
        <v>1965</v>
      </c>
      <c r="F848" s="206">
        <v>1965</v>
      </c>
      <c r="G848" s="206" t="s">
        <v>3</v>
      </c>
      <c r="H848" s="206">
        <v>4</v>
      </c>
      <c r="I848" s="206">
        <v>2</v>
      </c>
      <c r="J848" s="62">
        <v>1948.5</v>
      </c>
      <c r="K848" s="62">
        <v>1410</v>
      </c>
      <c r="L848" s="62">
        <v>537.70000000000005</v>
      </c>
      <c r="M848" s="103">
        <v>38</v>
      </c>
      <c r="N848" s="28">
        <f t="shared" si="206"/>
        <v>3257822.95</v>
      </c>
      <c r="O848" s="30"/>
      <c r="P848" s="30"/>
      <c r="Q848" s="31"/>
      <c r="R848" s="31"/>
      <c r="S848" s="30">
        <v>3257822.95</v>
      </c>
      <c r="T848" s="31">
        <v>3257822.95</v>
      </c>
      <c r="U848" s="31"/>
      <c r="V848" s="146"/>
      <c r="W848" s="145"/>
      <c r="X848" s="145"/>
      <c r="Y848" s="146"/>
      <c r="Z848" s="145"/>
      <c r="AA848" s="145"/>
      <c r="AB848" s="146"/>
      <c r="AC848" s="147"/>
      <c r="AD848" s="147"/>
      <c r="AE848" s="30"/>
      <c r="AF848" s="30"/>
      <c r="AG848" s="211">
        <v>2024</v>
      </c>
      <c r="AH848" s="155"/>
      <c r="AL848" s="177">
        <f t="shared" si="208"/>
        <v>0</v>
      </c>
      <c r="AM848" s="62"/>
      <c r="AN848" s="62"/>
      <c r="AO848" s="62"/>
      <c r="AP848" s="62"/>
      <c r="AQ848" s="62"/>
      <c r="AR848" s="62"/>
      <c r="AS848" s="62"/>
      <c r="AT848" s="62"/>
      <c r="AU848" s="62"/>
      <c r="AV848" s="62"/>
      <c r="AW848" s="30">
        <v>3257822.95</v>
      </c>
      <c r="AX848" s="62"/>
      <c r="AY848" s="62"/>
      <c r="AZ848" s="62"/>
      <c r="BA848" s="151"/>
    </row>
    <row r="849" spans="1:53" hidden="1">
      <c r="A849" s="10">
        <f t="shared" si="209"/>
        <v>822</v>
      </c>
      <c r="B849" s="12">
        <f t="shared" ref="B849:B855" si="210">+B848+1</f>
        <v>314</v>
      </c>
      <c r="C849" s="12" t="s">
        <v>185</v>
      </c>
      <c r="D849" s="12" t="s">
        <v>226</v>
      </c>
      <c r="E849" s="206">
        <v>1963</v>
      </c>
      <c r="F849" s="206">
        <v>1963</v>
      </c>
      <c r="G849" s="206" t="s">
        <v>3</v>
      </c>
      <c r="H849" s="206">
        <v>4</v>
      </c>
      <c r="I849" s="206">
        <v>3</v>
      </c>
      <c r="J849" s="62">
        <v>2328.4</v>
      </c>
      <c r="K849" s="62">
        <v>1950.9</v>
      </c>
      <c r="L849" s="62">
        <v>377.5</v>
      </c>
      <c r="M849" s="103">
        <v>49</v>
      </c>
      <c r="N849" s="28">
        <f t="shared" si="206"/>
        <v>5969418.0499999998</v>
      </c>
      <c r="O849" s="30"/>
      <c r="P849" s="30"/>
      <c r="Q849" s="31"/>
      <c r="R849" s="31"/>
      <c r="S849" s="30">
        <v>5969418.0499999998</v>
      </c>
      <c r="T849" s="31">
        <v>5969418.0499999998</v>
      </c>
      <c r="U849" s="31"/>
      <c r="V849" s="146"/>
      <c r="W849" s="145"/>
      <c r="X849" s="145"/>
      <c r="Y849" s="146"/>
      <c r="Z849" s="145"/>
      <c r="AA849" s="145"/>
      <c r="AB849" s="146"/>
      <c r="AC849" s="147"/>
      <c r="AD849" s="147"/>
      <c r="AE849" s="30"/>
      <c r="AF849" s="30"/>
      <c r="AG849" s="211">
        <v>2024</v>
      </c>
      <c r="AH849" s="155"/>
      <c r="AL849" s="177">
        <f t="shared" si="208"/>
        <v>0</v>
      </c>
      <c r="AM849" s="62"/>
      <c r="AN849" s="62"/>
      <c r="AO849" s="62"/>
      <c r="AP849" s="62"/>
      <c r="AQ849" s="62"/>
      <c r="AR849" s="62"/>
      <c r="AS849" s="62"/>
      <c r="AT849" s="62"/>
      <c r="AU849" s="62"/>
      <c r="AV849" s="62"/>
      <c r="AW849" s="30">
        <v>5969418.0499999998</v>
      </c>
      <c r="AX849" s="62"/>
      <c r="AY849" s="62"/>
      <c r="AZ849" s="62"/>
      <c r="BA849" s="151"/>
    </row>
    <row r="850" spans="1:53" hidden="1">
      <c r="A850" s="10">
        <f t="shared" si="209"/>
        <v>823</v>
      </c>
      <c r="B850" s="12">
        <f t="shared" si="210"/>
        <v>315</v>
      </c>
      <c r="C850" s="12" t="s">
        <v>185</v>
      </c>
      <c r="D850" s="12" t="s">
        <v>731</v>
      </c>
      <c r="E850" s="206">
        <v>1962</v>
      </c>
      <c r="F850" s="206">
        <v>1962</v>
      </c>
      <c r="G850" s="206" t="s">
        <v>3</v>
      </c>
      <c r="H850" s="206">
        <v>4</v>
      </c>
      <c r="I850" s="206">
        <v>4</v>
      </c>
      <c r="J850" s="62">
        <v>3217.2</v>
      </c>
      <c r="K850" s="62">
        <v>1859.9</v>
      </c>
      <c r="L850" s="62">
        <v>1357.3</v>
      </c>
      <c r="M850" s="103">
        <v>96</v>
      </c>
      <c r="N850" s="28">
        <f t="shared" si="206"/>
        <v>5132744.7</v>
      </c>
      <c r="O850" s="30"/>
      <c r="P850" s="30"/>
      <c r="Q850" s="31"/>
      <c r="R850" s="31"/>
      <c r="S850" s="30">
        <v>5132744.7</v>
      </c>
      <c r="T850" s="31">
        <v>5132744.7</v>
      </c>
      <c r="U850" s="31"/>
      <c r="V850" s="146"/>
      <c r="W850" s="145"/>
      <c r="X850" s="145"/>
      <c r="Y850" s="146"/>
      <c r="Z850" s="145"/>
      <c r="AA850" s="145"/>
      <c r="AB850" s="146"/>
      <c r="AC850" s="147"/>
      <c r="AD850" s="147"/>
      <c r="AE850" s="30"/>
      <c r="AF850" s="30"/>
      <c r="AG850" s="211">
        <v>2024</v>
      </c>
      <c r="AH850" s="155"/>
      <c r="AL850" s="177">
        <f t="shared" si="208"/>
        <v>0</v>
      </c>
      <c r="AM850" s="62"/>
      <c r="AN850" s="62"/>
      <c r="AO850" s="62"/>
      <c r="AP850" s="62"/>
      <c r="AQ850" s="62"/>
      <c r="AR850" s="62"/>
      <c r="AS850" s="62"/>
      <c r="AT850" s="62"/>
      <c r="AU850" s="62"/>
      <c r="AV850" s="62"/>
      <c r="AW850" s="30">
        <v>5132744.7</v>
      </c>
      <c r="AX850" s="62"/>
      <c r="AY850" s="62"/>
      <c r="AZ850" s="62"/>
      <c r="BA850" s="151"/>
    </row>
    <row r="851" spans="1:53" hidden="1">
      <c r="A851" s="10">
        <f t="shared" si="209"/>
        <v>824</v>
      </c>
      <c r="B851" s="12">
        <f t="shared" si="210"/>
        <v>316</v>
      </c>
      <c r="C851" s="12" t="s">
        <v>185</v>
      </c>
      <c r="D851" s="12" t="s">
        <v>733</v>
      </c>
      <c r="E851" s="206">
        <v>1981</v>
      </c>
      <c r="F851" s="206">
        <v>1981</v>
      </c>
      <c r="G851" s="206" t="s">
        <v>3</v>
      </c>
      <c r="H851" s="206">
        <v>5</v>
      </c>
      <c r="I851" s="206">
        <v>1</v>
      </c>
      <c r="J851" s="62">
        <v>2376.66</v>
      </c>
      <c r="K851" s="62">
        <v>2008.3</v>
      </c>
      <c r="L851" s="62">
        <v>0</v>
      </c>
      <c r="M851" s="103">
        <v>127</v>
      </c>
      <c r="N851" s="28">
        <f t="shared" si="206"/>
        <v>3397972.77</v>
      </c>
      <c r="O851" s="30"/>
      <c r="P851" s="30"/>
      <c r="Q851" s="31"/>
      <c r="R851" s="31"/>
      <c r="S851" s="30">
        <v>3397972.77</v>
      </c>
      <c r="T851" s="31">
        <v>3397972.77</v>
      </c>
      <c r="U851" s="31"/>
      <c r="V851" s="146"/>
      <c r="W851" s="145"/>
      <c r="X851" s="145"/>
      <c r="Y851" s="146"/>
      <c r="Z851" s="145"/>
      <c r="AA851" s="145"/>
      <c r="AB851" s="146"/>
      <c r="AC851" s="147"/>
      <c r="AD851" s="147"/>
      <c r="AE851" s="30"/>
      <c r="AF851" s="30"/>
      <c r="AG851" s="211">
        <v>2024</v>
      </c>
      <c r="AH851" s="155"/>
      <c r="AL851" s="177">
        <f t="shared" si="208"/>
        <v>0</v>
      </c>
      <c r="AM851" s="62"/>
      <c r="AN851" s="62"/>
      <c r="AO851" s="62"/>
      <c r="AP851" s="62"/>
      <c r="AQ851" s="62"/>
      <c r="AR851" s="62"/>
      <c r="AS851" s="62"/>
      <c r="AT851" s="62"/>
      <c r="AU851" s="62"/>
      <c r="AV851" s="62"/>
      <c r="AW851" s="30">
        <v>3397972.77</v>
      </c>
      <c r="AX851" s="62"/>
      <c r="AY851" s="62"/>
      <c r="AZ851" s="62"/>
      <c r="BA851" s="151"/>
    </row>
    <row r="852" spans="1:53" hidden="1">
      <c r="A852" s="10">
        <f t="shared" si="209"/>
        <v>825</v>
      </c>
      <c r="B852" s="12">
        <f t="shared" si="210"/>
        <v>317</v>
      </c>
      <c r="C852" s="12" t="s">
        <v>185</v>
      </c>
      <c r="D852" s="12" t="s">
        <v>735</v>
      </c>
      <c r="E852" s="206">
        <v>1991</v>
      </c>
      <c r="F852" s="206">
        <v>1991</v>
      </c>
      <c r="G852" s="206" t="s">
        <v>3</v>
      </c>
      <c r="H852" s="206">
        <v>5</v>
      </c>
      <c r="I852" s="206">
        <v>4</v>
      </c>
      <c r="J852" s="62">
        <v>4793.7</v>
      </c>
      <c r="K852" s="62">
        <v>4325.8</v>
      </c>
      <c r="L852" s="62">
        <v>0</v>
      </c>
      <c r="M852" s="103">
        <v>190</v>
      </c>
      <c r="N852" s="28">
        <f t="shared" si="206"/>
        <v>4504828.59</v>
      </c>
      <c r="O852" s="30"/>
      <c r="P852" s="30"/>
      <c r="Q852" s="31"/>
      <c r="R852" s="31"/>
      <c r="S852" s="30">
        <v>4504828.59</v>
      </c>
      <c r="T852" s="31">
        <v>4504828.59</v>
      </c>
      <c r="U852" s="31"/>
      <c r="V852" s="146"/>
      <c r="W852" s="145"/>
      <c r="X852" s="145"/>
      <c r="Y852" s="146"/>
      <c r="Z852" s="145"/>
      <c r="AA852" s="145"/>
      <c r="AB852" s="146"/>
      <c r="AC852" s="147"/>
      <c r="AD852" s="147"/>
      <c r="AE852" s="30"/>
      <c r="AF852" s="30"/>
      <c r="AG852" s="211">
        <v>2024</v>
      </c>
      <c r="AH852" s="155"/>
      <c r="AL852" s="177">
        <f t="shared" si="208"/>
        <v>0</v>
      </c>
      <c r="AM852" s="62"/>
      <c r="AN852" s="62"/>
      <c r="AO852" s="62"/>
      <c r="AP852" s="62"/>
      <c r="AQ852" s="62"/>
      <c r="AR852" s="62"/>
      <c r="AS852" s="62"/>
      <c r="AT852" s="62"/>
      <c r="AU852" s="62"/>
      <c r="AV852" s="62"/>
      <c r="AW852" s="30">
        <v>4504828.59</v>
      </c>
      <c r="AX852" s="62"/>
      <c r="AY852" s="62"/>
      <c r="AZ852" s="62"/>
      <c r="BA852" s="151"/>
    </row>
    <row r="853" spans="1:53" hidden="1">
      <c r="A853" s="10">
        <f t="shared" si="209"/>
        <v>826</v>
      </c>
      <c r="B853" s="12">
        <f t="shared" si="210"/>
        <v>318</v>
      </c>
      <c r="C853" s="12" t="s">
        <v>185</v>
      </c>
      <c r="D853" s="12" t="s">
        <v>737</v>
      </c>
      <c r="E853" s="206">
        <v>1996</v>
      </c>
      <c r="F853" s="206">
        <v>1996</v>
      </c>
      <c r="G853" s="206" t="s">
        <v>3</v>
      </c>
      <c r="H853" s="206">
        <v>5</v>
      </c>
      <c r="I853" s="206">
        <v>3</v>
      </c>
      <c r="J853" s="62">
        <v>2575.6999999999998</v>
      </c>
      <c r="K853" s="62">
        <v>2285.6</v>
      </c>
      <c r="L853" s="62">
        <v>0</v>
      </c>
      <c r="M853" s="103">
        <v>96</v>
      </c>
      <c r="N853" s="28">
        <f t="shared" si="206"/>
        <v>4022692.46</v>
      </c>
      <c r="O853" s="30"/>
      <c r="P853" s="30"/>
      <c r="Q853" s="31"/>
      <c r="R853" s="31"/>
      <c r="S853" s="30">
        <v>4022692.46</v>
      </c>
      <c r="T853" s="31">
        <v>4022692.46</v>
      </c>
      <c r="U853" s="31"/>
      <c r="V853" s="146"/>
      <c r="W853" s="145"/>
      <c r="X853" s="145"/>
      <c r="Y853" s="146"/>
      <c r="Z853" s="145"/>
      <c r="AA853" s="145"/>
      <c r="AB853" s="146"/>
      <c r="AC853" s="147"/>
      <c r="AD853" s="147"/>
      <c r="AE853" s="30"/>
      <c r="AF853" s="30"/>
      <c r="AG853" s="211">
        <v>2024</v>
      </c>
      <c r="AH853" s="155"/>
      <c r="AL853" s="177">
        <f t="shared" si="208"/>
        <v>0</v>
      </c>
      <c r="AM853" s="62"/>
      <c r="AN853" s="62"/>
      <c r="AO853" s="62"/>
      <c r="AP853" s="62"/>
      <c r="AQ853" s="62"/>
      <c r="AR853" s="62"/>
      <c r="AS853" s="62"/>
      <c r="AT853" s="62"/>
      <c r="AU853" s="62"/>
      <c r="AV853" s="62"/>
      <c r="AW853" s="30">
        <v>4022692.46</v>
      </c>
      <c r="AX853" s="62"/>
      <c r="AY853" s="62"/>
      <c r="AZ853" s="62"/>
      <c r="BA853" s="151"/>
    </row>
    <row r="854" spans="1:53" hidden="1">
      <c r="A854" s="10">
        <f t="shared" si="209"/>
        <v>827</v>
      </c>
      <c r="B854" s="12">
        <f t="shared" si="210"/>
        <v>319</v>
      </c>
      <c r="C854" s="12" t="s">
        <v>185</v>
      </c>
      <c r="D854" s="12" t="s">
        <v>739</v>
      </c>
      <c r="E854" s="206">
        <v>1972</v>
      </c>
      <c r="F854" s="206">
        <v>1972</v>
      </c>
      <c r="G854" s="206" t="s">
        <v>3</v>
      </c>
      <c r="H854" s="206">
        <v>5</v>
      </c>
      <c r="I854" s="206">
        <v>4</v>
      </c>
      <c r="J854" s="62">
        <v>3135.5</v>
      </c>
      <c r="K854" s="62">
        <v>2483.8000000000002</v>
      </c>
      <c r="L854" s="62">
        <v>651.70000000000005</v>
      </c>
      <c r="M854" s="103">
        <v>95</v>
      </c>
      <c r="N854" s="28">
        <f t="shared" si="206"/>
        <v>4484607.8099999996</v>
      </c>
      <c r="O854" s="30"/>
      <c r="P854" s="30"/>
      <c r="Q854" s="31"/>
      <c r="R854" s="31"/>
      <c r="S854" s="30">
        <v>4484607.8099999996</v>
      </c>
      <c r="T854" s="31">
        <v>4484607.8099999996</v>
      </c>
      <c r="U854" s="31"/>
      <c r="V854" s="146"/>
      <c r="W854" s="145"/>
      <c r="X854" s="145"/>
      <c r="Y854" s="146"/>
      <c r="Z854" s="145"/>
      <c r="AA854" s="145"/>
      <c r="AB854" s="146"/>
      <c r="AC854" s="147"/>
      <c r="AD854" s="147"/>
      <c r="AE854" s="30"/>
      <c r="AF854" s="30"/>
      <c r="AG854" s="211">
        <v>2024</v>
      </c>
      <c r="AH854" s="155"/>
      <c r="AL854" s="177">
        <f t="shared" si="208"/>
        <v>0</v>
      </c>
      <c r="AM854" s="62"/>
      <c r="AN854" s="62"/>
      <c r="AO854" s="62"/>
      <c r="AP854" s="62"/>
      <c r="AQ854" s="62"/>
      <c r="AR854" s="62"/>
      <c r="AS854" s="62"/>
      <c r="AT854" s="62"/>
      <c r="AU854" s="62"/>
      <c r="AV854" s="62"/>
      <c r="AW854" s="30">
        <v>4484607.8099999996</v>
      </c>
      <c r="AX854" s="62"/>
      <c r="AY854" s="62"/>
      <c r="AZ854" s="62"/>
      <c r="BA854" s="151"/>
    </row>
    <row r="855" spans="1:53" hidden="1">
      <c r="A855" s="10">
        <f t="shared" si="209"/>
        <v>828</v>
      </c>
      <c r="B855" s="12">
        <f t="shared" si="210"/>
        <v>320</v>
      </c>
      <c r="C855" s="12" t="s">
        <v>185</v>
      </c>
      <c r="D855" s="12" t="s">
        <v>741</v>
      </c>
      <c r="E855" s="206">
        <v>1999</v>
      </c>
      <c r="F855" s="206">
        <v>1999</v>
      </c>
      <c r="G855" s="206" t="s">
        <v>3</v>
      </c>
      <c r="H855" s="206">
        <v>5</v>
      </c>
      <c r="I855" s="206">
        <v>1</v>
      </c>
      <c r="J855" s="62">
        <v>1935.9</v>
      </c>
      <c r="K855" s="62">
        <v>1434.9</v>
      </c>
      <c r="L855" s="62">
        <v>373.6</v>
      </c>
      <c r="M855" s="103">
        <v>50</v>
      </c>
      <c r="N855" s="28">
        <f t="shared" si="206"/>
        <v>3409403.7</v>
      </c>
      <c r="O855" s="30"/>
      <c r="P855" s="30"/>
      <c r="Q855" s="31"/>
      <c r="R855" s="31"/>
      <c r="S855" s="30">
        <v>3409403.7</v>
      </c>
      <c r="T855" s="31">
        <v>3409403.7</v>
      </c>
      <c r="U855" s="31"/>
      <c r="V855" s="146"/>
      <c r="W855" s="145"/>
      <c r="X855" s="145"/>
      <c r="Y855" s="146"/>
      <c r="Z855" s="145"/>
      <c r="AA855" s="145"/>
      <c r="AB855" s="146"/>
      <c r="AC855" s="147"/>
      <c r="AD855" s="147"/>
      <c r="AE855" s="30"/>
      <c r="AF855" s="30"/>
      <c r="AG855" s="211">
        <v>2024</v>
      </c>
      <c r="AH855" s="155"/>
      <c r="AL855" s="177">
        <f t="shared" si="208"/>
        <v>0</v>
      </c>
      <c r="AM855" s="62"/>
      <c r="AN855" s="62"/>
      <c r="AO855" s="62"/>
      <c r="AP855" s="62"/>
      <c r="AQ855" s="62"/>
      <c r="AR855" s="62"/>
      <c r="AS855" s="62"/>
      <c r="AT855" s="62"/>
      <c r="AU855" s="62"/>
      <c r="AV855" s="62"/>
      <c r="AW855" s="30">
        <v>3409403.7</v>
      </c>
      <c r="AX855" s="62"/>
      <c r="AY855" s="62"/>
      <c r="AZ855" s="62"/>
      <c r="BA855" s="151"/>
    </row>
    <row r="856" spans="1:53" hidden="1">
      <c r="A856" s="10">
        <f t="shared" si="209"/>
        <v>829</v>
      </c>
      <c r="B856" s="12" t="s">
        <v>96</v>
      </c>
      <c r="C856" s="12" t="s">
        <v>185</v>
      </c>
      <c r="D856" s="12" t="s">
        <v>283</v>
      </c>
      <c r="E856" s="206">
        <v>1963</v>
      </c>
      <c r="F856" s="206">
        <v>1963</v>
      </c>
      <c r="G856" s="206" t="s">
        <v>3</v>
      </c>
      <c r="H856" s="206">
        <v>4</v>
      </c>
      <c r="I856" s="206">
        <v>2</v>
      </c>
      <c r="J856" s="62">
        <v>1240.4000000000001</v>
      </c>
      <c r="K856" s="62">
        <v>1075.8</v>
      </c>
      <c r="L856" s="62">
        <v>111.9</v>
      </c>
      <c r="M856" s="103">
        <v>70</v>
      </c>
      <c r="N856" s="28">
        <f t="shared" si="206"/>
        <v>2705460.56</v>
      </c>
      <c r="O856" s="30"/>
      <c r="P856" s="30"/>
      <c r="Q856" s="31"/>
      <c r="R856" s="31"/>
      <c r="S856" s="30">
        <v>2705460.56</v>
      </c>
      <c r="T856" s="31">
        <v>2705460.56</v>
      </c>
      <c r="U856" s="31"/>
      <c r="V856" s="146"/>
      <c r="W856" s="145"/>
      <c r="X856" s="145"/>
      <c r="Y856" s="146"/>
      <c r="Z856" s="145"/>
      <c r="AA856" s="145"/>
      <c r="AB856" s="146"/>
      <c r="AC856" s="147"/>
      <c r="AD856" s="147"/>
      <c r="AE856" s="30"/>
      <c r="AF856" s="30"/>
      <c r="AG856" s="211">
        <v>2024</v>
      </c>
      <c r="AH856" s="155"/>
      <c r="AL856" s="177">
        <f t="shared" si="208"/>
        <v>0</v>
      </c>
      <c r="AM856" s="62"/>
      <c r="AN856" s="62"/>
      <c r="AO856" s="62"/>
      <c r="AP856" s="62"/>
      <c r="AQ856" s="62"/>
      <c r="AR856" s="62"/>
      <c r="AS856" s="62"/>
      <c r="AT856" s="62"/>
      <c r="AU856" s="62"/>
      <c r="AV856" s="62"/>
      <c r="AW856" s="30">
        <v>2705460.56</v>
      </c>
      <c r="AX856" s="62"/>
      <c r="AY856" s="62"/>
      <c r="AZ856" s="62"/>
      <c r="BA856" s="151"/>
    </row>
    <row r="857" spans="1:53" hidden="1">
      <c r="A857" s="10">
        <f t="shared" si="209"/>
        <v>830</v>
      </c>
      <c r="B857" s="12">
        <f>+B855+1</f>
        <v>321</v>
      </c>
      <c r="C857" s="12" t="s">
        <v>185</v>
      </c>
      <c r="D857" s="12" t="s">
        <v>290</v>
      </c>
      <c r="E857" s="206" t="s">
        <v>204</v>
      </c>
      <c r="F857" s="206">
        <v>2023</v>
      </c>
      <c r="G857" s="206" t="s">
        <v>3</v>
      </c>
      <c r="H857" s="206">
        <v>5</v>
      </c>
      <c r="I857" s="206">
        <v>3</v>
      </c>
      <c r="J857" s="62">
        <v>5170.7</v>
      </c>
      <c r="K857" s="62">
        <v>2871.7</v>
      </c>
      <c r="L857" s="62">
        <v>2299</v>
      </c>
      <c r="M857" s="103">
        <v>334</v>
      </c>
      <c r="N857" s="28">
        <f t="shared" si="206"/>
        <v>8012938.6200000001</v>
      </c>
      <c r="O857" s="30"/>
      <c r="P857" s="30"/>
      <c r="Q857" s="31"/>
      <c r="R857" s="31"/>
      <c r="S857" s="30">
        <v>8012938.6200000001</v>
      </c>
      <c r="T857" s="31">
        <v>8012938.6200000001</v>
      </c>
      <c r="U857" s="31"/>
      <c r="V857" s="146"/>
      <c r="W857" s="145"/>
      <c r="X857" s="145"/>
      <c r="Y857" s="146"/>
      <c r="Z857" s="145"/>
      <c r="AA857" s="145"/>
      <c r="AB857" s="146"/>
      <c r="AC857" s="147"/>
      <c r="AD857" s="147"/>
      <c r="AE857" s="30"/>
      <c r="AF857" s="30"/>
      <c r="AG857" s="211">
        <v>2024</v>
      </c>
      <c r="AH857" s="155"/>
      <c r="AL857" s="177">
        <f t="shared" si="208"/>
        <v>0</v>
      </c>
      <c r="AM857" s="62"/>
      <c r="AN857" s="62"/>
      <c r="AO857" s="62"/>
      <c r="AP857" s="62"/>
      <c r="AQ857" s="62"/>
      <c r="AR857" s="62"/>
      <c r="AS857" s="62"/>
      <c r="AT857" s="62"/>
      <c r="AU857" s="62"/>
      <c r="AV857" s="62"/>
      <c r="AW857" s="30">
        <v>8012938.6200000001</v>
      </c>
      <c r="AX857" s="62"/>
      <c r="AY857" s="62"/>
      <c r="AZ857" s="62"/>
      <c r="BA857" s="151"/>
    </row>
    <row r="858" spans="1:53" hidden="1">
      <c r="A858" s="10">
        <f t="shared" si="209"/>
        <v>831</v>
      </c>
      <c r="B858" s="12">
        <f>+B857+1</f>
        <v>322</v>
      </c>
      <c r="C858" s="12" t="s">
        <v>185</v>
      </c>
      <c r="D858" s="12" t="s">
        <v>740</v>
      </c>
      <c r="E858" s="206">
        <v>1980</v>
      </c>
      <c r="F858" s="206">
        <v>1980</v>
      </c>
      <c r="G858" s="206" t="s">
        <v>3</v>
      </c>
      <c r="H858" s="206">
        <v>4</v>
      </c>
      <c r="I858" s="206">
        <v>6</v>
      </c>
      <c r="J858" s="62">
        <v>5816.9</v>
      </c>
      <c r="K858" s="62">
        <v>5011.5</v>
      </c>
      <c r="L858" s="62">
        <v>0</v>
      </c>
      <c r="M858" s="103">
        <v>221</v>
      </c>
      <c r="N858" s="28">
        <f t="shared" si="206"/>
        <v>4123351.24</v>
      </c>
      <c r="O858" s="30"/>
      <c r="P858" s="30"/>
      <c r="Q858" s="31"/>
      <c r="R858" s="31"/>
      <c r="S858" s="30">
        <v>4123351.24</v>
      </c>
      <c r="T858" s="31">
        <v>4123351.24</v>
      </c>
      <c r="U858" s="31"/>
      <c r="V858" s="146"/>
      <c r="W858" s="145"/>
      <c r="X858" s="145"/>
      <c r="Y858" s="146"/>
      <c r="Z858" s="145"/>
      <c r="AA858" s="145"/>
      <c r="AB858" s="146"/>
      <c r="AC858" s="147"/>
      <c r="AD858" s="147"/>
      <c r="AE858" s="30"/>
      <c r="AF858" s="30"/>
      <c r="AG858" s="211">
        <v>2024</v>
      </c>
      <c r="AH858" s="155"/>
      <c r="AL858" s="177">
        <f t="shared" si="208"/>
        <v>0</v>
      </c>
      <c r="AM858" s="62"/>
      <c r="AN858" s="62"/>
      <c r="AO858" s="62"/>
      <c r="AP858" s="62"/>
      <c r="AQ858" s="62"/>
      <c r="AR858" s="62"/>
      <c r="AS858" s="62"/>
      <c r="AT858" s="62"/>
      <c r="AU858" s="62"/>
      <c r="AV858" s="62"/>
      <c r="AW858" s="30">
        <v>4123351.24</v>
      </c>
      <c r="AX858" s="62"/>
      <c r="AY858" s="62"/>
      <c r="AZ858" s="62"/>
      <c r="BA858" s="151"/>
    </row>
    <row r="859" spans="1:53" hidden="1">
      <c r="A859" s="10">
        <f t="shared" si="209"/>
        <v>832</v>
      </c>
      <c r="B859" s="12">
        <f>+B858+1</f>
        <v>323</v>
      </c>
      <c r="C859" s="12" t="s">
        <v>185</v>
      </c>
      <c r="D859" s="12" t="s">
        <v>742</v>
      </c>
      <c r="E859" s="206">
        <v>1993</v>
      </c>
      <c r="F859" s="206">
        <v>1993</v>
      </c>
      <c r="G859" s="206" t="s">
        <v>3</v>
      </c>
      <c r="H859" s="206">
        <v>3</v>
      </c>
      <c r="I859" s="206">
        <v>3</v>
      </c>
      <c r="J859" s="62">
        <v>2561.5</v>
      </c>
      <c r="K859" s="62">
        <v>2407.1</v>
      </c>
      <c r="L859" s="62">
        <v>0</v>
      </c>
      <c r="M859" s="103">
        <v>130</v>
      </c>
      <c r="N859" s="28">
        <f t="shared" si="206"/>
        <v>6306560.5599999996</v>
      </c>
      <c r="O859" s="30"/>
      <c r="P859" s="30"/>
      <c r="Q859" s="31"/>
      <c r="R859" s="31"/>
      <c r="S859" s="30">
        <v>6306560.5599999996</v>
      </c>
      <c r="T859" s="31">
        <v>6306560.5599999996</v>
      </c>
      <c r="U859" s="31"/>
      <c r="V859" s="146"/>
      <c r="W859" s="145"/>
      <c r="X859" s="145"/>
      <c r="Y859" s="146"/>
      <c r="Z859" s="145"/>
      <c r="AA859" s="145"/>
      <c r="AB859" s="146"/>
      <c r="AC859" s="147"/>
      <c r="AD859" s="147"/>
      <c r="AE859" s="30"/>
      <c r="AF859" s="30"/>
      <c r="AG859" s="211">
        <v>2024</v>
      </c>
      <c r="AH859" s="155"/>
      <c r="AL859" s="177">
        <f t="shared" si="208"/>
        <v>0</v>
      </c>
      <c r="AM859" s="62"/>
      <c r="AN859" s="62"/>
      <c r="AO859" s="62"/>
      <c r="AP859" s="62"/>
      <c r="AQ859" s="62"/>
      <c r="AR859" s="62"/>
      <c r="AS859" s="62"/>
      <c r="AT859" s="62"/>
      <c r="AU859" s="62"/>
      <c r="AV859" s="62"/>
      <c r="AW859" s="30">
        <v>6306560.5599999996</v>
      </c>
      <c r="AX859" s="62"/>
      <c r="AY859" s="62"/>
      <c r="AZ859" s="62"/>
      <c r="BA859" s="151"/>
    </row>
    <row r="860" spans="1:53" hidden="1">
      <c r="A860" s="10">
        <f t="shared" si="209"/>
        <v>833</v>
      </c>
      <c r="B860" s="12">
        <f>+B859+1</f>
        <v>324</v>
      </c>
      <c r="C860" s="12" t="s">
        <v>185</v>
      </c>
      <c r="D860" s="12" t="s">
        <v>743</v>
      </c>
      <c r="E860" s="206">
        <v>1996</v>
      </c>
      <c r="F860" s="206">
        <v>1996</v>
      </c>
      <c r="G860" s="206" t="s">
        <v>3</v>
      </c>
      <c r="H860" s="206">
        <v>2</v>
      </c>
      <c r="I860" s="206">
        <v>3</v>
      </c>
      <c r="J860" s="62">
        <v>1766.8</v>
      </c>
      <c r="K860" s="62">
        <v>1461.5</v>
      </c>
      <c r="L860" s="62">
        <v>0</v>
      </c>
      <c r="M860" s="103">
        <v>66</v>
      </c>
      <c r="N860" s="28">
        <f t="shared" si="206"/>
        <v>2496013.4700000002</v>
      </c>
      <c r="O860" s="30"/>
      <c r="P860" s="30"/>
      <c r="Q860" s="31"/>
      <c r="R860" s="31"/>
      <c r="S860" s="30">
        <v>2496013.4700000002</v>
      </c>
      <c r="T860" s="31">
        <v>2496013.4700000002</v>
      </c>
      <c r="U860" s="31"/>
      <c r="V860" s="146"/>
      <c r="W860" s="145"/>
      <c r="X860" s="145"/>
      <c r="Y860" s="146"/>
      <c r="Z860" s="145"/>
      <c r="AA860" s="145"/>
      <c r="AB860" s="146"/>
      <c r="AC860" s="147"/>
      <c r="AD860" s="147"/>
      <c r="AE860" s="30"/>
      <c r="AF860" s="30"/>
      <c r="AG860" s="211">
        <v>2024</v>
      </c>
      <c r="AH860" s="155"/>
      <c r="AL860" s="177">
        <f t="shared" si="208"/>
        <v>0</v>
      </c>
      <c r="AM860" s="62"/>
      <c r="AN860" s="62"/>
      <c r="AO860" s="62"/>
      <c r="AP860" s="62"/>
      <c r="AQ860" s="62"/>
      <c r="AR860" s="62"/>
      <c r="AS860" s="62"/>
      <c r="AT860" s="62"/>
      <c r="AU860" s="62"/>
      <c r="AV860" s="62"/>
      <c r="AW860" s="30">
        <v>2496013.4700000002</v>
      </c>
      <c r="AX860" s="62"/>
      <c r="AY860" s="62"/>
      <c r="AZ860" s="62"/>
      <c r="BA860" s="151"/>
    </row>
    <row r="861" spans="1:53" hidden="1">
      <c r="A861" s="267">
        <f t="shared" si="209"/>
        <v>834</v>
      </c>
      <c r="B861" s="268">
        <f>+B860+1</f>
        <v>325</v>
      </c>
      <c r="C861" s="268" t="s">
        <v>185</v>
      </c>
      <c r="D861" s="268" t="s">
        <v>744</v>
      </c>
      <c r="E861" s="269">
        <v>1994</v>
      </c>
      <c r="F861" s="269">
        <v>1994</v>
      </c>
      <c r="G861" s="269" t="s">
        <v>3</v>
      </c>
      <c r="H861" s="269">
        <v>2</v>
      </c>
      <c r="I861" s="269">
        <v>4</v>
      </c>
      <c r="J861" s="270">
        <v>2338.3000000000002</v>
      </c>
      <c r="K861" s="270">
        <v>1936</v>
      </c>
      <c r="L861" s="270">
        <v>0</v>
      </c>
      <c r="M861" s="271">
        <v>66</v>
      </c>
      <c r="N861" s="28">
        <f t="shared" si="206"/>
        <v>2568054.2400000002</v>
      </c>
      <c r="O861" s="272"/>
      <c r="P861" s="272"/>
      <c r="Q861" s="273"/>
      <c r="R861" s="273"/>
      <c r="S861" s="272">
        <v>2568054.2400000002</v>
      </c>
      <c r="T861" s="273">
        <v>2568054.2400000002</v>
      </c>
      <c r="U861" s="273"/>
      <c r="V861" s="274"/>
      <c r="W861" s="275"/>
      <c r="X861" s="275"/>
      <c r="Y861" s="274"/>
      <c r="Z861" s="275"/>
      <c r="AA861" s="275"/>
      <c r="AB861" s="274"/>
      <c r="AC861" s="276"/>
      <c r="AD861" s="276"/>
      <c r="AE861" s="272"/>
      <c r="AF861" s="277"/>
      <c r="AG861" s="278">
        <v>2024</v>
      </c>
      <c r="AH861" s="155"/>
      <c r="AL861" s="274">
        <f t="shared" si="208"/>
        <v>0</v>
      </c>
      <c r="AM861" s="270"/>
      <c r="AN861" s="270"/>
      <c r="AO861" s="270"/>
      <c r="AP861" s="270"/>
      <c r="AQ861" s="270"/>
      <c r="AR861" s="270"/>
      <c r="AS861" s="270"/>
      <c r="AT861" s="270"/>
      <c r="AU861" s="270"/>
      <c r="AV861" s="270"/>
      <c r="AW861" s="272">
        <v>2568054.2400000002</v>
      </c>
      <c r="AX861" s="270"/>
      <c r="AY861" s="270"/>
      <c r="AZ861" s="270"/>
      <c r="BA861" s="281"/>
    </row>
    <row r="862" spans="1:53" hidden="1">
      <c r="AW862" s="1">
        <v>2517148.31</v>
      </c>
    </row>
    <row r="863" spans="1:53" hidden="1">
      <c r="B863" s="244"/>
      <c r="E863" s="244"/>
      <c r="V863" s="5"/>
      <c r="W863" s="7"/>
      <c r="X863" s="7"/>
      <c r="Y863" s="5"/>
      <c r="Z863" s="7"/>
      <c r="AA863" s="7"/>
      <c r="AB863" s="5"/>
      <c r="AC863" s="8"/>
      <c r="AD863" s="8"/>
    </row>
    <row r="864" spans="1:53" hidden="1">
      <c r="E864" s="1"/>
    </row>
    <row r="865" spans="2:33" hidden="1">
      <c r="E865" s="1"/>
      <c r="AG865" s="279"/>
    </row>
    <row r="866" spans="2:33">
      <c r="B866" s="280"/>
      <c r="V866" s="5"/>
      <c r="W866" s="7"/>
      <c r="X866" s="7"/>
      <c r="AG866" s="279"/>
    </row>
    <row r="867" spans="2:33">
      <c r="C867" s="244" t="s">
        <v>745</v>
      </c>
      <c r="V867" s="5"/>
      <c r="W867" s="7"/>
      <c r="X867" s="7"/>
      <c r="Y867" s="5"/>
      <c r="Z867" s="7"/>
      <c r="AA867" s="7"/>
      <c r="AB867" s="5"/>
      <c r="AC867" s="8"/>
      <c r="AD867" s="8"/>
    </row>
    <row r="868" spans="2:33">
      <c r="C868" s="244" t="s">
        <v>746</v>
      </c>
      <c r="D868" s="244"/>
      <c r="P868" s="282"/>
      <c r="Q868" s="283"/>
      <c r="R868" s="283"/>
      <c r="V868" s="5"/>
      <c r="W868" s="7"/>
      <c r="X868" s="7"/>
      <c r="Y868" s="5"/>
      <c r="Z868" s="7"/>
      <c r="AA868" s="7"/>
      <c r="AB868" s="5"/>
      <c r="AC868" s="8"/>
      <c r="AD868" s="8"/>
    </row>
    <row r="869" spans="2:33">
      <c r="C869" s="280" t="s">
        <v>716</v>
      </c>
      <c r="D869" s="284" t="s">
        <v>607</v>
      </c>
      <c r="Y869" s="5"/>
      <c r="Z869" s="7"/>
      <c r="AA869" s="7"/>
      <c r="AB869" s="5"/>
      <c r="AC869" s="8"/>
      <c r="AD869" s="8"/>
    </row>
    <row r="870" spans="2:33">
      <c r="C870" s="280" t="s">
        <v>716</v>
      </c>
      <c r="D870" s="284" t="s">
        <v>485</v>
      </c>
      <c r="P870" s="18"/>
      <c r="Q870" s="20"/>
      <c r="R870" s="20"/>
      <c r="V870" s="5"/>
      <c r="W870" s="7"/>
      <c r="X870" s="7"/>
      <c r="Y870" s="18"/>
      <c r="Z870" s="20"/>
      <c r="AA870" s="20"/>
      <c r="AB870" s="18"/>
      <c r="AC870" s="21"/>
      <c r="AD870" s="21"/>
    </row>
    <row r="871" spans="2:33">
      <c r="Y871" s="5"/>
      <c r="Z871" s="7"/>
      <c r="AA871" s="7"/>
      <c r="AB871" s="5"/>
      <c r="AC871" s="8"/>
      <c r="AD871" s="8"/>
    </row>
  </sheetData>
  <autoFilter ref="A12:AJ865">
    <filterColumn colId="3">
      <filters>
        <filter val="Алданский у, п. Ленинский, ул. Карла Маркса, д. 16"/>
      </filters>
    </filterColumn>
  </autoFilter>
  <mergeCells count="33">
    <mergeCell ref="BA10:BA11"/>
    <mergeCell ref="AZ10:AZ11"/>
    <mergeCell ref="AY10:AY11"/>
    <mergeCell ref="AX10:AX11"/>
    <mergeCell ref="AW10:AW11"/>
    <mergeCell ref="AV10:AV11"/>
    <mergeCell ref="AU10:AU11"/>
    <mergeCell ref="AT10:AT11"/>
    <mergeCell ref="AM10:AS10"/>
    <mergeCell ref="AL9:AL11"/>
    <mergeCell ref="A6:AG6"/>
    <mergeCell ref="N9:AB9"/>
    <mergeCell ref="O10:AB10"/>
    <mergeCell ref="N10:N11"/>
    <mergeCell ref="M9:M11"/>
    <mergeCell ref="K9:L9"/>
    <mergeCell ref="L10:L11"/>
    <mergeCell ref="K10:K11"/>
    <mergeCell ref="J9:J11"/>
    <mergeCell ref="I9:I12"/>
    <mergeCell ref="H9:H12"/>
    <mergeCell ref="G9:G12"/>
    <mergeCell ref="E9:F9"/>
    <mergeCell ref="C835:D835"/>
    <mergeCell ref="F10:F12"/>
    <mergeCell ref="AG9:AG12"/>
    <mergeCell ref="AF9:AF11"/>
    <mergeCell ref="AE9:AE11"/>
    <mergeCell ref="A9:A12"/>
    <mergeCell ref="B9:B12"/>
    <mergeCell ref="E10:E12"/>
    <mergeCell ref="C9:C12"/>
    <mergeCell ref="D9:D12"/>
  </mergeCells>
  <conditionalFormatting sqref="D459 D670 D742 D761:D764">
    <cfRule type="duplicateValues" dxfId="213" priority="130"/>
  </conditionalFormatting>
  <conditionalFormatting sqref="D27 D69 D112 D177 D216 D273 D289:D290 D325 D335 D338 D355:D356 D367:D368 D389 D403 D445 D460 D467 D489:D490 D518 D531 D549 D553 D556 D658:D659 D666:D668 D681 D741 D746 D767 D769 D776 D778 D780 D782 D817 D829">
    <cfRule type="duplicateValues" dxfId="212" priority="129"/>
  </conditionalFormatting>
  <conditionalFormatting sqref="D671 D765:D766 D768">
    <cfRule type="duplicateValues" dxfId="211" priority="128"/>
  </conditionalFormatting>
  <conditionalFormatting sqref="D372">
    <cfRule type="duplicateValues" dxfId="210" priority="127"/>
  </conditionalFormatting>
  <conditionalFormatting sqref="D344 D347">
    <cfRule type="duplicateValues" dxfId="209" priority="126"/>
  </conditionalFormatting>
  <conditionalFormatting sqref="D374 D478">
    <cfRule type="duplicateValues" dxfId="208" priority="125"/>
  </conditionalFormatting>
  <conditionalFormatting sqref="D469:D470">
    <cfRule type="duplicateValues" dxfId="207" priority="124"/>
  </conditionalFormatting>
  <conditionalFormatting sqref="D346">
    <cfRule type="duplicateValues" dxfId="206" priority="123"/>
  </conditionalFormatting>
  <conditionalFormatting sqref="D343">
    <cfRule type="duplicateValues" dxfId="205" priority="122"/>
  </conditionalFormatting>
  <conditionalFormatting sqref="D512">
    <cfRule type="duplicateValues" dxfId="204" priority="121"/>
  </conditionalFormatting>
  <conditionalFormatting sqref="D18:D25 D28:D48 D50:D51 D53:D54 D56:D57 D59 D61:D65 D67:D68 D70:D74 D77 D80:D94 D96 D98:D105 D107:D108 D110 D113:D114 D117:D121 D123:D126 D128:D129 D132:D135 D137 D139 D145:D153 D155:D162 D164:D167 D170 D172 D176 D180:D191 D193:D202 D218 D454">
    <cfRule type="duplicateValues" dxfId="203" priority="120"/>
  </conditionalFormatting>
  <conditionalFormatting sqref="D404">
    <cfRule type="duplicateValues" dxfId="202" priority="119"/>
  </conditionalFormatting>
  <conditionalFormatting sqref="D517">
    <cfRule type="duplicateValues" dxfId="201" priority="118"/>
  </conditionalFormatting>
  <conditionalFormatting sqref="D243">
    <cfRule type="duplicateValues" dxfId="200" priority="117"/>
  </conditionalFormatting>
  <conditionalFormatting sqref="D602">
    <cfRule type="duplicateValues" dxfId="199" priority="116"/>
  </conditionalFormatting>
  <conditionalFormatting sqref="D771">
    <cfRule type="duplicateValues" dxfId="198" priority="115"/>
  </conditionalFormatting>
  <conditionalFormatting sqref="D676">
    <cfRule type="duplicateValues" dxfId="197" priority="114"/>
  </conditionalFormatting>
  <conditionalFormatting sqref="D417">
    <cfRule type="duplicateValues" dxfId="196" priority="113"/>
  </conditionalFormatting>
  <conditionalFormatting sqref="D283">
    <cfRule type="duplicateValues" dxfId="195" priority="112"/>
  </conditionalFormatting>
  <conditionalFormatting sqref="D693">
    <cfRule type="duplicateValues" dxfId="194" priority="111"/>
  </conditionalFormatting>
  <conditionalFormatting sqref="D694">
    <cfRule type="duplicateValues" dxfId="193" priority="110"/>
  </conditionalFormatting>
  <conditionalFormatting sqref="D690">
    <cfRule type="duplicateValues" dxfId="192" priority="109"/>
  </conditionalFormatting>
  <conditionalFormatting sqref="D827">
    <cfRule type="duplicateValues" dxfId="191" priority="108"/>
  </conditionalFormatting>
  <conditionalFormatting sqref="D828">
    <cfRule type="duplicateValues" dxfId="190" priority="107"/>
  </conditionalFormatting>
  <conditionalFormatting sqref="D375">
    <cfRule type="duplicateValues" dxfId="189" priority="106"/>
  </conditionalFormatting>
  <conditionalFormatting sqref="D213">
    <cfRule type="duplicateValues" dxfId="188" priority="105"/>
  </conditionalFormatting>
  <conditionalFormatting sqref="D231">
    <cfRule type="duplicateValues" dxfId="187" priority="104"/>
  </conditionalFormatting>
  <conditionalFormatting sqref="D241">
    <cfRule type="duplicateValues" dxfId="186" priority="103"/>
  </conditionalFormatting>
  <conditionalFormatting sqref="D66">
    <cfRule type="duplicateValues" dxfId="185" priority="102"/>
  </conditionalFormatting>
  <conditionalFormatting sqref="D106">
    <cfRule type="duplicateValues" dxfId="184" priority="101"/>
  </conditionalFormatting>
  <conditionalFormatting sqref="D302">
    <cfRule type="duplicateValues" dxfId="183" priority="100"/>
  </conditionalFormatting>
  <conditionalFormatting sqref="D136">
    <cfRule type="duplicateValues" dxfId="182" priority="99"/>
  </conditionalFormatting>
  <conditionalFormatting sqref="D138">
    <cfRule type="duplicateValues" dxfId="181" priority="98"/>
  </conditionalFormatting>
  <conditionalFormatting sqref="D680">
    <cfRule type="duplicateValues" dxfId="180" priority="97"/>
  </conditionalFormatting>
  <conditionalFormatting sqref="D477">
    <cfRule type="duplicateValues" dxfId="179" priority="96"/>
  </conditionalFormatting>
  <conditionalFormatting sqref="D369:D371">
    <cfRule type="duplicateValues" dxfId="178" priority="95"/>
  </conditionalFormatting>
  <conditionalFormatting sqref="D209">
    <cfRule type="duplicateValues" dxfId="177" priority="94"/>
  </conditionalFormatting>
  <conditionalFormatting sqref="D217">
    <cfRule type="duplicateValues" dxfId="176" priority="93"/>
  </conditionalFormatting>
  <conditionalFormatting sqref="D710">
    <cfRule type="duplicateValues" dxfId="175" priority="92"/>
  </conditionalFormatting>
  <conditionalFormatting sqref="D523">
    <cfRule type="duplicateValues" dxfId="174" priority="91"/>
  </conditionalFormatting>
  <conditionalFormatting sqref="D247">
    <cfRule type="duplicateValues" dxfId="173" priority="90"/>
  </conditionalFormatting>
  <conditionalFormatting sqref="D563">
    <cfRule type="duplicateValues" dxfId="172" priority="89"/>
  </conditionalFormatting>
  <conditionalFormatting sqref="D266">
    <cfRule type="duplicateValues" dxfId="171" priority="88"/>
  </conditionalFormatting>
  <conditionalFormatting sqref="D598">
    <cfRule type="duplicateValues" dxfId="170" priority="87"/>
  </conditionalFormatting>
  <conditionalFormatting sqref="D308">
    <cfRule type="duplicateValues" dxfId="169" priority="86"/>
  </conditionalFormatting>
  <conditionalFormatting sqref="D434">
    <cfRule type="duplicateValues" dxfId="168" priority="85"/>
  </conditionalFormatting>
  <conditionalFormatting sqref="D332:D333">
    <cfRule type="duplicateValues" dxfId="167" priority="84"/>
  </conditionalFormatting>
  <conditionalFormatting sqref="D354">
    <cfRule type="duplicateValues" dxfId="166" priority="83"/>
  </conditionalFormatting>
  <conditionalFormatting sqref="D169">
    <cfRule type="duplicateValues" dxfId="165" priority="82"/>
  </conditionalFormatting>
  <conditionalFormatting sqref="D173">
    <cfRule type="duplicateValues" dxfId="164" priority="81"/>
  </conditionalFormatting>
  <conditionalFormatting sqref="D245">
    <cfRule type="duplicateValues" dxfId="163" priority="80"/>
  </conditionalFormatting>
  <conditionalFormatting sqref="D269">
    <cfRule type="duplicateValues" dxfId="162" priority="79"/>
  </conditionalFormatting>
  <conditionalFormatting sqref="D586">
    <cfRule type="duplicateValues" dxfId="161" priority="78"/>
  </conditionalFormatting>
  <conditionalFormatting sqref="D282">
    <cfRule type="duplicateValues" dxfId="160" priority="77"/>
  </conditionalFormatting>
  <conditionalFormatting sqref="D294">
    <cfRule type="duplicateValues" dxfId="159" priority="76"/>
  </conditionalFormatting>
  <conditionalFormatting sqref="D314">
    <cfRule type="duplicateValues" dxfId="158" priority="75"/>
  </conditionalFormatting>
  <conditionalFormatting sqref="D453">
    <cfRule type="duplicateValues" dxfId="157" priority="74"/>
  </conditionalFormatting>
  <conditionalFormatting sqref="D175">
    <cfRule type="duplicateValues" dxfId="156" priority="73"/>
  </conditionalFormatting>
  <conditionalFormatting sqref="D49">
    <cfRule type="duplicateValues" dxfId="155" priority="72"/>
  </conditionalFormatting>
  <conditionalFormatting sqref="D242">
    <cfRule type="duplicateValues" dxfId="154" priority="71"/>
  </conditionalFormatting>
  <conditionalFormatting sqref="D608">
    <cfRule type="duplicateValues" dxfId="153" priority="70"/>
  </conditionalFormatting>
  <conditionalFormatting sqref="D497">
    <cfRule type="duplicateValues" dxfId="152" priority="69"/>
  </conditionalFormatting>
  <conditionalFormatting sqref="D830">
    <cfRule type="duplicateValues" dxfId="151" priority="68"/>
  </conditionalFormatting>
  <conditionalFormatting sqref="D386">
    <cfRule type="duplicateValues" dxfId="150" priority="67"/>
  </conditionalFormatting>
  <conditionalFormatting sqref="D220">
    <cfRule type="duplicateValues" dxfId="149" priority="66"/>
  </conditionalFormatting>
  <conditionalFormatting sqref="D221">
    <cfRule type="duplicateValues" dxfId="148" priority="65"/>
  </conditionalFormatting>
  <conditionalFormatting sqref="D244">
    <cfRule type="duplicateValues" dxfId="147" priority="64"/>
  </conditionalFormatting>
  <conditionalFormatting sqref="D248">
    <cfRule type="duplicateValues" dxfId="146" priority="63"/>
  </conditionalFormatting>
  <conditionalFormatting sqref="D279">
    <cfRule type="duplicateValues" dxfId="145" priority="62"/>
  </conditionalFormatting>
  <conditionalFormatting sqref="D318:D319">
    <cfRule type="duplicateValues" dxfId="144" priority="61"/>
  </conditionalFormatting>
  <conditionalFormatting sqref="D373">
    <cfRule type="duplicateValues" dxfId="143" priority="60"/>
  </conditionalFormatting>
  <conditionalFormatting sqref="D171">
    <cfRule type="duplicateValues" dxfId="142" priority="59"/>
  </conditionalFormatting>
  <conditionalFormatting sqref="D576">
    <cfRule type="duplicateValues" dxfId="141" priority="58"/>
  </conditionalFormatting>
  <conditionalFormatting sqref="D219">
    <cfRule type="duplicateValues" dxfId="140" priority="57"/>
  </conditionalFormatting>
  <conditionalFormatting sqref="D613">
    <cfRule type="duplicateValues" dxfId="139" priority="56"/>
  </conditionalFormatting>
  <conditionalFormatting sqref="D382">
    <cfRule type="duplicateValues" dxfId="138" priority="55"/>
  </conditionalFormatting>
  <conditionalFormatting sqref="D240">
    <cfRule type="duplicateValues" dxfId="137" priority="54"/>
  </conditionalFormatting>
  <conditionalFormatting sqref="D419">
    <cfRule type="duplicateValues" dxfId="136" priority="53"/>
  </conditionalFormatting>
  <conditionalFormatting sqref="D306">
    <cfRule type="duplicateValues" dxfId="135" priority="52"/>
  </conditionalFormatting>
  <conditionalFormatting sqref="D483">
    <cfRule type="duplicateValues" dxfId="134" priority="51"/>
  </conditionalFormatting>
  <conditionalFormatting sqref="D535">
    <cfRule type="duplicateValues" dxfId="133" priority="50"/>
  </conditionalFormatting>
  <conditionalFormatting sqref="D595">
    <cfRule type="duplicateValues" dxfId="132" priority="49"/>
  </conditionalFormatting>
  <conditionalFormatting sqref="D599">
    <cfRule type="duplicateValues" dxfId="131" priority="48"/>
  </conditionalFormatting>
  <conditionalFormatting sqref="D636">
    <cfRule type="duplicateValues" dxfId="130" priority="47"/>
  </conditionalFormatting>
  <conditionalFormatting sqref="D672">
    <cfRule type="duplicateValues" dxfId="129" priority="46"/>
  </conditionalFormatting>
  <conditionalFormatting sqref="D743">
    <cfRule type="duplicateValues" dxfId="128" priority="45"/>
  </conditionalFormatting>
  <conditionalFormatting sqref="D660">
    <cfRule type="duplicateValues" dxfId="127" priority="44"/>
  </conditionalFormatting>
  <conditionalFormatting sqref="D300">
    <cfRule type="duplicateValues" dxfId="126" priority="43"/>
  </conditionalFormatting>
  <conditionalFormatting sqref="D366">
    <cfRule type="duplicateValues" dxfId="125" priority="42"/>
  </conditionalFormatting>
  <conditionalFormatting sqref="D487">
    <cfRule type="duplicateValues" dxfId="124" priority="41"/>
  </conditionalFormatting>
  <conditionalFormatting sqref="D560">
    <cfRule type="duplicateValues" dxfId="123" priority="40"/>
  </conditionalFormatting>
  <conditionalFormatting sqref="D558">
    <cfRule type="duplicateValues" dxfId="122" priority="39"/>
  </conditionalFormatting>
  <conditionalFormatting sqref="D561">
    <cfRule type="duplicateValues" dxfId="121" priority="38"/>
  </conditionalFormatting>
  <conditionalFormatting sqref="D719">
    <cfRule type="duplicateValues" dxfId="120" priority="37"/>
  </conditionalFormatting>
  <conditionalFormatting sqref="D421">
    <cfRule type="duplicateValues" dxfId="119" priority="36"/>
  </conditionalFormatting>
  <conditionalFormatting sqref="D631">
    <cfRule type="duplicateValues" dxfId="118" priority="35"/>
  </conditionalFormatting>
  <conditionalFormatting sqref="D449">
    <cfRule type="duplicateValues" dxfId="117" priority="34"/>
  </conditionalFormatting>
  <conditionalFormatting sqref="D653">
    <cfRule type="duplicateValues" dxfId="116" priority="33"/>
  </conditionalFormatting>
  <conditionalFormatting sqref="D466">
    <cfRule type="duplicateValues" dxfId="115" priority="32"/>
  </conditionalFormatting>
  <conditionalFormatting sqref="D468">
    <cfRule type="duplicateValues" dxfId="114" priority="31"/>
  </conditionalFormatting>
  <conditionalFormatting sqref="D475">
    <cfRule type="duplicateValues" dxfId="113" priority="30"/>
  </conditionalFormatting>
  <conditionalFormatting sqref="D682">
    <cfRule type="duplicateValues" dxfId="112" priority="29"/>
  </conditionalFormatting>
  <conditionalFormatting sqref="D380">
    <cfRule type="duplicateValues" dxfId="111" priority="28"/>
  </conditionalFormatting>
  <conditionalFormatting sqref="D559">
    <cfRule type="duplicateValues" dxfId="110" priority="27"/>
  </conditionalFormatting>
  <conditionalFormatting sqref="D721">
    <cfRule type="duplicateValues" dxfId="109" priority="26"/>
  </conditionalFormatting>
  <conditionalFormatting sqref="D249">
    <cfRule type="duplicateValues" dxfId="108" priority="25"/>
  </conditionalFormatting>
  <conditionalFormatting sqref="D412">
    <cfRule type="duplicateValues" dxfId="107" priority="24"/>
  </conditionalFormatting>
  <conditionalFormatting sqref="D423">
    <cfRule type="duplicateValues" dxfId="106" priority="23"/>
  </conditionalFormatting>
  <conditionalFormatting sqref="D424">
    <cfRule type="duplicateValues" dxfId="105" priority="22"/>
  </conditionalFormatting>
  <conditionalFormatting sqref="D456">
    <cfRule type="duplicateValues" dxfId="104" priority="21"/>
  </conditionalFormatting>
  <conditionalFormatting sqref="D465">
    <cfRule type="duplicateValues" dxfId="103" priority="20"/>
  </conditionalFormatting>
  <conditionalFormatting sqref="D377">
    <cfRule type="duplicateValues" dxfId="102" priority="19"/>
  </conditionalFormatting>
  <conditionalFormatting sqref="D376">
    <cfRule type="duplicateValues" dxfId="101" priority="18"/>
  </conditionalFormatting>
  <conditionalFormatting sqref="D562">
    <cfRule type="duplicateValues" dxfId="100" priority="17"/>
  </conditionalFormatting>
  <conditionalFormatting sqref="D431">
    <cfRule type="duplicateValues" dxfId="99" priority="16"/>
  </conditionalFormatting>
  <conditionalFormatting sqref="D699">
    <cfRule type="duplicateValues" dxfId="98" priority="15"/>
  </conditionalFormatting>
  <conditionalFormatting sqref="D705 D815">
    <cfRule type="duplicateValues" dxfId="97" priority="14"/>
  </conditionalFormatting>
  <conditionalFormatting sqref="D711">
    <cfRule type="duplicateValues" dxfId="96" priority="13"/>
  </conditionalFormatting>
  <conditionalFormatting sqref="D797">
    <cfRule type="duplicateValues" dxfId="95" priority="12"/>
  </conditionalFormatting>
  <conditionalFormatting sqref="D805">
    <cfRule type="duplicateValues" dxfId="94" priority="11"/>
  </conditionalFormatting>
  <conditionalFormatting sqref="D806">
    <cfRule type="duplicateValues" dxfId="93" priority="10"/>
  </conditionalFormatting>
  <conditionalFormatting sqref="D814">
    <cfRule type="duplicateValues" dxfId="92" priority="9"/>
  </conditionalFormatting>
  <conditionalFormatting sqref="D706">
    <cfRule type="duplicateValues" dxfId="91" priority="8"/>
  </conditionalFormatting>
  <conditionalFormatting sqref="D715">
    <cfRule type="duplicateValues" dxfId="90" priority="7"/>
  </conditionalFormatting>
  <conditionalFormatting sqref="D716">
    <cfRule type="duplicateValues" dxfId="89" priority="6"/>
  </conditionalFormatting>
  <conditionalFormatting sqref="D816">
    <cfRule type="duplicateValues" dxfId="88" priority="5"/>
  </conditionalFormatting>
  <conditionalFormatting sqref="D727">
    <cfRule type="duplicateValues" dxfId="87" priority="4"/>
  </conditionalFormatting>
  <conditionalFormatting sqref="D744">
    <cfRule type="duplicateValues" dxfId="86" priority="3"/>
  </conditionalFormatting>
  <conditionalFormatting sqref="D669">
    <cfRule type="duplicateValues" dxfId="85" priority="2"/>
  </conditionalFormatting>
  <conditionalFormatting sqref="D722">
    <cfRule type="duplicateValues" dxfId="84" priority="1"/>
  </conditionalFormatting>
  <pageMargins left="0.39370077848434398" right="0.39370077848434398" top="0.39370077848434398" bottom="0.39370077848434398" header="0.31496062874794001" footer="0.31496062874794001"/>
  <pageSetup paperSize="8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P878"/>
  <sheetViews>
    <sheetView showZeros="0" workbookViewId="0">
      <pane ySplit="10" topLeftCell="A11" activePane="bottomLeft" state="frozen"/>
      <selection pane="bottomLeft" activeCell="E755" sqref="E755:E808"/>
    </sheetView>
  </sheetViews>
  <sheetFormatPr defaultColWidth="9.140625" defaultRowHeight="15.75"/>
  <cols>
    <col min="1" max="1" width="8.140625" style="1" customWidth="1"/>
    <col min="2" max="2" width="9" style="1" customWidth="1"/>
    <col min="3" max="3" width="32.42578125" style="1" customWidth="1"/>
    <col min="4" max="4" width="65.5703125" style="1" customWidth="1"/>
    <col min="5" max="5" width="18.5703125" style="1" customWidth="1"/>
    <col min="6" max="6" width="21.140625" style="1" customWidth="1"/>
    <col min="7" max="7" width="16.85546875" style="1" customWidth="1"/>
    <col min="8" max="8" width="18.42578125" style="1" customWidth="1"/>
    <col min="9" max="9" width="16.85546875" style="1" customWidth="1"/>
    <col min="10" max="10" width="18.140625" style="1" customWidth="1"/>
    <col min="11" max="11" width="16.85546875" style="1" customWidth="1"/>
    <col min="12" max="12" width="18.28515625" style="1" customWidth="1"/>
    <col min="13" max="13" width="16.85546875" style="1" customWidth="1"/>
    <col min="14" max="14" width="20.42578125" style="1" customWidth="1"/>
    <col min="15" max="15" width="16.85546875" style="1" customWidth="1"/>
    <col min="16" max="16" width="19.7109375" style="1" customWidth="1"/>
    <col min="17" max="18" width="16.85546875" style="1" customWidth="1"/>
    <col min="19" max="19" width="15.140625" style="1" customWidth="1"/>
    <col min="20" max="20" width="17.42578125" style="1" customWidth="1"/>
    <col min="21" max="21" width="18.85546875" style="1" customWidth="1"/>
    <col min="22" max="22" width="17.5703125" style="285" hidden="1" customWidth="1"/>
    <col min="23" max="23" width="9.140625" style="1" bestFit="1" customWidth="1"/>
    <col min="24" max="16384" width="9.140625" style="1"/>
  </cols>
  <sheetData>
    <row r="1" spans="1:68">
      <c r="A1" s="43"/>
      <c r="B1" s="43"/>
      <c r="C1" s="43"/>
      <c r="Q1" s="286"/>
      <c r="R1" s="286" t="s">
        <v>747</v>
      </c>
    </row>
    <row r="2" spans="1:68">
      <c r="A2" s="43"/>
      <c r="B2" s="43"/>
      <c r="C2" s="43"/>
      <c r="R2" s="286" t="s">
        <v>4</v>
      </c>
    </row>
    <row r="3" spans="1:68">
      <c r="A3" s="43"/>
      <c r="B3" s="43"/>
      <c r="C3" s="43"/>
      <c r="T3" s="18"/>
    </row>
    <row r="4" spans="1:68" ht="20.25">
      <c r="A4" s="352" t="s">
        <v>748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U4" s="18"/>
    </row>
    <row r="5" spans="1:68">
      <c r="A5" s="43"/>
      <c r="B5" s="43"/>
      <c r="C5" s="43"/>
    </row>
    <row r="6" spans="1:68">
      <c r="A6" s="43"/>
      <c r="B6" s="43"/>
      <c r="C6" s="43"/>
    </row>
    <row r="7" spans="1:68" s="51" customFormat="1" ht="14.25" customHeight="1">
      <c r="A7" s="450" t="s">
        <v>8</v>
      </c>
      <c r="B7" s="450" t="s">
        <v>8</v>
      </c>
      <c r="C7" s="403" t="s">
        <v>9</v>
      </c>
      <c r="D7" s="403" t="s">
        <v>10</v>
      </c>
      <c r="E7" s="347" t="s">
        <v>23</v>
      </c>
      <c r="F7" s="353" t="s">
        <v>26</v>
      </c>
      <c r="G7" s="433"/>
      <c r="H7" s="434"/>
      <c r="I7" s="435"/>
      <c r="J7" s="436"/>
      <c r="K7" s="437"/>
      <c r="L7" s="438"/>
      <c r="M7" s="439"/>
      <c r="N7" s="440"/>
      <c r="O7" s="441"/>
      <c r="P7" s="442"/>
      <c r="Q7" s="443"/>
      <c r="R7" s="444"/>
      <c r="S7" s="445"/>
      <c r="T7" s="446"/>
      <c r="V7" s="287"/>
    </row>
    <row r="8" spans="1:68" s="51" customFormat="1">
      <c r="A8" s="454"/>
      <c r="B8" s="451"/>
      <c r="C8" s="447"/>
      <c r="D8" s="424"/>
      <c r="E8" s="457"/>
      <c r="F8" s="459" t="s">
        <v>34</v>
      </c>
      <c r="G8" s="460"/>
      <c r="H8" s="461"/>
      <c r="I8" s="462"/>
      <c r="J8" s="463"/>
      <c r="K8" s="464"/>
      <c r="L8" s="465"/>
      <c r="M8" s="347" t="s">
        <v>35</v>
      </c>
      <c r="N8" s="347" t="s">
        <v>36</v>
      </c>
      <c r="O8" s="347" t="s">
        <v>37</v>
      </c>
      <c r="P8" s="347" t="s">
        <v>39</v>
      </c>
      <c r="Q8" s="347" t="s">
        <v>40</v>
      </c>
      <c r="R8" s="347" t="s">
        <v>41</v>
      </c>
      <c r="S8" s="347" t="s">
        <v>42</v>
      </c>
      <c r="T8" s="347" t="s">
        <v>43</v>
      </c>
      <c r="V8" s="287"/>
    </row>
    <row r="9" spans="1:68" s="51" customFormat="1" ht="177.75" customHeight="1">
      <c r="A9" s="455"/>
      <c r="B9" s="452"/>
      <c r="C9" s="448"/>
      <c r="D9" s="425"/>
      <c r="E9" s="458"/>
      <c r="F9" s="56" t="s">
        <v>62</v>
      </c>
      <c r="G9" s="56" t="s">
        <v>63</v>
      </c>
      <c r="H9" s="56" t="s">
        <v>64</v>
      </c>
      <c r="I9" s="56" t="s">
        <v>65</v>
      </c>
      <c r="J9" s="56" t="s">
        <v>66</v>
      </c>
      <c r="K9" s="56" t="s">
        <v>67</v>
      </c>
      <c r="L9" s="56" t="s">
        <v>68</v>
      </c>
      <c r="M9" s="427"/>
      <c r="N9" s="432"/>
      <c r="O9" s="431"/>
      <c r="P9" s="466"/>
      <c r="Q9" s="430"/>
      <c r="R9" s="428"/>
      <c r="S9" s="423"/>
      <c r="T9" s="429"/>
      <c r="V9" s="287"/>
    </row>
    <row r="10" spans="1:68" s="51" customFormat="1">
      <c r="A10" s="456"/>
      <c r="B10" s="453"/>
      <c r="C10" s="449"/>
      <c r="D10" s="426"/>
      <c r="E10" s="56" t="s">
        <v>73</v>
      </c>
      <c r="F10" s="56" t="s">
        <v>73</v>
      </c>
      <c r="G10" s="56" t="s">
        <v>73</v>
      </c>
      <c r="H10" s="56" t="s">
        <v>73</v>
      </c>
      <c r="I10" s="56" t="s">
        <v>73</v>
      </c>
      <c r="J10" s="56" t="s">
        <v>73</v>
      </c>
      <c r="K10" s="56" t="s">
        <v>73</v>
      </c>
      <c r="L10" s="56" t="s">
        <v>73</v>
      </c>
      <c r="M10" s="56" t="s">
        <v>73</v>
      </c>
      <c r="N10" s="56" t="s">
        <v>73</v>
      </c>
      <c r="O10" s="56" t="s">
        <v>73</v>
      </c>
      <c r="P10" s="56" t="s">
        <v>73</v>
      </c>
      <c r="Q10" s="56" t="s">
        <v>73</v>
      </c>
      <c r="R10" s="56" t="s">
        <v>73</v>
      </c>
      <c r="S10" s="56" t="s">
        <v>73</v>
      </c>
      <c r="T10" s="56" t="s">
        <v>73</v>
      </c>
      <c r="U10" s="288"/>
      <c r="V10" s="289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</row>
    <row r="11" spans="1:68" s="71" customFormat="1" hidden="1">
      <c r="A11" s="73"/>
      <c r="B11" s="73"/>
      <c r="C11" s="74"/>
      <c r="D11" s="74" t="s">
        <v>749</v>
      </c>
      <c r="E11" s="290">
        <f t="shared" ref="E11:T11" si="0">+(+E12+E204)+E477</f>
        <v>1906443014.4294569</v>
      </c>
      <c r="F11" s="290">
        <f t="shared" si="0"/>
        <v>951735018.48199987</v>
      </c>
      <c r="G11" s="290">
        <f t="shared" si="0"/>
        <v>287490550.87</v>
      </c>
      <c r="H11" s="290">
        <f t="shared" si="0"/>
        <v>408789842.46000016</v>
      </c>
      <c r="I11" s="290">
        <f t="shared" si="0"/>
        <v>286376410.60000002</v>
      </c>
      <c r="J11" s="290">
        <f t="shared" si="0"/>
        <v>72642310.972261995</v>
      </c>
      <c r="K11" s="290">
        <f t="shared" si="0"/>
        <v>0</v>
      </c>
      <c r="L11" s="290">
        <f t="shared" si="0"/>
        <v>1515829.2</v>
      </c>
      <c r="M11" s="290">
        <f t="shared" si="0"/>
        <v>254150201.86999997</v>
      </c>
      <c r="N11" s="290">
        <f t="shared" si="0"/>
        <v>1165187336.2930913</v>
      </c>
      <c r="O11" s="290">
        <f t="shared" si="0"/>
        <v>185919224.49999997</v>
      </c>
      <c r="P11" s="290">
        <f t="shared" si="0"/>
        <v>1854447279.4400001</v>
      </c>
      <c r="Q11" s="290">
        <f t="shared" si="0"/>
        <v>565894349.69999993</v>
      </c>
      <c r="R11" s="290">
        <f t="shared" si="0"/>
        <v>76342937.866275966</v>
      </c>
      <c r="S11" s="290">
        <f t="shared" si="0"/>
        <v>6923858.3481604876</v>
      </c>
      <c r="T11" s="290">
        <f t="shared" si="0"/>
        <v>12240692.293296885</v>
      </c>
      <c r="U11" s="288"/>
      <c r="V11" s="289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288"/>
      <c r="BC11" s="288"/>
      <c r="BD11" s="288"/>
      <c r="BE11" s="288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</row>
    <row r="12" spans="1:68" s="91" customFormat="1" hidden="1">
      <c r="A12" s="93"/>
      <c r="B12" s="93"/>
      <c r="C12" s="93"/>
      <c r="D12" s="93" t="s">
        <v>79</v>
      </c>
      <c r="E12" s="83">
        <f>SUM(F12:T12)+E13+E14</f>
        <v>1841173018.2494569</v>
      </c>
      <c r="F12" s="83">
        <f t="shared" ref="F12:T12" si="1">+F13+F15</f>
        <v>261418719.91</v>
      </c>
      <c r="G12" s="83">
        <f t="shared" si="1"/>
        <v>92211687.10999997</v>
      </c>
      <c r="H12" s="83">
        <f t="shared" si="1"/>
        <v>91010822.590000033</v>
      </c>
      <c r="I12" s="83">
        <f t="shared" si="1"/>
        <v>100780746.21000001</v>
      </c>
      <c r="J12" s="83">
        <f t="shared" si="1"/>
        <v>20726332.382261999</v>
      </c>
      <c r="K12" s="83">
        <f t="shared" si="1"/>
        <v>0</v>
      </c>
      <c r="L12" s="83">
        <f t="shared" si="1"/>
        <v>0</v>
      </c>
      <c r="M12" s="83">
        <f t="shared" si="1"/>
        <v>28694966.41</v>
      </c>
      <c r="N12" s="83">
        <f t="shared" si="1"/>
        <v>417243389.46806598</v>
      </c>
      <c r="O12" s="83">
        <f t="shared" si="1"/>
        <v>79372152.859999985</v>
      </c>
      <c r="P12" s="83">
        <f t="shared" si="1"/>
        <v>386032575.02000004</v>
      </c>
      <c r="Q12" s="83">
        <f t="shared" si="1"/>
        <v>162824150.38999999</v>
      </c>
      <c r="R12" s="83">
        <f t="shared" si="1"/>
        <v>44622520.010968477</v>
      </c>
      <c r="S12" s="83">
        <f t="shared" si="1"/>
        <v>3686982.5281604878</v>
      </c>
      <c r="T12" s="83">
        <f t="shared" si="1"/>
        <v>5239288.32</v>
      </c>
      <c r="U12" s="291"/>
      <c r="V12" s="292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</row>
    <row r="13" spans="1:68" s="91" customFormat="1" ht="18" hidden="1" customHeight="1">
      <c r="A13" s="293"/>
      <c r="B13" s="93"/>
      <c r="C13" s="93"/>
      <c r="D13" s="93" t="s">
        <v>84</v>
      </c>
      <c r="E13" s="83">
        <v>147308685.03999999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</v>
      </c>
      <c r="S13" s="83">
        <v>0</v>
      </c>
      <c r="T13" s="83">
        <v>0</v>
      </c>
      <c r="U13" s="291"/>
      <c r="V13" s="292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</row>
    <row r="14" spans="1:68" s="91" customFormat="1" ht="15.75" hidden="1" customHeight="1">
      <c r="A14" s="293"/>
      <c r="B14" s="93"/>
      <c r="C14" s="93"/>
      <c r="D14" s="93" t="s">
        <v>86</v>
      </c>
      <c r="E14" s="83">
        <f>4547441.6-4547441.6</f>
        <v>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294"/>
      <c r="U14" s="291"/>
      <c r="V14" s="292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</row>
    <row r="15" spans="1:68" s="91" customFormat="1" hidden="1">
      <c r="A15" s="293"/>
      <c r="B15" s="93"/>
      <c r="C15" s="93"/>
      <c r="D15" s="93"/>
      <c r="E15" s="83">
        <f t="shared" ref="E15:T15" si="2">SUM(E16:E203)</f>
        <v>0</v>
      </c>
      <c r="F15" s="83">
        <f t="shared" si="2"/>
        <v>261418719.91</v>
      </c>
      <c r="G15" s="83">
        <f t="shared" si="2"/>
        <v>92211687.10999997</v>
      </c>
      <c r="H15" s="83">
        <f t="shared" si="2"/>
        <v>91010822.590000033</v>
      </c>
      <c r="I15" s="83">
        <f t="shared" si="2"/>
        <v>100780746.21000001</v>
      </c>
      <c r="J15" s="83">
        <f t="shared" si="2"/>
        <v>20726332.382261999</v>
      </c>
      <c r="K15" s="83">
        <f t="shared" si="2"/>
        <v>0</v>
      </c>
      <c r="L15" s="83">
        <f t="shared" si="2"/>
        <v>0</v>
      </c>
      <c r="M15" s="83">
        <f t="shared" si="2"/>
        <v>28694966.41</v>
      </c>
      <c r="N15" s="83">
        <f t="shared" si="2"/>
        <v>417243389.46806598</v>
      </c>
      <c r="O15" s="83">
        <f t="shared" si="2"/>
        <v>79372152.859999985</v>
      </c>
      <c r="P15" s="83">
        <f t="shared" si="2"/>
        <v>386032575.02000004</v>
      </c>
      <c r="Q15" s="83">
        <f t="shared" si="2"/>
        <v>162824150.38999999</v>
      </c>
      <c r="R15" s="83">
        <f t="shared" si="2"/>
        <v>44622520.010968477</v>
      </c>
      <c r="S15" s="83">
        <f t="shared" si="2"/>
        <v>3686982.5281604878</v>
      </c>
      <c r="T15" s="83">
        <f t="shared" si="2"/>
        <v>5239288.32</v>
      </c>
      <c r="U15" s="291"/>
      <c r="V15" s="292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</row>
    <row r="16" spans="1:68" hidden="1">
      <c r="A16" s="295">
        <v>1</v>
      </c>
      <c r="B16" s="12">
        <v>1</v>
      </c>
      <c r="C16" s="101" t="s">
        <v>90</v>
      </c>
      <c r="D16" s="101" t="s">
        <v>91</v>
      </c>
      <c r="E16" s="146">
        <f t="shared" ref="E16:E47" si="3">SUBTOTAL(9, F16:T16)</f>
        <v>0</v>
      </c>
      <c r="F16" s="62">
        <v>11937105.199999999</v>
      </c>
      <c r="G16" s="62">
        <v>7031659.7400000002</v>
      </c>
      <c r="H16" s="62"/>
      <c r="I16" s="62">
        <v>2917316.85</v>
      </c>
      <c r="J16" s="62">
        <v>0</v>
      </c>
      <c r="K16" s="62"/>
      <c r="L16" s="62"/>
      <c r="M16" s="62">
        <v>0</v>
      </c>
      <c r="N16" s="62">
        <v>4693934.4000000004</v>
      </c>
      <c r="O16" s="62">
        <v>8467593.2400000002</v>
      </c>
      <c r="P16" s="62">
        <v>0</v>
      </c>
      <c r="Q16" s="62">
        <v>0</v>
      </c>
      <c r="R16" s="62"/>
      <c r="S16" s="30"/>
      <c r="T16" s="156">
        <v>0</v>
      </c>
      <c r="U16" s="165"/>
      <c r="V16" s="296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</row>
    <row r="17" spans="1:42" hidden="1">
      <c r="A17" s="295">
        <f t="shared" ref="A17:A48" si="4">+A16+1</f>
        <v>2</v>
      </c>
      <c r="B17" s="12">
        <f t="shared" ref="B17:B48" si="5">+B16+1</f>
        <v>2</v>
      </c>
      <c r="C17" s="101" t="s">
        <v>90</v>
      </c>
      <c r="D17" s="101" t="s">
        <v>93</v>
      </c>
      <c r="E17" s="146">
        <f t="shared" si="3"/>
        <v>0</v>
      </c>
      <c r="F17" s="62">
        <v>10136488.119999999</v>
      </c>
      <c r="G17" s="62">
        <v>6838744.3399999999</v>
      </c>
      <c r="H17" s="62"/>
      <c r="I17" s="62">
        <v>2920060.1</v>
      </c>
      <c r="J17" s="62">
        <v>0</v>
      </c>
      <c r="K17" s="62"/>
      <c r="L17" s="62"/>
      <c r="M17" s="62">
        <v>0</v>
      </c>
      <c r="N17" s="62">
        <v>4839492</v>
      </c>
      <c r="O17" s="62">
        <v>8471863.8000000007</v>
      </c>
      <c r="P17" s="62">
        <v>0</v>
      </c>
      <c r="Q17" s="62">
        <v>0</v>
      </c>
      <c r="R17" s="62"/>
      <c r="S17" s="30"/>
      <c r="T17" s="156">
        <v>0</v>
      </c>
      <c r="U17" s="165"/>
      <c r="V17" s="296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</row>
    <row r="18" spans="1:42" hidden="1">
      <c r="A18" s="295">
        <f t="shared" si="4"/>
        <v>3</v>
      </c>
      <c r="B18" s="12">
        <f t="shared" si="5"/>
        <v>3</v>
      </c>
      <c r="C18" s="101" t="s">
        <v>90</v>
      </c>
      <c r="D18" s="101" t="s">
        <v>95</v>
      </c>
      <c r="E18" s="146">
        <f t="shared" si="3"/>
        <v>0</v>
      </c>
      <c r="F18" s="62">
        <v>8693551.2400000002</v>
      </c>
      <c r="G18" s="62">
        <v>2539728.9700000002</v>
      </c>
      <c r="H18" s="62"/>
      <c r="I18" s="62">
        <v>1744090.12</v>
      </c>
      <c r="J18" s="62">
        <v>0</v>
      </c>
      <c r="K18" s="62"/>
      <c r="L18" s="62"/>
      <c r="M18" s="62">
        <v>0</v>
      </c>
      <c r="N18" s="62">
        <v>2720365.2</v>
      </c>
      <c r="O18" s="62">
        <v>5773109.29</v>
      </c>
      <c r="P18" s="62">
        <v>0</v>
      </c>
      <c r="Q18" s="62">
        <v>0</v>
      </c>
      <c r="R18" s="62"/>
      <c r="S18" s="30"/>
      <c r="T18" s="156">
        <v>0</v>
      </c>
      <c r="U18" s="165"/>
      <c r="V18" s="296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</row>
    <row r="19" spans="1:42" hidden="1">
      <c r="A19" s="295">
        <f t="shared" si="4"/>
        <v>4</v>
      </c>
      <c r="B19" s="12">
        <f t="shared" si="5"/>
        <v>4</v>
      </c>
      <c r="C19" s="101" t="s">
        <v>98</v>
      </c>
      <c r="D19" s="101" t="s">
        <v>99</v>
      </c>
      <c r="E19" s="146">
        <f t="shared" si="3"/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/>
      <c r="L19" s="62"/>
      <c r="M19" s="62">
        <v>0</v>
      </c>
      <c r="N19" s="62">
        <v>6340797.9400000004</v>
      </c>
      <c r="O19" s="62">
        <v>0</v>
      </c>
      <c r="P19" s="62">
        <v>0</v>
      </c>
      <c r="Q19" s="62">
        <v>0</v>
      </c>
      <c r="R19" s="62"/>
      <c r="S19" s="30"/>
      <c r="T19" s="298">
        <v>78859.22</v>
      </c>
      <c r="U19" s="165"/>
      <c r="V19" s="296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</row>
    <row r="20" spans="1:42" hidden="1">
      <c r="A20" s="295">
        <f t="shared" si="4"/>
        <v>5</v>
      </c>
      <c r="B20" s="12">
        <f t="shared" si="5"/>
        <v>5</v>
      </c>
      <c r="C20" s="101" t="s">
        <v>98</v>
      </c>
      <c r="D20" s="101" t="s">
        <v>101</v>
      </c>
      <c r="E20" s="146">
        <f t="shared" si="3"/>
        <v>0</v>
      </c>
      <c r="F20" s="62">
        <v>1272491.3999999999</v>
      </c>
      <c r="G20" s="62">
        <v>0</v>
      </c>
      <c r="H20" s="62">
        <v>0</v>
      </c>
      <c r="I20" s="62">
        <v>0</v>
      </c>
      <c r="J20" s="62">
        <v>0</v>
      </c>
      <c r="K20" s="62"/>
      <c r="L20" s="62"/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/>
      <c r="S20" s="30"/>
      <c r="T20" s="156">
        <v>38628.74</v>
      </c>
      <c r="U20" s="165"/>
      <c r="V20" s="296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</row>
    <row r="21" spans="1:42" hidden="1">
      <c r="A21" s="295">
        <f t="shared" si="4"/>
        <v>6</v>
      </c>
      <c r="B21" s="12">
        <f t="shared" si="5"/>
        <v>6</v>
      </c>
      <c r="C21" s="101" t="s">
        <v>98</v>
      </c>
      <c r="D21" s="101" t="s">
        <v>103</v>
      </c>
      <c r="E21" s="146">
        <f t="shared" si="3"/>
        <v>0</v>
      </c>
      <c r="F21" s="62">
        <v>2428165.69</v>
      </c>
      <c r="G21" s="62">
        <v>0</v>
      </c>
      <c r="H21" s="62">
        <v>0</v>
      </c>
      <c r="I21" s="62">
        <v>0</v>
      </c>
      <c r="J21" s="62">
        <v>0</v>
      </c>
      <c r="K21" s="62"/>
      <c r="L21" s="62"/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/>
      <c r="S21" s="30"/>
      <c r="T21" s="156">
        <f>44820.83</f>
        <v>44820.83</v>
      </c>
      <c r="U21" s="165"/>
      <c r="V21" s="296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</row>
    <row r="22" spans="1:42" hidden="1">
      <c r="A22" s="295">
        <f t="shared" si="4"/>
        <v>7</v>
      </c>
      <c r="B22" s="12">
        <f t="shared" si="5"/>
        <v>7</v>
      </c>
      <c r="C22" s="101" t="s">
        <v>106</v>
      </c>
      <c r="D22" s="101" t="s">
        <v>107</v>
      </c>
      <c r="E22" s="146">
        <f t="shared" si="3"/>
        <v>0</v>
      </c>
      <c r="F22" s="62">
        <v>0</v>
      </c>
      <c r="G22" s="62">
        <v>0</v>
      </c>
      <c r="H22" s="62"/>
      <c r="I22" s="62">
        <v>104364.26</v>
      </c>
      <c r="J22" s="62">
        <v>0</v>
      </c>
      <c r="K22" s="62"/>
      <c r="L22" s="62"/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/>
      <c r="S22" s="30"/>
      <c r="T22" s="156">
        <v>1536.88</v>
      </c>
    </row>
    <row r="23" spans="1:42" hidden="1">
      <c r="A23" s="295">
        <f t="shared" si="4"/>
        <v>8</v>
      </c>
      <c r="B23" s="12">
        <f t="shared" si="5"/>
        <v>8</v>
      </c>
      <c r="C23" s="101" t="s">
        <v>106</v>
      </c>
      <c r="D23" s="101" t="s">
        <v>109</v>
      </c>
      <c r="E23" s="146">
        <f t="shared" si="3"/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/>
      <c r="L23" s="62"/>
      <c r="M23" s="62">
        <v>0</v>
      </c>
      <c r="N23" s="62">
        <v>0</v>
      </c>
      <c r="O23" s="62">
        <v>5195773.5</v>
      </c>
      <c r="P23" s="62"/>
      <c r="Q23" s="62"/>
      <c r="R23" s="62"/>
      <c r="S23" s="30"/>
      <c r="T23" s="156"/>
    </row>
    <row r="24" spans="1:42" hidden="1">
      <c r="A24" s="295">
        <f t="shared" si="4"/>
        <v>9</v>
      </c>
      <c r="B24" s="12">
        <f t="shared" si="5"/>
        <v>9</v>
      </c>
      <c r="C24" s="101" t="s">
        <v>106</v>
      </c>
      <c r="D24" s="101" t="s">
        <v>111</v>
      </c>
      <c r="E24" s="146">
        <f t="shared" si="3"/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/>
      <c r="L24" s="62"/>
      <c r="M24" s="62">
        <v>0</v>
      </c>
      <c r="N24" s="62">
        <v>0</v>
      </c>
      <c r="O24" s="62">
        <v>2388753.41</v>
      </c>
      <c r="P24" s="62"/>
      <c r="Q24" s="62">
        <v>815005.58</v>
      </c>
      <c r="R24" s="62">
        <v>392917.04065692797</v>
      </c>
      <c r="S24" s="30">
        <v>18562.626065692799</v>
      </c>
      <c r="T24" s="156">
        <f>12130.9+28736.16</f>
        <v>40867.06</v>
      </c>
    </row>
    <row r="25" spans="1:42" hidden="1">
      <c r="A25" s="295">
        <f t="shared" si="4"/>
        <v>10</v>
      </c>
      <c r="B25" s="12">
        <f t="shared" si="5"/>
        <v>10</v>
      </c>
      <c r="C25" s="101" t="s">
        <v>114</v>
      </c>
      <c r="D25" s="101" t="s">
        <v>115</v>
      </c>
      <c r="E25" s="146">
        <f t="shared" si="3"/>
        <v>0</v>
      </c>
      <c r="F25" s="62"/>
      <c r="G25" s="62"/>
      <c r="H25" s="62">
        <v>878254.94</v>
      </c>
      <c r="I25" s="62"/>
      <c r="J25" s="62">
        <v>0</v>
      </c>
      <c r="K25" s="62"/>
      <c r="L25" s="62"/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f>2191683.42279663-27761</f>
        <v>2163922.4227966298</v>
      </c>
      <c r="S25" s="30">
        <v>229848.711476372</v>
      </c>
      <c r="T25" s="156"/>
    </row>
    <row r="26" spans="1:42" hidden="1">
      <c r="A26" s="295">
        <f t="shared" si="4"/>
        <v>11</v>
      </c>
      <c r="B26" s="12">
        <f t="shared" si="5"/>
        <v>11</v>
      </c>
      <c r="C26" s="101" t="s">
        <v>114</v>
      </c>
      <c r="D26" s="101" t="s">
        <v>118</v>
      </c>
      <c r="E26" s="146">
        <f t="shared" si="3"/>
        <v>0</v>
      </c>
      <c r="F26" s="62">
        <v>2699032.56</v>
      </c>
      <c r="G26" s="62">
        <v>2261633.31</v>
      </c>
      <c r="H26" s="62"/>
      <c r="I26" s="62">
        <v>818058.15</v>
      </c>
      <c r="J26" s="62">
        <v>0</v>
      </c>
      <c r="K26" s="62"/>
      <c r="L26" s="62"/>
      <c r="M26" s="62">
        <v>0</v>
      </c>
      <c r="N26" s="62"/>
      <c r="O26" s="62">
        <v>0</v>
      </c>
      <c r="P26" s="62">
        <v>0</v>
      </c>
      <c r="Q26" s="62">
        <v>0</v>
      </c>
      <c r="R26" s="62"/>
      <c r="S26" s="30"/>
      <c r="T26" s="156">
        <f>28422.36</f>
        <v>28422.36</v>
      </c>
    </row>
    <row r="27" spans="1:42" hidden="1">
      <c r="A27" s="295">
        <f t="shared" si="4"/>
        <v>12</v>
      </c>
      <c r="B27" s="12">
        <f t="shared" si="5"/>
        <v>12</v>
      </c>
      <c r="C27" s="101" t="s">
        <v>114</v>
      </c>
      <c r="D27" s="101" t="s">
        <v>122</v>
      </c>
      <c r="E27" s="146">
        <f t="shared" si="3"/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/>
      <c r="L27" s="62"/>
      <c r="M27" s="62">
        <v>0</v>
      </c>
      <c r="N27" s="118">
        <v>2807713.83</v>
      </c>
      <c r="O27" s="118">
        <v>0</v>
      </c>
      <c r="P27" s="118">
        <v>9577950</v>
      </c>
      <c r="Q27" s="118">
        <v>0</v>
      </c>
      <c r="R27" s="118">
        <v>377498.73</v>
      </c>
      <c r="S27" s="116">
        <v>8000</v>
      </c>
      <c r="T27" s="299"/>
    </row>
    <row r="28" spans="1:42" hidden="1">
      <c r="A28" s="295">
        <f t="shared" si="4"/>
        <v>13</v>
      </c>
      <c r="B28" s="12">
        <f t="shared" si="5"/>
        <v>13</v>
      </c>
      <c r="C28" s="101" t="s">
        <v>114</v>
      </c>
      <c r="D28" s="101" t="s">
        <v>124</v>
      </c>
      <c r="E28" s="146">
        <f t="shared" si="3"/>
        <v>0</v>
      </c>
      <c r="F28" s="62"/>
      <c r="G28" s="62"/>
      <c r="H28" s="62"/>
      <c r="I28" s="62">
        <v>856822.68</v>
      </c>
      <c r="J28" s="62">
        <v>0</v>
      </c>
      <c r="K28" s="62"/>
      <c r="L28" s="62"/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/>
      <c r="S28" s="30"/>
      <c r="T28" s="156"/>
    </row>
    <row r="29" spans="1:42" hidden="1">
      <c r="A29" s="295">
        <f t="shared" si="4"/>
        <v>14</v>
      </c>
      <c r="B29" s="12">
        <f t="shared" si="5"/>
        <v>14</v>
      </c>
      <c r="C29" s="101" t="s">
        <v>114</v>
      </c>
      <c r="D29" s="101" t="s">
        <v>126</v>
      </c>
      <c r="E29" s="146">
        <f t="shared" si="3"/>
        <v>0</v>
      </c>
      <c r="F29" s="62"/>
      <c r="G29" s="62">
        <v>1900545.16</v>
      </c>
      <c r="H29" s="62"/>
      <c r="I29" s="62">
        <v>1184190.3999999999</v>
      </c>
      <c r="J29" s="62">
        <v>0</v>
      </c>
      <c r="K29" s="62"/>
      <c r="L29" s="62"/>
      <c r="M29" s="62">
        <v>0</v>
      </c>
      <c r="N29" s="62">
        <v>0</v>
      </c>
      <c r="O29" s="62"/>
      <c r="P29" s="62">
        <v>0</v>
      </c>
      <c r="Q29" s="62">
        <v>0</v>
      </c>
      <c r="R29" s="62"/>
      <c r="S29" s="30"/>
      <c r="T29" s="156">
        <v>30019.02</v>
      </c>
    </row>
    <row r="30" spans="1:42" hidden="1">
      <c r="A30" s="295">
        <f t="shared" si="4"/>
        <v>15</v>
      </c>
      <c r="B30" s="12">
        <f t="shared" si="5"/>
        <v>15</v>
      </c>
      <c r="C30" s="101" t="s">
        <v>114</v>
      </c>
      <c r="D30" s="101" t="s">
        <v>128</v>
      </c>
      <c r="E30" s="146">
        <f t="shared" si="3"/>
        <v>0</v>
      </c>
      <c r="F30" s="62">
        <v>2005222.15</v>
      </c>
      <c r="G30" s="62"/>
      <c r="H30" s="62">
        <v>0</v>
      </c>
      <c r="I30" s="62"/>
      <c r="J30" s="62">
        <v>0</v>
      </c>
      <c r="K30" s="62"/>
      <c r="L30" s="62"/>
      <c r="M30" s="62">
        <v>0</v>
      </c>
      <c r="N30" s="62">
        <v>0</v>
      </c>
      <c r="O30" s="62">
        <v>4791041.3099999996</v>
      </c>
      <c r="P30" s="62"/>
      <c r="Q30" s="62">
        <v>0</v>
      </c>
      <c r="R30" s="62"/>
      <c r="S30" s="30"/>
      <c r="T30" s="156">
        <f>26497.93</f>
        <v>26497.93</v>
      </c>
    </row>
    <row r="31" spans="1:42" hidden="1">
      <c r="A31" s="295">
        <f t="shared" si="4"/>
        <v>16</v>
      </c>
      <c r="B31" s="12">
        <f t="shared" si="5"/>
        <v>16</v>
      </c>
      <c r="C31" s="101" t="s">
        <v>120</v>
      </c>
      <c r="D31" s="101" t="s">
        <v>130</v>
      </c>
      <c r="E31" s="146">
        <f t="shared" si="3"/>
        <v>0</v>
      </c>
      <c r="F31" s="62">
        <v>0</v>
      </c>
      <c r="G31" s="62">
        <v>0</v>
      </c>
      <c r="H31" s="62">
        <v>0</v>
      </c>
      <c r="I31" s="118">
        <v>6678313.5999999996</v>
      </c>
      <c r="J31" s="118">
        <v>0</v>
      </c>
      <c r="K31" s="118"/>
      <c r="L31" s="118"/>
      <c r="M31" s="118">
        <v>0</v>
      </c>
      <c r="N31" s="118">
        <v>25055410.800000001</v>
      </c>
      <c r="O31" s="118">
        <v>16117459.310000001</v>
      </c>
      <c r="P31" s="118">
        <v>0</v>
      </c>
      <c r="Q31" s="118">
        <v>0</v>
      </c>
      <c r="R31" s="118">
        <v>1734020.86</v>
      </c>
      <c r="S31" s="116">
        <v>10000</v>
      </c>
      <c r="T31" s="299"/>
    </row>
    <row r="32" spans="1:42" hidden="1">
      <c r="A32" s="295">
        <f t="shared" si="4"/>
        <v>17</v>
      </c>
      <c r="B32" s="12">
        <f t="shared" si="5"/>
        <v>17</v>
      </c>
      <c r="C32" s="101" t="s">
        <v>114</v>
      </c>
      <c r="D32" s="101" t="s">
        <v>132</v>
      </c>
      <c r="E32" s="146">
        <f t="shared" si="3"/>
        <v>0</v>
      </c>
      <c r="F32" s="62"/>
      <c r="G32" s="62">
        <v>4716823.2</v>
      </c>
      <c r="H32" s="62"/>
      <c r="I32" s="62">
        <v>0</v>
      </c>
      <c r="J32" s="62">
        <v>0</v>
      </c>
      <c r="K32" s="62"/>
      <c r="L32" s="62"/>
      <c r="M32" s="62">
        <v>0</v>
      </c>
      <c r="N32" s="62">
        <v>5310079.2</v>
      </c>
      <c r="O32" s="62">
        <v>0</v>
      </c>
      <c r="P32" s="62">
        <v>0</v>
      </c>
      <c r="Q32" s="62">
        <v>0</v>
      </c>
      <c r="R32" s="62"/>
      <c r="S32" s="30"/>
      <c r="T32" s="156">
        <f>29302.97+64426.21</f>
        <v>93729.18</v>
      </c>
    </row>
    <row r="33" spans="1:20" hidden="1">
      <c r="A33" s="295">
        <f t="shared" si="4"/>
        <v>18</v>
      </c>
      <c r="B33" s="12">
        <f t="shared" si="5"/>
        <v>18</v>
      </c>
      <c r="C33" s="101" t="s">
        <v>114</v>
      </c>
      <c r="D33" s="101" t="s">
        <v>134</v>
      </c>
      <c r="E33" s="146">
        <f t="shared" si="3"/>
        <v>0</v>
      </c>
      <c r="F33" s="62"/>
      <c r="G33" s="62">
        <v>4815586.08</v>
      </c>
      <c r="H33" s="62"/>
      <c r="I33" s="62">
        <v>2345570.7400000002</v>
      </c>
      <c r="J33" s="62">
        <v>0</v>
      </c>
      <c r="K33" s="62"/>
      <c r="L33" s="62"/>
      <c r="M33" s="62">
        <v>0</v>
      </c>
      <c r="N33" s="62">
        <v>0</v>
      </c>
      <c r="O33" s="62">
        <v>4165102.07</v>
      </c>
      <c r="P33" s="62">
        <v>0</v>
      </c>
      <c r="Q33" s="62">
        <v>0</v>
      </c>
      <c r="R33" s="62"/>
      <c r="S33" s="30"/>
      <c r="T33" s="156"/>
    </row>
    <row r="34" spans="1:20" hidden="1">
      <c r="A34" s="295">
        <f t="shared" si="4"/>
        <v>19</v>
      </c>
      <c r="B34" s="12">
        <f t="shared" si="5"/>
        <v>19</v>
      </c>
      <c r="C34" s="101" t="s">
        <v>114</v>
      </c>
      <c r="D34" s="101" t="s">
        <v>137</v>
      </c>
      <c r="E34" s="146">
        <f t="shared" si="3"/>
        <v>0</v>
      </c>
      <c r="F34" s="62">
        <v>5601164.7400000002</v>
      </c>
      <c r="G34" s="62">
        <v>4132221.15</v>
      </c>
      <c r="H34" s="62"/>
      <c r="I34" s="62">
        <v>2594387.63</v>
      </c>
      <c r="J34" s="62">
        <v>0</v>
      </c>
      <c r="K34" s="62"/>
      <c r="L34" s="62"/>
      <c r="M34" s="62">
        <v>0</v>
      </c>
      <c r="N34" s="62">
        <v>0</v>
      </c>
      <c r="O34" s="62"/>
      <c r="P34" s="62">
        <v>0</v>
      </c>
      <c r="Q34" s="62">
        <v>0</v>
      </c>
      <c r="R34" s="62"/>
      <c r="S34" s="30"/>
      <c r="T34" s="156">
        <f>138632.77</f>
        <v>138632.76999999999</v>
      </c>
    </row>
    <row r="35" spans="1:20" hidden="1">
      <c r="A35" s="295">
        <f t="shared" si="4"/>
        <v>20</v>
      </c>
      <c r="B35" s="12">
        <f t="shared" si="5"/>
        <v>20</v>
      </c>
      <c r="C35" s="101" t="s">
        <v>114</v>
      </c>
      <c r="D35" s="101" t="s">
        <v>139</v>
      </c>
      <c r="E35" s="146">
        <f t="shared" si="3"/>
        <v>0</v>
      </c>
      <c r="F35" s="62"/>
      <c r="G35" s="62">
        <v>1792691.85</v>
      </c>
      <c r="H35" s="62"/>
      <c r="I35" s="62">
        <v>1124322.94</v>
      </c>
      <c r="J35" s="62">
        <v>0</v>
      </c>
      <c r="K35" s="62"/>
      <c r="L35" s="62"/>
      <c r="M35" s="62">
        <v>0</v>
      </c>
      <c r="N35" s="62">
        <v>0</v>
      </c>
      <c r="O35" s="62">
        <v>1790598.95</v>
      </c>
      <c r="P35" s="62">
        <v>0</v>
      </c>
      <c r="Q35" s="62">
        <v>0</v>
      </c>
      <c r="R35" s="62"/>
      <c r="S35" s="30"/>
      <c r="T35" s="156"/>
    </row>
    <row r="36" spans="1:20" hidden="1">
      <c r="A36" s="295">
        <f t="shared" si="4"/>
        <v>21</v>
      </c>
      <c r="B36" s="12">
        <f t="shared" si="5"/>
        <v>21</v>
      </c>
      <c r="C36" s="101" t="s">
        <v>114</v>
      </c>
      <c r="D36" s="101" t="s">
        <v>143</v>
      </c>
      <c r="E36" s="146">
        <f t="shared" si="3"/>
        <v>0</v>
      </c>
      <c r="F36" s="62"/>
      <c r="G36" s="62">
        <v>991956.22</v>
      </c>
      <c r="H36" s="62"/>
      <c r="I36" s="62">
        <v>513354.67</v>
      </c>
      <c r="J36" s="62">
        <v>0</v>
      </c>
      <c r="K36" s="62"/>
      <c r="L36" s="62"/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/>
      <c r="S36" s="30"/>
      <c r="T36" s="156">
        <f>14821.93</f>
        <v>14821.93</v>
      </c>
    </row>
    <row r="37" spans="1:20" hidden="1">
      <c r="A37" s="295">
        <f t="shared" si="4"/>
        <v>22</v>
      </c>
      <c r="B37" s="12">
        <f t="shared" si="5"/>
        <v>22</v>
      </c>
      <c r="C37" s="101" t="s">
        <v>114</v>
      </c>
      <c r="D37" s="101" t="s">
        <v>145</v>
      </c>
      <c r="E37" s="146">
        <f t="shared" si="3"/>
        <v>0</v>
      </c>
      <c r="F37" s="62">
        <v>2562057.4900000002</v>
      </c>
      <c r="G37" s="62">
        <v>1395411.2</v>
      </c>
      <c r="H37" s="62"/>
      <c r="I37" s="62">
        <v>767119.01</v>
      </c>
      <c r="J37" s="62">
        <v>0</v>
      </c>
      <c r="K37" s="62"/>
      <c r="L37" s="62"/>
      <c r="M37" s="62">
        <v>0</v>
      </c>
      <c r="N37" s="62">
        <v>0</v>
      </c>
      <c r="O37" s="62">
        <v>1469553.35</v>
      </c>
      <c r="P37" s="62">
        <v>0</v>
      </c>
      <c r="Q37" s="62">
        <v>0</v>
      </c>
      <c r="R37" s="62"/>
      <c r="S37" s="30"/>
      <c r="T37" s="156"/>
    </row>
    <row r="38" spans="1:20" hidden="1">
      <c r="A38" s="295">
        <f t="shared" si="4"/>
        <v>23</v>
      </c>
      <c r="B38" s="12">
        <f t="shared" si="5"/>
        <v>23</v>
      </c>
      <c r="C38" s="101" t="s">
        <v>114</v>
      </c>
      <c r="D38" s="101" t="s">
        <v>147</v>
      </c>
      <c r="E38" s="146">
        <f t="shared" si="3"/>
        <v>0</v>
      </c>
      <c r="F38" s="62">
        <v>2223790.75</v>
      </c>
      <c r="G38" s="62"/>
      <c r="H38" s="62"/>
      <c r="I38" s="62"/>
      <c r="J38" s="62">
        <v>0</v>
      </c>
      <c r="K38" s="62"/>
      <c r="L38" s="62"/>
      <c r="M38" s="62">
        <v>0</v>
      </c>
      <c r="N38" s="62">
        <v>0</v>
      </c>
      <c r="O38" s="62"/>
      <c r="P38" s="62">
        <v>0</v>
      </c>
      <c r="Q38" s="62">
        <v>0</v>
      </c>
      <c r="R38" s="62"/>
      <c r="S38" s="30"/>
      <c r="T38" s="156"/>
    </row>
    <row r="39" spans="1:20" hidden="1">
      <c r="A39" s="295">
        <f t="shared" si="4"/>
        <v>24</v>
      </c>
      <c r="B39" s="12">
        <f t="shared" si="5"/>
        <v>24</v>
      </c>
      <c r="C39" s="101" t="s">
        <v>120</v>
      </c>
      <c r="D39" s="101" t="s">
        <v>149</v>
      </c>
      <c r="E39" s="146">
        <f t="shared" si="3"/>
        <v>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/>
      <c r="L39" s="62"/>
      <c r="M39" s="62">
        <v>0</v>
      </c>
      <c r="N39" s="118">
        <v>2913300.81</v>
      </c>
      <c r="O39" s="118">
        <v>0</v>
      </c>
      <c r="P39" s="118">
        <v>0</v>
      </c>
      <c r="Q39" s="118">
        <v>0</v>
      </c>
      <c r="R39" s="118">
        <v>297498.73</v>
      </c>
      <c r="S39" s="116">
        <v>8000</v>
      </c>
      <c r="T39" s="299"/>
    </row>
    <row r="40" spans="1:20" hidden="1">
      <c r="A40" s="295">
        <f t="shared" si="4"/>
        <v>25</v>
      </c>
      <c r="B40" s="12">
        <f t="shared" si="5"/>
        <v>25</v>
      </c>
      <c r="C40" s="101" t="s">
        <v>114</v>
      </c>
      <c r="D40" s="101" t="s">
        <v>151</v>
      </c>
      <c r="E40" s="146">
        <f t="shared" si="3"/>
        <v>0</v>
      </c>
      <c r="F40" s="62"/>
      <c r="G40" s="62">
        <v>2540840.59</v>
      </c>
      <c r="H40" s="62">
        <v>0</v>
      </c>
      <c r="J40" s="62">
        <v>0</v>
      </c>
      <c r="K40" s="62"/>
      <c r="L40" s="62"/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/>
      <c r="S40" s="30"/>
      <c r="T40" s="156">
        <f>37604.48</f>
        <v>37604.480000000003</v>
      </c>
    </row>
    <row r="41" spans="1:20" hidden="1">
      <c r="A41" s="295">
        <f t="shared" si="4"/>
        <v>26</v>
      </c>
      <c r="B41" s="12">
        <f t="shared" si="5"/>
        <v>26</v>
      </c>
      <c r="C41" s="101" t="s">
        <v>120</v>
      </c>
      <c r="D41" s="101" t="s">
        <v>153</v>
      </c>
      <c r="E41" s="146">
        <f t="shared" si="3"/>
        <v>0</v>
      </c>
      <c r="F41" s="118">
        <v>2951330.4</v>
      </c>
      <c r="G41" s="118">
        <v>0</v>
      </c>
      <c r="H41" s="118">
        <v>0</v>
      </c>
      <c r="I41" s="118">
        <v>0</v>
      </c>
      <c r="J41" s="118">
        <v>0</v>
      </c>
      <c r="K41" s="118"/>
      <c r="L41" s="118"/>
      <c r="M41" s="118">
        <v>0</v>
      </c>
      <c r="N41" s="118">
        <v>0</v>
      </c>
      <c r="O41" s="118"/>
      <c r="P41" s="118">
        <v>0</v>
      </c>
      <c r="Q41" s="118">
        <v>0</v>
      </c>
      <c r="R41" s="118">
        <v>582619.32999999996</v>
      </c>
      <c r="S41" s="116">
        <v>24000</v>
      </c>
      <c r="T41" s="299"/>
    </row>
    <row r="42" spans="1:20" hidden="1">
      <c r="A42" s="295">
        <f t="shared" si="4"/>
        <v>27</v>
      </c>
      <c r="B42" s="12">
        <f t="shared" si="5"/>
        <v>27</v>
      </c>
      <c r="C42" s="101" t="s">
        <v>114</v>
      </c>
      <c r="D42" s="101" t="s">
        <v>156</v>
      </c>
      <c r="E42" s="146">
        <f t="shared" si="3"/>
        <v>0</v>
      </c>
      <c r="F42" s="62">
        <v>3433452.29</v>
      </c>
      <c r="G42" s="62">
        <v>2760585.92</v>
      </c>
      <c r="H42" s="62">
        <v>0</v>
      </c>
      <c r="I42" s="62">
        <v>2310726.81</v>
      </c>
      <c r="J42" s="62">
        <v>0</v>
      </c>
      <c r="K42" s="62"/>
      <c r="L42" s="62"/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/>
      <c r="S42" s="30"/>
      <c r="T42" s="156">
        <v>0</v>
      </c>
    </row>
    <row r="43" spans="1:20" hidden="1">
      <c r="A43" s="295">
        <f t="shared" si="4"/>
        <v>28</v>
      </c>
      <c r="B43" s="12">
        <f t="shared" si="5"/>
        <v>28</v>
      </c>
      <c r="C43" s="101" t="s">
        <v>114</v>
      </c>
      <c r="D43" s="101" t="s">
        <v>158</v>
      </c>
      <c r="E43" s="146">
        <f t="shared" si="3"/>
        <v>0</v>
      </c>
      <c r="F43" s="62"/>
      <c r="G43" s="62">
        <v>0</v>
      </c>
      <c r="H43" s="62">
        <v>0</v>
      </c>
      <c r="I43" s="62"/>
      <c r="J43" s="62">
        <v>0</v>
      </c>
      <c r="K43" s="62"/>
      <c r="L43" s="62"/>
      <c r="M43" s="62">
        <v>0</v>
      </c>
      <c r="N43" s="62">
        <v>0</v>
      </c>
      <c r="O43" s="62">
        <v>5115227.17</v>
      </c>
      <c r="P43" s="62">
        <v>0</v>
      </c>
      <c r="Q43" s="62">
        <v>0</v>
      </c>
      <c r="R43" s="62"/>
      <c r="S43" s="30"/>
      <c r="T43" s="156"/>
    </row>
    <row r="44" spans="1:20" hidden="1">
      <c r="A44" s="295">
        <f t="shared" si="4"/>
        <v>29</v>
      </c>
      <c r="B44" s="12">
        <f t="shared" si="5"/>
        <v>29</v>
      </c>
      <c r="C44" s="101" t="s">
        <v>114</v>
      </c>
      <c r="D44" s="101" t="s">
        <v>161</v>
      </c>
      <c r="E44" s="146">
        <f t="shared" si="3"/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/>
      <c r="L44" s="62"/>
      <c r="M44" s="62">
        <v>0</v>
      </c>
      <c r="N44" s="62">
        <v>0</v>
      </c>
      <c r="O44" s="62">
        <v>4339069.3499999996</v>
      </c>
      <c r="P44" s="62">
        <v>0</v>
      </c>
      <c r="Q44" s="62">
        <v>0</v>
      </c>
      <c r="R44" s="62"/>
      <c r="S44" s="30"/>
      <c r="T44" s="156"/>
    </row>
    <row r="45" spans="1:20" hidden="1">
      <c r="A45" s="295">
        <f t="shared" si="4"/>
        <v>30</v>
      </c>
      <c r="B45" s="12">
        <f t="shared" si="5"/>
        <v>30</v>
      </c>
      <c r="C45" s="101" t="s">
        <v>114</v>
      </c>
      <c r="D45" s="101" t="s">
        <v>164</v>
      </c>
      <c r="E45" s="146">
        <f t="shared" si="3"/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/>
      <c r="L45" s="62"/>
      <c r="M45" s="62">
        <v>0</v>
      </c>
      <c r="N45" s="62">
        <v>0</v>
      </c>
      <c r="O45" s="62">
        <v>3882256.24</v>
      </c>
      <c r="P45" s="62">
        <v>0</v>
      </c>
      <c r="Q45" s="62">
        <v>0</v>
      </c>
      <c r="R45" s="62"/>
      <c r="S45" s="30"/>
      <c r="T45" s="156"/>
    </row>
    <row r="46" spans="1:20" hidden="1">
      <c r="A46" s="295">
        <f t="shared" si="4"/>
        <v>31</v>
      </c>
      <c r="B46" s="12">
        <f t="shared" si="5"/>
        <v>31</v>
      </c>
      <c r="C46" s="101" t="s">
        <v>114</v>
      </c>
      <c r="D46" s="101" t="s">
        <v>165</v>
      </c>
      <c r="E46" s="146">
        <f t="shared" si="3"/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/>
      <c r="L46" s="62"/>
      <c r="M46" s="62">
        <v>0</v>
      </c>
      <c r="N46" s="62">
        <v>0</v>
      </c>
      <c r="O46" s="62">
        <v>3994725.91</v>
      </c>
      <c r="P46" s="62">
        <v>0</v>
      </c>
      <c r="Q46" s="62">
        <v>0</v>
      </c>
      <c r="R46" s="62"/>
      <c r="S46" s="30"/>
      <c r="T46" s="156"/>
    </row>
    <row r="47" spans="1:20" hidden="1">
      <c r="A47" s="295">
        <f t="shared" si="4"/>
        <v>32</v>
      </c>
      <c r="B47" s="12">
        <f t="shared" si="5"/>
        <v>32</v>
      </c>
      <c r="C47" s="101" t="s">
        <v>114</v>
      </c>
      <c r="D47" s="101" t="s">
        <v>167</v>
      </c>
      <c r="E47" s="146">
        <f t="shared" si="3"/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/>
      <c r="L47" s="62"/>
      <c r="M47" s="62">
        <v>0</v>
      </c>
      <c r="N47" s="62">
        <v>0</v>
      </c>
      <c r="O47" s="62">
        <v>3410025.96</v>
      </c>
      <c r="P47" s="62">
        <v>0</v>
      </c>
      <c r="Q47" s="62">
        <v>0</v>
      </c>
      <c r="R47" s="62"/>
      <c r="S47" s="30"/>
      <c r="T47" s="156"/>
    </row>
    <row r="48" spans="1:20" hidden="1">
      <c r="A48" s="295">
        <f t="shared" si="4"/>
        <v>33</v>
      </c>
      <c r="B48" s="12">
        <f t="shared" si="5"/>
        <v>33</v>
      </c>
      <c r="C48" s="101" t="s">
        <v>114</v>
      </c>
      <c r="D48" s="101" t="s">
        <v>170</v>
      </c>
      <c r="E48" s="146">
        <f t="shared" ref="E48:E79" si="6">SUBTOTAL(9, F48:T48)</f>
        <v>0</v>
      </c>
      <c r="F48" s="62">
        <v>5460916.2000000002</v>
      </c>
      <c r="G48" s="62"/>
      <c r="H48" s="62"/>
      <c r="I48" s="62">
        <v>2605145.33</v>
      </c>
      <c r="J48" s="62">
        <v>0</v>
      </c>
      <c r="K48" s="62"/>
      <c r="L48" s="62"/>
      <c r="M48" s="62">
        <v>0</v>
      </c>
      <c r="N48" s="62">
        <v>3676226.7</v>
      </c>
      <c r="O48" s="62">
        <v>0</v>
      </c>
      <c r="P48" s="62">
        <v>0</v>
      </c>
      <c r="Q48" s="62">
        <v>0</v>
      </c>
      <c r="R48" s="62"/>
      <c r="S48" s="30"/>
      <c r="T48" s="156">
        <f>47653.16</f>
        <v>47653.16</v>
      </c>
    </row>
    <row r="49" spans="1:20" hidden="1">
      <c r="A49" s="295">
        <f t="shared" ref="A49:A80" si="7">+A48+1</f>
        <v>34</v>
      </c>
      <c r="B49" s="12">
        <f t="shared" ref="B49:B80" si="8">+B48+1</f>
        <v>34</v>
      </c>
      <c r="C49" s="101" t="s">
        <v>114</v>
      </c>
      <c r="D49" s="101" t="s">
        <v>176</v>
      </c>
      <c r="E49" s="146">
        <f t="shared" si="6"/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/>
      <c r="L49" s="62"/>
      <c r="M49" s="62">
        <v>0</v>
      </c>
      <c r="N49" s="62"/>
      <c r="O49" s="62">
        <v>0</v>
      </c>
      <c r="P49" s="62">
        <v>24993173.34</v>
      </c>
      <c r="Q49" s="62">
        <v>0</v>
      </c>
      <c r="R49" s="62"/>
      <c r="S49" s="30"/>
      <c r="T49" s="156"/>
    </row>
    <row r="50" spans="1:20" hidden="1">
      <c r="A50" s="295">
        <f t="shared" si="7"/>
        <v>35</v>
      </c>
      <c r="B50" s="12">
        <f t="shared" si="8"/>
        <v>35</v>
      </c>
      <c r="C50" s="101" t="s">
        <v>114</v>
      </c>
      <c r="D50" s="101" t="s">
        <v>178</v>
      </c>
      <c r="E50" s="146">
        <f t="shared" si="6"/>
        <v>0</v>
      </c>
      <c r="F50" s="62"/>
      <c r="G50" s="62">
        <v>2149155.58</v>
      </c>
      <c r="H50" s="62">
        <v>0</v>
      </c>
      <c r="I50" s="62">
        <v>0</v>
      </c>
      <c r="J50" s="62">
        <v>0</v>
      </c>
      <c r="K50" s="62"/>
      <c r="L50" s="62"/>
      <c r="M50" s="62"/>
      <c r="N50" s="62"/>
      <c r="O50" s="62"/>
      <c r="P50" s="62"/>
      <c r="Q50" s="62">
        <v>0</v>
      </c>
      <c r="R50" s="62"/>
      <c r="S50" s="30"/>
      <c r="T50" s="156"/>
    </row>
    <row r="51" spans="1:20" hidden="1">
      <c r="A51" s="295">
        <f t="shared" si="7"/>
        <v>36</v>
      </c>
      <c r="B51" s="12">
        <f t="shared" si="8"/>
        <v>36</v>
      </c>
      <c r="C51" s="101" t="s">
        <v>114</v>
      </c>
      <c r="D51" s="101" t="s">
        <v>180</v>
      </c>
      <c r="E51" s="146">
        <f t="shared" si="6"/>
        <v>0</v>
      </c>
      <c r="F51" s="62">
        <v>0</v>
      </c>
      <c r="G51" s="62">
        <v>0</v>
      </c>
      <c r="H51" s="62">
        <v>0</v>
      </c>
      <c r="I51" s="62">
        <v>0</v>
      </c>
      <c r="J51" s="62">
        <v>0</v>
      </c>
      <c r="K51" s="62"/>
      <c r="L51" s="62"/>
      <c r="M51" s="62">
        <v>0</v>
      </c>
      <c r="N51" s="62">
        <v>1822287.29</v>
      </c>
      <c r="O51" s="62">
        <v>0</v>
      </c>
      <c r="P51" s="62">
        <v>0</v>
      </c>
      <c r="Q51" s="62">
        <v>0</v>
      </c>
      <c r="R51" s="62"/>
      <c r="S51" s="30"/>
      <c r="T51" s="156">
        <f>24801.51</f>
        <v>24801.51</v>
      </c>
    </row>
    <row r="52" spans="1:20" hidden="1">
      <c r="A52" s="295">
        <f t="shared" si="7"/>
        <v>37</v>
      </c>
      <c r="B52" s="12">
        <f t="shared" si="8"/>
        <v>37</v>
      </c>
      <c r="C52" s="101" t="s">
        <v>120</v>
      </c>
      <c r="D52" s="101" t="s">
        <v>184</v>
      </c>
      <c r="E52" s="146">
        <f t="shared" si="6"/>
        <v>0</v>
      </c>
      <c r="F52" s="62"/>
      <c r="G52" s="118">
        <v>6965734.7999999998</v>
      </c>
      <c r="H52" s="118">
        <v>2892341.42</v>
      </c>
      <c r="I52" s="118">
        <v>3341459.79</v>
      </c>
      <c r="J52" s="118">
        <v>0</v>
      </c>
      <c r="K52" s="118"/>
      <c r="L52" s="118"/>
      <c r="M52" s="118">
        <v>0</v>
      </c>
      <c r="N52" s="118">
        <v>7743707.0499999998</v>
      </c>
      <c r="O52" s="118">
        <v>0</v>
      </c>
      <c r="P52" s="118">
        <v>0</v>
      </c>
      <c r="Q52" s="118">
        <v>0</v>
      </c>
      <c r="R52" s="118">
        <v>732528.68</v>
      </c>
      <c r="S52" s="116">
        <v>10000</v>
      </c>
      <c r="T52" s="299"/>
    </row>
    <row r="53" spans="1:20" hidden="1">
      <c r="A53" s="295">
        <f t="shared" si="7"/>
        <v>38</v>
      </c>
      <c r="B53" s="12">
        <f t="shared" si="8"/>
        <v>38</v>
      </c>
      <c r="C53" s="101" t="s">
        <v>185</v>
      </c>
      <c r="D53" s="101" t="s">
        <v>186</v>
      </c>
      <c r="E53" s="146">
        <f t="shared" si="6"/>
        <v>0</v>
      </c>
      <c r="F53" s="62">
        <v>1983392.29</v>
      </c>
      <c r="G53" s="62">
        <v>0</v>
      </c>
      <c r="H53" s="62">
        <v>764851.03</v>
      </c>
      <c r="I53" s="62">
        <v>859745.54</v>
      </c>
      <c r="J53" s="62">
        <v>0</v>
      </c>
      <c r="K53" s="62"/>
      <c r="L53" s="62"/>
      <c r="M53" s="62">
        <v>0</v>
      </c>
      <c r="N53" s="62">
        <v>4729777.2699999996</v>
      </c>
      <c r="O53" s="62">
        <v>0</v>
      </c>
      <c r="P53" s="62">
        <v>3962700.17</v>
      </c>
      <c r="Q53" s="62"/>
      <c r="R53" s="62">
        <v>118987.5845</v>
      </c>
      <c r="S53" s="30">
        <v>24854.014500000001</v>
      </c>
      <c r="T53" s="156">
        <f>20818.12+6585.02+11518.46+32453.28+38132.78</f>
        <v>109507.66</v>
      </c>
    </row>
    <row r="54" spans="1:20" hidden="1">
      <c r="A54" s="295">
        <f t="shared" si="7"/>
        <v>39</v>
      </c>
      <c r="B54" s="12">
        <f t="shared" si="8"/>
        <v>39</v>
      </c>
      <c r="C54" s="101" t="s">
        <v>185</v>
      </c>
      <c r="D54" s="101" t="s">
        <v>189</v>
      </c>
      <c r="E54" s="146">
        <f t="shared" si="6"/>
        <v>0</v>
      </c>
      <c r="F54" s="62">
        <v>3525522.9</v>
      </c>
      <c r="G54" s="62">
        <v>0</v>
      </c>
      <c r="H54" s="62">
        <v>1377151.25</v>
      </c>
      <c r="I54" s="62"/>
      <c r="J54" s="62">
        <v>0</v>
      </c>
      <c r="K54" s="62"/>
      <c r="L54" s="62"/>
      <c r="M54" s="62">
        <v>0</v>
      </c>
      <c r="N54" s="62">
        <v>4462778.8899999997</v>
      </c>
      <c r="O54" s="62">
        <v>0</v>
      </c>
      <c r="P54" s="62">
        <v>0</v>
      </c>
      <c r="Q54" s="62">
        <v>0</v>
      </c>
      <c r="R54" s="62">
        <v>322308.03999999998</v>
      </c>
      <c r="S54" s="30">
        <v>48000</v>
      </c>
      <c r="T54" s="156"/>
    </row>
    <row r="55" spans="1:20" hidden="1">
      <c r="A55" s="295">
        <f t="shared" si="7"/>
        <v>40</v>
      </c>
      <c r="B55" s="12">
        <f t="shared" si="8"/>
        <v>40</v>
      </c>
      <c r="C55" s="101" t="s">
        <v>185</v>
      </c>
      <c r="D55" s="101" t="s">
        <v>192</v>
      </c>
      <c r="E55" s="146">
        <f t="shared" si="6"/>
        <v>0</v>
      </c>
      <c r="F55" s="62">
        <v>5966685.6799999997</v>
      </c>
      <c r="G55" s="62">
        <v>1488946.14</v>
      </c>
      <c r="H55" s="62"/>
      <c r="I55" s="62"/>
      <c r="J55" s="62">
        <v>0</v>
      </c>
      <c r="K55" s="62"/>
      <c r="L55" s="62"/>
      <c r="M55" s="62">
        <v>0</v>
      </c>
      <c r="N55" s="62"/>
      <c r="O55" s="62">
        <v>0</v>
      </c>
      <c r="P55" s="62"/>
      <c r="Q55" s="62"/>
      <c r="R55" s="62"/>
      <c r="S55" s="30"/>
      <c r="T55" s="156"/>
    </row>
    <row r="56" spans="1:20" hidden="1">
      <c r="A56" s="295">
        <f t="shared" si="7"/>
        <v>41</v>
      </c>
      <c r="B56" s="12">
        <f t="shared" si="8"/>
        <v>41</v>
      </c>
      <c r="C56" s="101" t="s">
        <v>185</v>
      </c>
      <c r="D56" s="101" t="s">
        <v>194</v>
      </c>
      <c r="E56" s="146">
        <f t="shared" si="6"/>
        <v>0</v>
      </c>
      <c r="F56" s="62">
        <v>1765727.93</v>
      </c>
      <c r="G56" s="62">
        <v>0</v>
      </c>
      <c r="H56" s="62">
        <v>609050.4</v>
      </c>
      <c r="I56" s="62"/>
      <c r="J56" s="62">
        <v>0</v>
      </c>
      <c r="K56" s="62"/>
      <c r="L56" s="62"/>
      <c r="M56" s="62">
        <v>0</v>
      </c>
      <c r="N56" s="62">
        <v>6221591.2110660002</v>
      </c>
      <c r="O56" s="62"/>
      <c r="P56" s="62"/>
      <c r="Q56" s="62">
        <v>2928661.91</v>
      </c>
      <c r="R56" s="62">
        <v>699135.1274</v>
      </c>
      <c r="S56" s="30">
        <v>90522.263900000005</v>
      </c>
      <c r="T56" s="156"/>
    </row>
    <row r="57" spans="1:20" hidden="1">
      <c r="A57" s="295">
        <f t="shared" si="7"/>
        <v>42</v>
      </c>
      <c r="B57" s="12">
        <f t="shared" si="8"/>
        <v>42</v>
      </c>
      <c r="C57" s="101" t="s">
        <v>185</v>
      </c>
      <c r="D57" s="101" t="s">
        <v>196</v>
      </c>
      <c r="E57" s="146">
        <f t="shared" si="6"/>
        <v>0</v>
      </c>
      <c r="F57" s="62">
        <v>3493966.86</v>
      </c>
      <c r="G57" s="62">
        <v>2141042.75</v>
      </c>
      <c r="H57" s="62"/>
      <c r="I57" s="62">
        <v>1393455.49</v>
      </c>
      <c r="J57" s="62"/>
      <c r="K57" s="62"/>
      <c r="L57" s="62"/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/>
      <c r="S57" s="30"/>
      <c r="T57" s="156">
        <f>47895.04+22398.98+13145.47</f>
        <v>83439.490000000005</v>
      </c>
    </row>
    <row r="58" spans="1:20" hidden="1">
      <c r="A58" s="295">
        <f t="shared" si="7"/>
        <v>43</v>
      </c>
      <c r="B58" s="12">
        <f t="shared" si="8"/>
        <v>43</v>
      </c>
      <c r="C58" s="101" t="s">
        <v>185</v>
      </c>
      <c r="D58" s="101" t="s">
        <v>197</v>
      </c>
      <c r="E58" s="146">
        <f t="shared" si="6"/>
        <v>0</v>
      </c>
      <c r="F58" s="62">
        <v>5399356.9199999999</v>
      </c>
      <c r="G58" s="62"/>
      <c r="H58" s="62">
        <v>2387945.1800000002</v>
      </c>
      <c r="I58" s="62">
        <v>2433472.6800000002</v>
      </c>
      <c r="J58" s="62"/>
      <c r="K58" s="62"/>
      <c r="L58" s="62"/>
      <c r="M58" s="62">
        <v>0</v>
      </c>
      <c r="N58" s="62">
        <v>11379650.75</v>
      </c>
      <c r="O58" s="62">
        <v>0</v>
      </c>
      <c r="P58" s="62">
        <v>18883188.84</v>
      </c>
      <c r="Q58" s="62">
        <v>3776525.81</v>
      </c>
      <c r="R58" s="62">
        <v>276792.45750000002</v>
      </c>
      <c r="S58" s="30">
        <v>44508.167500000003</v>
      </c>
      <c r="T58" s="156">
        <f>64915.61+30822.62+23778.33+89763.23+262834.11+55255.1</f>
        <v>527369</v>
      </c>
    </row>
    <row r="59" spans="1:20" hidden="1">
      <c r="A59" s="295">
        <f t="shared" si="7"/>
        <v>44</v>
      </c>
      <c r="B59" s="12">
        <f t="shared" si="8"/>
        <v>44</v>
      </c>
      <c r="C59" s="101" t="s">
        <v>185</v>
      </c>
      <c r="D59" s="101" t="s">
        <v>199</v>
      </c>
      <c r="E59" s="146">
        <f t="shared" si="6"/>
        <v>0</v>
      </c>
      <c r="F59" s="62">
        <v>1114194.82</v>
      </c>
      <c r="G59" s="62">
        <v>0</v>
      </c>
      <c r="H59" s="62">
        <v>325054.98</v>
      </c>
      <c r="I59" s="62">
        <v>0</v>
      </c>
      <c r="J59" s="62">
        <v>0</v>
      </c>
      <c r="K59" s="62"/>
      <c r="L59" s="62"/>
      <c r="M59" s="62">
        <v>0</v>
      </c>
      <c r="N59" s="62">
        <v>2410884.9500000002</v>
      </c>
      <c r="O59" s="62">
        <v>0</v>
      </c>
      <c r="P59" s="62">
        <v>2965969.93</v>
      </c>
      <c r="Q59" s="62">
        <v>2124525.0299999998</v>
      </c>
      <c r="R59" s="62">
        <v>222088.61</v>
      </c>
      <c r="S59" s="62">
        <f>64189.4440582085</f>
        <v>64189.444058208501</v>
      </c>
      <c r="T59" s="156"/>
    </row>
    <row r="60" spans="1:20" hidden="1">
      <c r="A60" s="295">
        <f t="shared" si="7"/>
        <v>45</v>
      </c>
      <c r="B60" s="12">
        <f t="shared" si="8"/>
        <v>45</v>
      </c>
      <c r="C60" s="101" t="s">
        <v>185</v>
      </c>
      <c r="D60" s="101" t="s">
        <v>201</v>
      </c>
      <c r="E60" s="146">
        <f t="shared" si="6"/>
        <v>0</v>
      </c>
      <c r="F60" s="62">
        <v>0</v>
      </c>
      <c r="G60" s="62">
        <v>0</v>
      </c>
      <c r="H60" s="62">
        <v>295096.46000000002</v>
      </c>
      <c r="I60" s="62">
        <v>0</v>
      </c>
      <c r="J60" s="62">
        <v>0</v>
      </c>
      <c r="K60" s="62"/>
      <c r="L60" s="62"/>
      <c r="M60" s="62">
        <v>0</v>
      </c>
      <c r="N60" s="62">
        <v>0</v>
      </c>
      <c r="O60" s="62">
        <v>0</v>
      </c>
      <c r="P60" s="62"/>
      <c r="Q60" s="62"/>
      <c r="R60" s="62"/>
      <c r="S60" s="30"/>
      <c r="T60" s="156"/>
    </row>
    <row r="61" spans="1:20" hidden="1">
      <c r="A61" s="295">
        <f t="shared" si="7"/>
        <v>46</v>
      </c>
      <c r="B61" s="12">
        <f t="shared" si="8"/>
        <v>46</v>
      </c>
      <c r="C61" s="101" t="s">
        <v>185</v>
      </c>
      <c r="D61" s="101" t="s">
        <v>205</v>
      </c>
      <c r="E61" s="146">
        <f t="shared" si="6"/>
        <v>0</v>
      </c>
      <c r="F61" s="62">
        <v>0</v>
      </c>
      <c r="G61" s="62">
        <v>0</v>
      </c>
      <c r="H61" s="62">
        <v>295096.46000000002</v>
      </c>
      <c r="I61" s="62">
        <v>0</v>
      </c>
      <c r="J61" s="62">
        <v>0</v>
      </c>
      <c r="K61" s="62"/>
      <c r="L61" s="62"/>
      <c r="M61" s="62">
        <v>0</v>
      </c>
      <c r="N61" s="62">
        <v>0</v>
      </c>
      <c r="O61" s="62">
        <v>0</v>
      </c>
      <c r="P61" s="62"/>
      <c r="Q61" s="62"/>
      <c r="R61" s="62"/>
      <c r="S61" s="30"/>
      <c r="T61" s="156"/>
    </row>
    <row r="62" spans="1:20" hidden="1">
      <c r="A62" s="295">
        <f t="shared" si="7"/>
        <v>47</v>
      </c>
      <c r="B62" s="12">
        <f t="shared" si="8"/>
        <v>47</v>
      </c>
      <c r="C62" s="101" t="s">
        <v>185</v>
      </c>
      <c r="D62" s="101" t="s">
        <v>208</v>
      </c>
      <c r="E62" s="146">
        <f t="shared" si="6"/>
        <v>0</v>
      </c>
      <c r="F62" s="63"/>
      <c r="G62" s="62"/>
      <c r="I62" s="62"/>
      <c r="J62" s="62"/>
      <c r="K62" s="62"/>
      <c r="L62" s="62"/>
      <c r="M62" s="62">
        <v>0</v>
      </c>
      <c r="N62" s="62"/>
      <c r="O62" s="62">
        <v>0</v>
      </c>
      <c r="P62" s="62">
        <v>13315014.15</v>
      </c>
      <c r="Q62" s="62">
        <v>6316602.7000000002</v>
      </c>
      <c r="R62" s="62">
        <v>184016.59</v>
      </c>
      <c r="S62" s="30"/>
      <c r="T62" s="156">
        <f>196715.63+59589.04</f>
        <v>256304.67</v>
      </c>
    </row>
    <row r="63" spans="1:20" hidden="1">
      <c r="A63" s="295">
        <f t="shared" si="7"/>
        <v>48</v>
      </c>
      <c r="B63" s="12">
        <f t="shared" si="8"/>
        <v>48</v>
      </c>
      <c r="C63" s="101" t="s">
        <v>185</v>
      </c>
      <c r="D63" s="101" t="s">
        <v>211</v>
      </c>
      <c r="E63" s="146">
        <f t="shared" si="6"/>
        <v>0</v>
      </c>
      <c r="F63" s="62">
        <v>4769407.0999999996</v>
      </c>
      <c r="G63" s="62"/>
      <c r="I63" s="62">
        <v>1031316.84</v>
      </c>
      <c r="J63" s="62"/>
      <c r="K63" s="62"/>
      <c r="L63" s="62"/>
      <c r="M63" s="62">
        <v>0</v>
      </c>
      <c r="N63" s="62">
        <v>10189652.140000001</v>
      </c>
      <c r="O63" s="62">
        <v>0</v>
      </c>
      <c r="P63" s="62">
        <v>7616799.1900000004</v>
      </c>
      <c r="Q63" s="62">
        <v>787626.31</v>
      </c>
      <c r="R63" s="62">
        <v>1118801.88790099</v>
      </c>
      <c r="S63" s="62">
        <f>64785.607900992</f>
        <v>64785.607900991999</v>
      </c>
      <c r="T63" s="156">
        <f>58276.61+6630.4+97841.34+57352.04+9600.28</f>
        <v>229700.67</v>
      </c>
    </row>
    <row r="64" spans="1:20" hidden="1">
      <c r="A64" s="295">
        <f t="shared" si="7"/>
        <v>49</v>
      </c>
      <c r="B64" s="12">
        <f t="shared" si="8"/>
        <v>49</v>
      </c>
      <c r="C64" s="101" t="s">
        <v>185</v>
      </c>
      <c r="D64" s="101" t="s">
        <v>212</v>
      </c>
      <c r="E64" s="146">
        <f t="shared" si="6"/>
        <v>0</v>
      </c>
      <c r="F64" s="62"/>
      <c r="G64" s="62"/>
      <c r="H64" s="62">
        <v>657551.96</v>
      </c>
      <c r="I64" s="62"/>
      <c r="J64" s="62"/>
      <c r="K64" s="62"/>
      <c r="L64" s="62"/>
      <c r="M64" s="62">
        <v>0</v>
      </c>
      <c r="N64" s="62"/>
      <c r="O64" s="62">
        <v>0</v>
      </c>
      <c r="P64" s="62">
        <v>0</v>
      </c>
      <c r="Q64" s="62">
        <v>0</v>
      </c>
      <c r="R64" s="62"/>
      <c r="S64" s="30"/>
      <c r="T64" s="156"/>
    </row>
    <row r="65" spans="1:22" s="142" customFormat="1" hidden="1">
      <c r="A65" s="295">
        <f t="shared" si="7"/>
        <v>50</v>
      </c>
      <c r="B65" s="12">
        <f t="shared" si="8"/>
        <v>50</v>
      </c>
      <c r="C65" s="101" t="s">
        <v>185</v>
      </c>
      <c r="D65" s="101" t="s">
        <v>215</v>
      </c>
      <c r="E65" s="146">
        <f t="shared" si="6"/>
        <v>0</v>
      </c>
      <c r="F65" s="146"/>
      <c r="G65" s="146"/>
      <c r="H65" s="146"/>
      <c r="I65" s="146"/>
      <c r="J65" s="146"/>
      <c r="K65" s="146"/>
      <c r="L65" s="146"/>
      <c r="M65" s="146">
        <v>5738993.2800000003</v>
      </c>
      <c r="N65" s="146"/>
      <c r="O65" s="146"/>
      <c r="P65" s="146"/>
      <c r="Q65" s="146"/>
      <c r="R65" s="146">
        <v>146568.92267520001</v>
      </c>
      <c r="S65" s="146">
        <v>24000</v>
      </c>
      <c r="T65" s="146"/>
      <c r="V65" s="285"/>
    </row>
    <row r="66" spans="1:22" s="142" customFormat="1" hidden="1">
      <c r="A66" s="295">
        <f t="shared" si="7"/>
        <v>51</v>
      </c>
      <c r="B66" s="12">
        <f t="shared" si="8"/>
        <v>51</v>
      </c>
      <c r="C66" s="101" t="s">
        <v>185</v>
      </c>
      <c r="D66" s="101" t="s">
        <v>219</v>
      </c>
      <c r="E66" s="146">
        <f t="shared" si="6"/>
        <v>0</v>
      </c>
      <c r="F66" s="146"/>
      <c r="G66" s="146"/>
      <c r="H66" s="146"/>
      <c r="I66" s="146"/>
      <c r="J66" s="146"/>
      <c r="K66" s="146"/>
      <c r="L66" s="146"/>
      <c r="M66" s="146">
        <v>5738993.2800000003</v>
      </c>
      <c r="N66" s="146"/>
      <c r="O66" s="146"/>
      <c r="P66" s="146"/>
      <c r="Q66" s="146"/>
      <c r="R66" s="146">
        <v>135639.08179200001</v>
      </c>
      <c r="S66" s="146">
        <v>24000</v>
      </c>
      <c r="T66" s="146"/>
      <c r="V66" s="285"/>
    </row>
    <row r="67" spans="1:22" hidden="1">
      <c r="A67" s="295">
        <f t="shared" si="7"/>
        <v>52</v>
      </c>
      <c r="B67" s="12">
        <f t="shared" si="8"/>
        <v>52</v>
      </c>
      <c r="C67" s="101" t="s">
        <v>185</v>
      </c>
      <c r="D67" s="101" t="s">
        <v>223</v>
      </c>
      <c r="E67" s="146">
        <f t="shared" si="6"/>
        <v>0</v>
      </c>
      <c r="F67" s="62"/>
      <c r="G67" s="62"/>
      <c r="H67" s="62"/>
      <c r="I67" s="62"/>
      <c r="J67" s="62">
        <f>1117005.032262+1399.01</f>
        <v>1118404.042262</v>
      </c>
      <c r="K67" s="62"/>
      <c r="L67" s="62"/>
      <c r="M67" s="62"/>
      <c r="N67" s="62"/>
      <c r="O67" s="62">
        <v>0</v>
      </c>
      <c r="P67" s="62">
        <v>0</v>
      </c>
      <c r="Q67" s="62">
        <v>0</v>
      </c>
      <c r="R67" s="62"/>
      <c r="S67" s="30"/>
      <c r="T67" s="156"/>
    </row>
    <row r="68" spans="1:22" hidden="1">
      <c r="A68" s="295">
        <f t="shared" si="7"/>
        <v>53</v>
      </c>
      <c r="B68" s="12">
        <f t="shared" si="8"/>
        <v>53</v>
      </c>
      <c r="C68" s="101" t="s">
        <v>185</v>
      </c>
      <c r="D68" s="101" t="s">
        <v>224</v>
      </c>
      <c r="E68" s="146">
        <f t="shared" si="6"/>
        <v>0</v>
      </c>
      <c r="F68" s="62"/>
      <c r="G68" s="62"/>
      <c r="H68" s="62">
        <v>727596.98</v>
      </c>
      <c r="I68" s="62"/>
      <c r="J68" s="62"/>
      <c r="K68" s="62"/>
      <c r="L68" s="62"/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/>
      <c r="S68" s="30"/>
      <c r="T68" s="156">
        <f>7525.01</f>
        <v>7525.01</v>
      </c>
    </row>
    <row r="69" spans="1:22" hidden="1">
      <c r="A69" s="295">
        <f t="shared" si="7"/>
        <v>54</v>
      </c>
      <c r="B69" s="12">
        <f t="shared" si="8"/>
        <v>54</v>
      </c>
      <c r="C69" s="101" t="s">
        <v>185</v>
      </c>
      <c r="D69" s="101" t="s">
        <v>226</v>
      </c>
      <c r="E69" s="146">
        <f t="shared" si="6"/>
        <v>0</v>
      </c>
      <c r="F69" s="62">
        <v>2728315.47</v>
      </c>
      <c r="G69" s="62">
        <v>1047486.37</v>
      </c>
      <c r="H69" s="62">
        <v>607322.06000000006</v>
      </c>
      <c r="I69" s="62"/>
      <c r="J69" s="62"/>
      <c r="K69" s="62"/>
      <c r="L69" s="62"/>
      <c r="M69" s="62">
        <v>0</v>
      </c>
      <c r="N69" s="62">
        <v>0</v>
      </c>
      <c r="O69" s="62">
        <v>0</v>
      </c>
      <c r="P69" s="62">
        <v>0</v>
      </c>
      <c r="Q69" s="62">
        <v>0</v>
      </c>
      <c r="R69" s="62"/>
      <c r="S69" s="30"/>
      <c r="T69" s="156">
        <v>6811.75</v>
      </c>
    </row>
    <row r="70" spans="1:22" hidden="1">
      <c r="A70" s="295">
        <f t="shared" si="7"/>
        <v>55</v>
      </c>
      <c r="B70" s="12">
        <f t="shared" si="8"/>
        <v>55</v>
      </c>
      <c r="C70" s="101" t="s">
        <v>185</v>
      </c>
      <c r="D70" s="101" t="s">
        <v>227</v>
      </c>
      <c r="E70" s="146">
        <f t="shared" si="6"/>
        <v>0</v>
      </c>
      <c r="F70" s="62"/>
      <c r="G70" s="62">
        <v>0</v>
      </c>
      <c r="H70" s="62"/>
      <c r="I70" s="62">
        <v>1827661.8</v>
      </c>
      <c r="J70" s="62">
        <v>0</v>
      </c>
      <c r="K70" s="62"/>
      <c r="L70" s="62"/>
      <c r="M70" s="62">
        <v>0</v>
      </c>
      <c r="N70" s="62"/>
      <c r="O70" s="62">
        <v>0</v>
      </c>
      <c r="P70" s="62"/>
      <c r="Q70" s="62">
        <v>0</v>
      </c>
      <c r="R70" s="62"/>
      <c r="S70" s="30"/>
      <c r="T70" s="156"/>
    </row>
    <row r="71" spans="1:22" hidden="1">
      <c r="A71" s="295">
        <f t="shared" si="7"/>
        <v>56</v>
      </c>
      <c r="B71" s="12">
        <f t="shared" si="8"/>
        <v>56</v>
      </c>
      <c r="C71" s="101" t="s">
        <v>185</v>
      </c>
      <c r="D71" s="101" t="s">
        <v>229</v>
      </c>
      <c r="E71" s="146">
        <f t="shared" si="6"/>
        <v>0</v>
      </c>
      <c r="F71" s="62"/>
      <c r="G71" s="62">
        <v>0</v>
      </c>
      <c r="H71" s="62"/>
      <c r="I71" s="62"/>
      <c r="J71" s="62">
        <v>0</v>
      </c>
      <c r="K71" s="62"/>
      <c r="L71" s="62"/>
      <c r="M71" s="62">
        <v>0</v>
      </c>
      <c r="N71" s="62">
        <v>2845906.28</v>
      </c>
      <c r="O71" s="62">
        <v>0</v>
      </c>
      <c r="P71" s="62"/>
      <c r="Q71" s="62">
        <v>0</v>
      </c>
      <c r="R71" s="62"/>
      <c r="S71" s="30"/>
      <c r="T71" s="156"/>
    </row>
    <row r="72" spans="1:22" hidden="1">
      <c r="A72" s="295">
        <f t="shared" si="7"/>
        <v>57</v>
      </c>
      <c r="B72" s="12">
        <f t="shared" si="8"/>
        <v>57</v>
      </c>
      <c r="C72" s="101" t="s">
        <v>185</v>
      </c>
      <c r="D72" s="101" t="s">
        <v>231</v>
      </c>
      <c r="E72" s="146">
        <f t="shared" si="6"/>
        <v>0</v>
      </c>
      <c r="F72" s="62"/>
      <c r="G72" s="62">
        <v>0</v>
      </c>
      <c r="J72" s="62">
        <v>0</v>
      </c>
      <c r="K72" s="62"/>
      <c r="L72" s="62"/>
      <c r="M72" s="62">
        <v>0</v>
      </c>
      <c r="N72" s="62">
        <v>3018526.85</v>
      </c>
      <c r="O72" s="62">
        <v>0</v>
      </c>
      <c r="P72" s="62"/>
      <c r="Q72" s="62">
        <v>0</v>
      </c>
      <c r="R72" s="62">
        <v>2550189.8569999998</v>
      </c>
      <c r="S72" s="30">
        <f>278424.5693</f>
        <v>278424.56929999997</v>
      </c>
      <c r="T72" s="156"/>
    </row>
    <row r="73" spans="1:22" hidden="1">
      <c r="A73" s="295">
        <f t="shared" si="7"/>
        <v>58</v>
      </c>
      <c r="B73" s="12">
        <f t="shared" si="8"/>
        <v>58</v>
      </c>
      <c r="C73" s="101" t="s">
        <v>185</v>
      </c>
      <c r="D73" s="101" t="s">
        <v>233</v>
      </c>
      <c r="E73" s="146">
        <f t="shared" si="6"/>
        <v>0</v>
      </c>
      <c r="F73" s="62"/>
      <c r="G73" s="62"/>
      <c r="H73" s="62"/>
      <c r="I73" s="62"/>
      <c r="J73" s="62">
        <v>0</v>
      </c>
      <c r="K73" s="62"/>
      <c r="L73" s="62"/>
      <c r="M73" s="62">
        <v>0</v>
      </c>
      <c r="N73" s="62">
        <v>0</v>
      </c>
      <c r="O73" s="62">
        <v>0</v>
      </c>
      <c r="P73" s="62">
        <v>9311700.5</v>
      </c>
      <c r="Q73" s="62">
        <v>0</v>
      </c>
      <c r="R73" s="62"/>
      <c r="S73" s="30"/>
      <c r="T73" s="156"/>
    </row>
    <row r="74" spans="1:22" hidden="1">
      <c r="A74" s="295">
        <f t="shared" si="7"/>
        <v>59</v>
      </c>
      <c r="B74" s="12">
        <f t="shared" si="8"/>
        <v>59</v>
      </c>
      <c r="C74" s="101" t="s">
        <v>185</v>
      </c>
      <c r="D74" s="101" t="s">
        <v>235</v>
      </c>
      <c r="E74" s="146">
        <f t="shared" si="6"/>
        <v>0</v>
      </c>
      <c r="F74" s="62">
        <v>6954265.3799999999</v>
      </c>
      <c r="G74" s="62">
        <v>2374323.58</v>
      </c>
      <c r="H74" s="62">
        <v>3305645.72</v>
      </c>
      <c r="I74" s="62">
        <v>2650517.1800000002</v>
      </c>
      <c r="J74" s="62"/>
      <c r="K74" s="62"/>
      <c r="L74" s="62"/>
      <c r="M74" s="62"/>
      <c r="N74" s="62">
        <v>7951460.7199999997</v>
      </c>
      <c r="O74" s="62"/>
      <c r="P74" s="62"/>
      <c r="Q74" s="62">
        <v>9695977.5800000001</v>
      </c>
      <c r="R74" s="62">
        <v>328083.39630000002</v>
      </c>
      <c r="S74" s="30">
        <v>44553.206299999998</v>
      </c>
      <c r="T74" s="156"/>
    </row>
    <row r="75" spans="1:22" hidden="1">
      <c r="A75" s="295">
        <f t="shared" si="7"/>
        <v>60</v>
      </c>
      <c r="B75" s="12">
        <f t="shared" si="8"/>
        <v>60</v>
      </c>
      <c r="C75" s="101" t="s">
        <v>185</v>
      </c>
      <c r="D75" s="101" t="s">
        <v>236</v>
      </c>
      <c r="E75" s="146">
        <f t="shared" si="6"/>
        <v>0</v>
      </c>
      <c r="F75" s="62"/>
      <c r="G75" s="62">
        <v>0</v>
      </c>
      <c r="H75" s="62">
        <v>0</v>
      </c>
      <c r="I75" s="62">
        <v>0</v>
      </c>
      <c r="J75" s="62">
        <v>1171020.99</v>
      </c>
      <c r="K75" s="62"/>
      <c r="L75" s="62"/>
      <c r="M75" s="62">
        <v>0</v>
      </c>
      <c r="N75" s="62"/>
      <c r="O75" s="62">
        <v>0</v>
      </c>
      <c r="P75" s="62"/>
      <c r="Q75" s="62"/>
      <c r="R75" s="62"/>
      <c r="S75" s="30"/>
      <c r="T75" s="156"/>
    </row>
    <row r="76" spans="1:22" hidden="1">
      <c r="A76" s="295">
        <f t="shared" si="7"/>
        <v>61</v>
      </c>
      <c r="B76" s="12">
        <f t="shared" si="8"/>
        <v>61</v>
      </c>
      <c r="C76" s="101" t="s">
        <v>185</v>
      </c>
      <c r="D76" s="101" t="s">
        <v>238</v>
      </c>
      <c r="E76" s="146">
        <f t="shared" si="6"/>
        <v>0</v>
      </c>
      <c r="F76" s="62">
        <v>7847760.9900000002</v>
      </c>
      <c r="G76" s="62"/>
      <c r="H76" s="62"/>
      <c r="I76" s="62"/>
      <c r="J76" s="62"/>
      <c r="K76" s="62"/>
      <c r="L76" s="62"/>
      <c r="M76" s="62">
        <v>0</v>
      </c>
      <c r="N76" s="62">
        <v>0</v>
      </c>
      <c r="O76" s="62">
        <v>0</v>
      </c>
      <c r="P76" s="62">
        <v>0</v>
      </c>
      <c r="Q76" s="62">
        <f>7597182.26+3870122.95</f>
        <v>11467305.210000001</v>
      </c>
      <c r="R76" s="62">
        <v>504570.49900000001</v>
      </c>
      <c r="S76" s="30">
        <v>88504.399000000005</v>
      </c>
      <c r="T76" s="156"/>
    </row>
    <row r="77" spans="1:22" hidden="1">
      <c r="A77" s="295">
        <f t="shared" si="7"/>
        <v>62</v>
      </c>
      <c r="B77" s="12">
        <f t="shared" si="8"/>
        <v>62</v>
      </c>
      <c r="C77" s="101" t="s">
        <v>185</v>
      </c>
      <c r="D77" s="101" t="s">
        <v>240</v>
      </c>
      <c r="E77" s="146">
        <f t="shared" si="6"/>
        <v>0</v>
      </c>
      <c r="F77" s="62">
        <v>0</v>
      </c>
      <c r="G77" s="62">
        <v>0</v>
      </c>
      <c r="H77" s="62">
        <v>0</v>
      </c>
      <c r="I77" s="62">
        <v>0</v>
      </c>
      <c r="J77" s="62"/>
      <c r="K77" s="62"/>
      <c r="L77" s="62"/>
      <c r="M77" s="62">
        <v>0</v>
      </c>
      <c r="N77" s="62">
        <v>0</v>
      </c>
      <c r="O77" s="62">
        <v>0</v>
      </c>
      <c r="P77" s="62">
        <v>15562524.65</v>
      </c>
      <c r="Q77" s="62">
        <v>0</v>
      </c>
      <c r="R77" s="62"/>
      <c r="S77" s="30"/>
      <c r="T77" s="156"/>
    </row>
    <row r="78" spans="1:22" hidden="1">
      <c r="A78" s="295">
        <f t="shared" si="7"/>
        <v>63</v>
      </c>
      <c r="B78" s="12">
        <f t="shared" si="8"/>
        <v>63</v>
      </c>
      <c r="C78" s="101" t="s">
        <v>185</v>
      </c>
      <c r="D78" s="101" t="s">
        <v>242</v>
      </c>
      <c r="E78" s="146">
        <f t="shared" si="6"/>
        <v>0</v>
      </c>
      <c r="F78" s="62"/>
      <c r="G78" s="62"/>
      <c r="H78" s="62">
        <v>1212218.3400000001</v>
      </c>
      <c r="I78" s="62"/>
      <c r="J78" s="62"/>
      <c r="K78" s="62"/>
      <c r="L78" s="62"/>
      <c r="M78" s="62">
        <v>0</v>
      </c>
      <c r="N78" s="62"/>
      <c r="O78" s="62">
        <v>0</v>
      </c>
      <c r="P78" s="62">
        <v>12904791.25</v>
      </c>
      <c r="Q78" s="62"/>
      <c r="R78" s="62"/>
      <c r="S78" s="30"/>
      <c r="T78" s="156">
        <f>14909.16+151021.17</f>
        <v>165930.33000000002</v>
      </c>
    </row>
    <row r="79" spans="1:22" hidden="1">
      <c r="A79" s="295">
        <f t="shared" si="7"/>
        <v>64</v>
      </c>
      <c r="B79" s="12">
        <f t="shared" si="8"/>
        <v>64</v>
      </c>
      <c r="C79" s="101" t="s">
        <v>185</v>
      </c>
      <c r="D79" s="101" t="s">
        <v>245</v>
      </c>
      <c r="E79" s="146">
        <f t="shared" si="6"/>
        <v>0</v>
      </c>
      <c r="F79" s="62"/>
      <c r="G79" s="62"/>
      <c r="H79" s="62">
        <v>1218340.6599999999</v>
      </c>
      <c r="I79" s="62"/>
      <c r="J79" s="62"/>
      <c r="K79" s="62"/>
      <c r="L79" s="62"/>
      <c r="M79" s="62">
        <v>0</v>
      </c>
      <c r="N79" s="62"/>
      <c r="O79" s="62">
        <v>0</v>
      </c>
      <c r="P79" s="62">
        <v>13044527.99</v>
      </c>
      <c r="Q79" s="62"/>
      <c r="R79" s="62"/>
      <c r="S79" s="30"/>
      <c r="T79" s="156">
        <f>151177.15+14832.25</f>
        <v>166009.4</v>
      </c>
    </row>
    <row r="80" spans="1:22" hidden="1">
      <c r="A80" s="295">
        <f t="shared" si="7"/>
        <v>65</v>
      </c>
      <c r="B80" s="12">
        <f t="shared" si="8"/>
        <v>65</v>
      </c>
      <c r="C80" s="101" t="s">
        <v>185</v>
      </c>
      <c r="D80" s="101" t="s">
        <v>247</v>
      </c>
      <c r="E80" s="146">
        <f t="shared" ref="E80:E111" si="9">SUBTOTAL(9, F80:T80)</f>
        <v>0</v>
      </c>
      <c r="F80" s="62">
        <v>6542286.3200000003</v>
      </c>
      <c r="G80" s="62">
        <v>0</v>
      </c>
      <c r="H80" s="62">
        <v>1697416.27</v>
      </c>
      <c r="I80" s="62">
        <v>0</v>
      </c>
      <c r="J80" s="62"/>
      <c r="K80" s="62"/>
      <c r="L80" s="62"/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937979.5906</v>
      </c>
      <c r="S80" s="30">
        <v>109643.8679</v>
      </c>
      <c r="T80" s="156">
        <f>61658.99+18968.25</f>
        <v>80627.239999999991</v>
      </c>
    </row>
    <row r="81" spans="1:22" hidden="1">
      <c r="A81" s="295">
        <f t="shared" ref="A81:A112" si="10">+A80+1</f>
        <v>66</v>
      </c>
      <c r="B81" s="12">
        <f t="shared" ref="B81:B112" si="11">+B80+1</f>
        <v>66</v>
      </c>
      <c r="C81" s="101" t="s">
        <v>185</v>
      </c>
      <c r="D81" s="101" t="s">
        <v>249</v>
      </c>
      <c r="E81" s="146">
        <f t="shared" si="9"/>
        <v>0</v>
      </c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>
        <v>5951792.4900000002</v>
      </c>
      <c r="R81" s="62"/>
      <c r="S81" s="30"/>
      <c r="T81" s="156">
        <v>56147.519999999997</v>
      </c>
    </row>
    <row r="82" spans="1:22" hidden="1">
      <c r="A82" s="295">
        <f t="shared" si="10"/>
        <v>67</v>
      </c>
      <c r="B82" s="12">
        <f t="shared" si="11"/>
        <v>67</v>
      </c>
      <c r="C82" s="101" t="s">
        <v>185</v>
      </c>
      <c r="D82" s="101" t="s">
        <v>251</v>
      </c>
      <c r="E82" s="146">
        <f t="shared" si="9"/>
        <v>0</v>
      </c>
      <c r="F82" s="62"/>
      <c r="G82" s="62"/>
      <c r="H82" s="62"/>
      <c r="I82" s="62"/>
      <c r="J82" s="62"/>
      <c r="K82" s="62"/>
      <c r="L82" s="62"/>
      <c r="M82" s="62"/>
      <c r="N82" s="62">
        <v>8640336.7400000002</v>
      </c>
      <c r="O82" s="62"/>
      <c r="P82" s="62"/>
      <c r="Q82" s="62">
        <v>4367516.82</v>
      </c>
      <c r="R82" s="62"/>
      <c r="S82" s="30"/>
      <c r="T82" s="156">
        <f>62868.6+41635.62</f>
        <v>104504.22</v>
      </c>
    </row>
    <row r="83" spans="1:22" hidden="1">
      <c r="A83" s="295">
        <f t="shared" si="10"/>
        <v>68</v>
      </c>
      <c r="B83" s="12">
        <f t="shared" si="11"/>
        <v>68</v>
      </c>
      <c r="C83" s="101" t="s">
        <v>185</v>
      </c>
      <c r="D83" s="101" t="s">
        <v>252</v>
      </c>
      <c r="E83" s="146">
        <f t="shared" si="9"/>
        <v>0</v>
      </c>
      <c r="F83" s="62"/>
      <c r="G83" s="62"/>
      <c r="H83" s="62"/>
      <c r="I83" s="62"/>
      <c r="J83" s="62"/>
      <c r="K83" s="62"/>
      <c r="L83" s="62"/>
      <c r="M83" s="62">
        <v>0</v>
      </c>
      <c r="N83" s="62"/>
      <c r="O83" s="62">
        <v>0</v>
      </c>
      <c r="P83" s="62"/>
      <c r="Q83" s="62">
        <v>6748339.8099999996</v>
      </c>
      <c r="R83" s="62"/>
      <c r="S83" s="30"/>
      <c r="T83" s="156">
        <v>63343.61</v>
      </c>
    </row>
    <row r="84" spans="1:22" hidden="1">
      <c r="A84" s="295">
        <f t="shared" si="10"/>
        <v>69</v>
      </c>
      <c r="B84" s="12">
        <f t="shared" si="11"/>
        <v>69</v>
      </c>
      <c r="C84" s="101" t="s">
        <v>185</v>
      </c>
      <c r="D84" s="101" t="s">
        <v>525</v>
      </c>
      <c r="E84" s="146">
        <f t="shared" si="9"/>
        <v>0</v>
      </c>
      <c r="F84" s="62">
        <v>9954639.8599999994</v>
      </c>
      <c r="G84" s="62">
        <v>6212728.6200000001</v>
      </c>
      <c r="H84" s="62"/>
      <c r="I84" s="62">
        <v>4876418.04</v>
      </c>
      <c r="J84" s="62"/>
      <c r="K84" s="62"/>
      <c r="L84" s="62"/>
      <c r="M84" s="62">
        <v>0</v>
      </c>
      <c r="N84" s="62">
        <v>9984420.9700000007</v>
      </c>
      <c r="O84" s="62">
        <v>0</v>
      </c>
      <c r="P84" s="62"/>
      <c r="Q84" s="62"/>
      <c r="R84" s="62"/>
      <c r="S84" s="30"/>
      <c r="T84" s="156"/>
    </row>
    <row r="85" spans="1:22" s="142" customFormat="1" hidden="1">
      <c r="A85" s="295">
        <f t="shared" si="10"/>
        <v>70</v>
      </c>
      <c r="B85" s="12">
        <f t="shared" si="11"/>
        <v>70</v>
      </c>
      <c r="C85" s="101" t="s">
        <v>185</v>
      </c>
      <c r="D85" s="101" t="s">
        <v>255</v>
      </c>
      <c r="E85" s="146">
        <f t="shared" si="9"/>
        <v>0</v>
      </c>
      <c r="F85" s="146"/>
      <c r="G85" s="146"/>
      <c r="H85" s="146"/>
      <c r="I85" s="146"/>
      <c r="J85" s="146"/>
      <c r="K85" s="146"/>
      <c r="L85" s="146"/>
      <c r="M85" s="146">
        <v>8608489.9199999999</v>
      </c>
      <c r="N85" s="146"/>
      <c r="O85" s="146"/>
      <c r="P85" s="146"/>
      <c r="Q85" s="146"/>
      <c r="R85" s="146">
        <v>162285.00531609601</v>
      </c>
      <c r="S85" s="146">
        <v>24000</v>
      </c>
      <c r="T85" s="146"/>
      <c r="V85" s="285"/>
    </row>
    <row r="86" spans="1:22" hidden="1">
      <c r="A86" s="295">
        <f t="shared" si="10"/>
        <v>71</v>
      </c>
      <c r="B86" s="12">
        <f t="shared" si="11"/>
        <v>71</v>
      </c>
      <c r="C86" s="101" t="s">
        <v>185</v>
      </c>
      <c r="D86" s="101" t="s">
        <v>257</v>
      </c>
      <c r="E86" s="146">
        <f t="shared" si="9"/>
        <v>0</v>
      </c>
      <c r="F86" s="62">
        <v>0</v>
      </c>
      <c r="G86" s="62">
        <v>0</v>
      </c>
      <c r="H86" s="62"/>
      <c r="I86" s="62">
        <v>0</v>
      </c>
      <c r="J86" s="62">
        <v>0</v>
      </c>
      <c r="K86" s="62"/>
      <c r="L86" s="62"/>
      <c r="M86" s="62">
        <v>0</v>
      </c>
      <c r="N86" s="62">
        <v>12527051.33</v>
      </c>
      <c r="O86" s="62">
        <v>0</v>
      </c>
      <c r="P86" s="62">
        <v>16115638.25</v>
      </c>
      <c r="Q86" s="62">
        <v>0</v>
      </c>
      <c r="R86" s="62"/>
      <c r="S86" s="30"/>
      <c r="T86" s="156">
        <f>149798.13</f>
        <v>149798.13</v>
      </c>
    </row>
    <row r="87" spans="1:22" hidden="1">
      <c r="A87" s="295">
        <f t="shared" si="10"/>
        <v>72</v>
      </c>
      <c r="B87" s="12">
        <f t="shared" si="11"/>
        <v>72</v>
      </c>
      <c r="C87" s="101" t="s">
        <v>185</v>
      </c>
      <c r="D87" s="101" t="s">
        <v>259</v>
      </c>
      <c r="E87" s="146">
        <f t="shared" si="9"/>
        <v>0</v>
      </c>
      <c r="F87" s="62"/>
      <c r="H87" s="62">
        <v>1057009.1599999999</v>
      </c>
      <c r="I87" s="62"/>
      <c r="J87" s="62">
        <v>0</v>
      </c>
      <c r="K87" s="62"/>
      <c r="L87" s="62"/>
      <c r="M87" s="62">
        <v>0</v>
      </c>
      <c r="O87" s="62">
        <v>0</v>
      </c>
      <c r="P87" s="62">
        <v>0</v>
      </c>
      <c r="Q87" s="62">
        <v>0</v>
      </c>
      <c r="R87" s="62"/>
      <c r="S87" s="30"/>
      <c r="T87" s="156">
        <f>9649.91</f>
        <v>9649.91</v>
      </c>
    </row>
    <row r="88" spans="1:22" hidden="1">
      <c r="A88" s="295">
        <f t="shared" si="10"/>
        <v>73</v>
      </c>
      <c r="B88" s="12">
        <f t="shared" si="11"/>
        <v>73</v>
      </c>
      <c r="C88" s="101" t="s">
        <v>185</v>
      </c>
      <c r="D88" s="101" t="s">
        <v>260</v>
      </c>
      <c r="E88" s="146">
        <f t="shared" si="9"/>
        <v>0</v>
      </c>
      <c r="F88" s="62">
        <v>1651323.46</v>
      </c>
      <c r="G88" s="62"/>
      <c r="H88" s="62">
        <v>819773.26</v>
      </c>
      <c r="I88" s="62">
        <v>732192.34</v>
      </c>
      <c r="J88" s="62"/>
      <c r="K88" s="62"/>
      <c r="L88" s="62"/>
      <c r="M88" s="62">
        <v>0</v>
      </c>
      <c r="N88" s="62"/>
      <c r="O88" s="62">
        <v>0</v>
      </c>
      <c r="P88" s="62">
        <v>1813665.02</v>
      </c>
      <c r="Q88" s="62">
        <v>0</v>
      </c>
      <c r="R88" s="62"/>
      <c r="S88" s="30"/>
      <c r="T88" s="156">
        <v>0</v>
      </c>
    </row>
    <row r="89" spans="1:22" hidden="1">
      <c r="A89" s="295">
        <f t="shared" si="10"/>
        <v>74</v>
      </c>
      <c r="B89" s="12">
        <f t="shared" si="11"/>
        <v>74</v>
      </c>
      <c r="C89" s="101" t="s">
        <v>185</v>
      </c>
      <c r="D89" s="101" t="s">
        <v>262</v>
      </c>
      <c r="E89" s="146">
        <f t="shared" si="9"/>
        <v>0</v>
      </c>
      <c r="F89" s="62">
        <v>0</v>
      </c>
      <c r="G89" s="62">
        <v>0</v>
      </c>
      <c r="H89" s="62">
        <v>0</v>
      </c>
      <c r="I89" s="62">
        <v>0</v>
      </c>
      <c r="J89" s="62">
        <v>1842675.65</v>
      </c>
      <c r="K89" s="62"/>
      <c r="L89" s="62"/>
      <c r="M89" s="62">
        <v>0</v>
      </c>
      <c r="N89" s="62">
        <v>0</v>
      </c>
      <c r="O89" s="62">
        <v>0</v>
      </c>
      <c r="P89" s="62">
        <v>0</v>
      </c>
      <c r="Q89" s="62">
        <v>0</v>
      </c>
      <c r="R89" s="62">
        <v>123984.47</v>
      </c>
      <c r="S89" s="62"/>
      <c r="T89" s="156"/>
    </row>
    <row r="90" spans="1:22" hidden="1">
      <c r="A90" s="295">
        <f t="shared" si="10"/>
        <v>75</v>
      </c>
      <c r="B90" s="12">
        <f t="shared" si="11"/>
        <v>75</v>
      </c>
      <c r="C90" s="101" t="s">
        <v>185</v>
      </c>
      <c r="D90" s="101" t="s">
        <v>264</v>
      </c>
      <c r="E90" s="146">
        <f t="shared" si="9"/>
        <v>0</v>
      </c>
      <c r="F90" s="62">
        <v>0</v>
      </c>
      <c r="G90" s="62">
        <v>0</v>
      </c>
      <c r="H90" s="62">
        <v>0</v>
      </c>
      <c r="I90" s="62">
        <v>0</v>
      </c>
      <c r="J90" s="62">
        <v>1840005.31</v>
      </c>
      <c r="K90" s="62"/>
      <c r="L90" s="62"/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127902.76</v>
      </c>
      <c r="S90" s="62"/>
      <c r="T90" s="156"/>
    </row>
    <row r="91" spans="1:22" hidden="1">
      <c r="A91" s="295">
        <f t="shared" si="10"/>
        <v>76</v>
      </c>
      <c r="B91" s="12">
        <f t="shared" si="11"/>
        <v>76</v>
      </c>
      <c r="C91" s="101" t="s">
        <v>185</v>
      </c>
      <c r="D91" s="101" t="s">
        <v>266</v>
      </c>
      <c r="E91" s="146">
        <f t="shared" si="9"/>
        <v>0</v>
      </c>
      <c r="F91" s="62">
        <v>0</v>
      </c>
      <c r="G91" s="62">
        <v>0</v>
      </c>
      <c r="H91" s="62">
        <v>0</v>
      </c>
      <c r="I91" s="62">
        <v>0</v>
      </c>
      <c r="J91" s="62">
        <v>1980515.44</v>
      </c>
      <c r="K91" s="62"/>
      <c r="L91" s="62"/>
      <c r="M91" s="62">
        <v>0</v>
      </c>
      <c r="N91" s="62"/>
      <c r="O91" s="62">
        <v>0</v>
      </c>
      <c r="P91" s="62">
        <v>0</v>
      </c>
      <c r="Q91" s="62"/>
      <c r="R91" s="62">
        <v>123857.99</v>
      </c>
      <c r="S91" s="30"/>
      <c r="T91" s="156"/>
    </row>
    <row r="92" spans="1:22" hidden="1">
      <c r="A92" s="295">
        <f t="shared" si="10"/>
        <v>77</v>
      </c>
      <c r="B92" s="12">
        <f t="shared" si="11"/>
        <v>77</v>
      </c>
      <c r="C92" s="101" t="s">
        <v>185</v>
      </c>
      <c r="D92" s="101" t="s">
        <v>267</v>
      </c>
      <c r="E92" s="146">
        <f t="shared" si="9"/>
        <v>0</v>
      </c>
      <c r="F92" s="62">
        <v>0</v>
      </c>
      <c r="G92" s="62">
        <v>0</v>
      </c>
      <c r="H92" s="62">
        <v>0</v>
      </c>
      <c r="I92" s="62">
        <v>0</v>
      </c>
      <c r="J92" s="62">
        <v>856186.02</v>
      </c>
      <c r="K92" s="62"/>
      <c r="L92" s="62"/>
      <c r="M92" s="62">
        <v>0</v>
      </c>
      <c r="N92" s="62">
        <v>0</v>
      </c>
      <c r="O92" s="62">
        <v>0</v>
      </c>
      <c r="P92" s="62"/>
      <c r="Q92" s="62"/>
      <c r="R92" s="62"/>
      <c r="S92" s="30"/>
      <c r="T92" s="156"/>
    </row>
    <row r="93" spans="1:22" hidden="1">
      <c r="A93" s="295">
        <f t="shared" si="10"/>
        <v>78</v>
      </c>
      <c r="B93" s="12">
        <f t="shared" si="11"/>
        <v>78</v>
      </c>
      <c r="C93" s="101" t="s">
        <v>185</v>
      </c>
      <c r="D93" s="101" t="s">
        <v>268</v>
      </c>
      <c r="E93" s="146">
        <f t="shared" si="9"/>
        <v>0</v>
      </c>
      <c r="F93" s="62">
        <v>0</v>
      </c>
      <c r="G93" s="62">
        <v>0</v>
      </c>
      <c r="H93" s="62"/>
      <c r="I93" s="62">
        <v>0</v>
      </c>
      <c r="J93" s="62">
        <v>2082908.19</v>
      </c>
      <c r="K93" s="62"/>
      <c r="L93" s="62"/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199499.01</v>
      </c>
      <c r="S93" s="30">
        <v>2000</v>
      </c>
      <c r="T93" s="156"/>
    </row>
    <row r="94" spans="1:22" hidden="1">
      <c r="A94" s="295">
        <f t="shared" si="10"/>
        <v>79</v>
      </c>
      <c r="B94" s="12">
        <f t="shared" si="11"/>
        <v>79</v>
      </c>
      <c r="C94" s="101" t="s">
        <v>185</v>
      </c>
      <c r="D94" s="101" t="s">
        <v>270</v>
      </c>
      <c r="E94" s="146">
        <f t="shared" si="9"/>
        <v>0</v>
      </c>
      <c r="F94" s="62">
        <v>8268601.6299999999</v>
      </c>
      <c r="G94" s="62"/>
      <c r="H94" s="62">
        <v>3198417.38</v>
      </c>
      <c r="I94" s="62">
        <v>2797224.34</v>
      </c>
      <c r="J94" s="62"/>
      <c r="K94" s="62"/>
      <c r="L94" s="62"/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1945255.4768000001</v>
      </c>
      <c r="S94" s="30">
        <v>203313.06280000001</v>
      </c>
      <c r="T94" s="156">
        <f>100443.46+35541.21+35647.66</f>
        <v>171632.33000000002</v>
      </c>
    </row>
    <row r="95" spans="1:22" hidden="1">
      <c r="A95" s="295">
        <f t="shared" si="10"/>
        <v>80</v>
      </c>
      <c r="B95" s="12">
        <f t="shared" si="11"/>
        <v>80</v>
      </c>
      <c r="C95" s="101" t="s">
        <v>185</v>
      </c>
      <c r="D95" s="101" t="s">
        <v>272</v>
      </c>
      <c r="E95" s="146">
        <f t="shared" si="9"/>
        <v>0</v>
      </c>
      <c r="F95" s="62">
        <v>0</v>
      </c>
      <c r="G95" s="62"/>
      <c r="H95" s="62">
        <v>3491728.21</v>
      </c>
      <c r="I95" s="62"/>
      <c r="J95" s="62"/>
      <c r="K95" s="62"/>
      <c r="L95" s="62"/>
      <c r="M95" s="62">
        <v>0</v>
      </c>
      <c r="N95" s="62">
        <v>0</v>
      </c>
      <c r="O95" s="62">
        <v>0</v>
      </c>
      <c r="P95" s="62">
        <v>0</v>
      </c>
      <c r="Q95" s="62"/>
      <c r="R95" s="62">
        <v>2595059.9045922202</v>
      </c>
      <c r="S95" s="30">
        <v>223901.30645922199</v>
      </c>
      <c r="T95" s="156">
        <f>34929.47</f>
        <v>34929.47</v>
      </c>
    </row>
    <row r="96" spans="1:22" hidden="1">
      <c r="A96" s="295">
        <f t="shared" si="10"/>
        <v>81</v>
      </c>
      <c r="B96" s="12">
        <f t="shared" si="11"/>
        <v>81</v>
      </c>
      <c r="C96" s="101" t="s">
        <v>185</v>
      </c>
      <c r="D96" s="101" t="s">
        <v>274</v>
      </c>
      <c r="E96" s="146">
        <f t="shared" si="9"/>
        <v>0</v>
      </c>
      <c r="F96" s="62">
        <v>2770302.43</v>
      </c>
      <c r="G96" s="62"/>
      <c r="H96" s="162"/>
      <c r="I96" s="62"/>
      <c r="J96" s="62"/>
      <c r="K96" s="62"/>
      <c r="L96" s="62"/>
      <c r="M96" s="62">
        <v>0</v>
      </c>
      <c r="N96" s="62">
        <v>6779379.8200000003</v>
      </c>
      <c r="O96" s="62">
        <v>0</v>
      </c>
      <c r="P96" s="62">
        <v>0</v>
      </c>
      <c r="Q96" s="62">
        <v>0</v>
      </c>
      <c r="R96" s="62">
        <v>216012.79999999999</v>
      </c>
      <c r="S96" s="30">
        <v>24000</v>
      </c>
      <c r="T96" s="156"/>
    </row>
    <row r="97" spans="1:20" hidden="1">
      <c r="A97" s="295">
        <f t="shared" si="10"/>
        <v>82</v>
      </c>
      <c r="B97" s="12">
        <f t="shared" si="11"/>
        <v>82</v>
      </c>
      <c r="C97" s="101" t="s">
        <v>185</v>
      </c>
      <c r="D97" s="101" t="s">
        <v>275</v>
      </c>
      <c r="E97" s="146">
        <f t="shared" si="9"/>
        <v>0</v>
      </c>
      <c r="F97" s="62">
        <v>1643046.08</v>
      </c>
      <c r="G97" s="62"/>
      <c r="H97" s="162"/>
      <c r="I97" s="62"/>
      <c r="J97" s="62"/>
      <c r="K97" s="62"/>
      <c r="L97" s="62"/>
      <c r="M97" s="62">
        <v>0</v>
      </c>
      <c r="N97" s="62">
        <v>3461614.25</v>
      </c>
      <c r="O97" s="62">
        <v>0</v>
      </c>
      <c r="P97" s="62">
        <v>0</v>
      </c>
      <c r="Q97" s="62">
        <v>0</v>
      </c>
      <c r="R97" s="62">
        <v>156962.18</v>
      </c>
      <c r="S97" s="30">
        <v>24000</v>
      </c>
      <c r="T97" s="156">
        <f>29865.14</f>
        <v>29865.14</v>
      </c>
    </row>
    <row r="98" spans="1:20" hidden="1">
      <c r="A98" s="295">
        <f t="shared" si="10"/>
        <v>83</v>
      </c>
      <c r="B98" s="12">
        <f t="shared" si="11"/>
        <v>83</v>
      </c>
      <c r="C98" s="101" t="s">
        <v>185</v>
      </c>
      <c r="D98" s="101" t="s">
        <v>276</v>
      </c>
      <c r="E98" s="146">
        <f t="shared" si="9"/>
        <v>0</v>
      </c>
      <c r="F98" s="62"/>
      <c r="G98" s="62"/>
      <c r="H98" s="162">
        <v>417598.24</v>
      </c>
      <c r="I98" s="62"/>
      <c r="J98" s="62"/>
      <c r="K98" s="62"/>
      <c r="L98" s="62"/>
      <c r="M98" s="62">
        <v>0</v>
      </c>
      <c r="N98" s="62">
        <v>2705657.8</v>
      </c>
      <c r="O98" s="62">
        <v>0</v>
      </c>
      <c r="P98" s="62">
        <v>0</v>
      </c>
      <c r="Q98" s="62">
        <v>0</v>
      </c>
      <c r="R98" s="62"/>
      <c r="S98" s="30"/>
      <c r="T98" s="156"/>
    </row>
    <row r="99" spans="1:20" hidden="1">
      <c r="A99" s="295">
        <f t="shared" si="10"/>
        <v>84</v>
      </c>
      <c r="B99" s="12">
        <f t="shared" si="11"/>
        <v>84</v>
      </c>
      <c r="C99" s="101" t="s">
        <v>185</v>
      </c>
      <c r="D99" s="101" t="s">
        <v>277</v>
      </c>
      <c r="E99" s="146">
        <f t="shared" si="9"/>
        <v>0</v>
      </c>
      <c r="F99" s="62">
        <v>6273586.1500000004</v>
      </c>
      <c r="G99" s="62"/>
      <c r="H99" s="162">
        <v>1824432.9</v>
      </c>
      <c r="I99" s="62">
        <v>2750949.97</v>
      </c>
      <c r="J99" s="62"/>
      <c r="K99" s="62"/>
      <c r="L99" s="62"/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75835.89</v>
      </c>
      <c r="S99" s="30">
        <v>18000</v>
      </c>
      <c r="T99" s="156">
        <f>112606.13</f>
        <v>112606.13</v>
      </c>
    </row>
    <row r="100" spans="1:20" hidden="1">
      <c r="A100" s="295">
        <f t="shared" si="10"/>
        <v>85</v>
      </c>
      <c r="B100" s="12">
        <f t="shared" si="11"/>
        <v>85</v>
      </c>
      <c r="C100" s="101" t="s">
        <v>185</v>
      </c>
      <c r="D100" s="101" t="s">
        <v>278</v>
      </c>
      <c r="E100" s="146">
        <f t="shared" si="9"/>
        <v>0</v>
      </c>
      <c r="F100" s="62">
        <v>6230360.1900000004</v>
      </c>
      <c r="G100" s="62"/>
      <c r="H100" s="162">
        <v>1824432.9</v>
      </c>
      <c r="I100" s="62">
        <v>2756248.99</v>
      </c>
      <c r="J100" s="62"/>
      <c r="K100" s="62"/>
      <c r="L100" s="62"/>
      <c r="M100" s="62">
        <v>0</v>
      </c>
      <c r="N100" s="62">
        <v>0</v>
      </c>
      <c r="O100" s="62">
        <v>0</v>
      </c>
      <c r="P100" s="62">
        <v>0</v>
      </c>
      <c r="Q100" s="62">
        <v>0</v>
      </c>
      <c r="R100" s="62">
        <v>75653.789999999994</v>
      </c>
      <c r="S100" s="30">
        <v>18000</v>
      </c>
      <c r="T100" s="156">
        <f>121474.37</f>
        <v>121474.37</v>
      </c>
    </row>
    <row r="101" spans="1:20" hidden="1">
      <c r="A101" s="295">
        <f t="shared" si="10"/>
        <v>86</v>
      </c>
      <c r="B101" s="12">
        <f t="shared" si="11"/>
        <v>86</v>
      </c>
      <c r="C101" s="101" t="s">
        <v>185</v>
      </c>
      <c r="D101" s="101" t="s">
        <v>280</v>
      </c>
      <c r="E101" s="146">
        <f t="shared" si="9"/>
        <v>0</v>
      </c>
      <c r="F101" s="62">
        <v>6321167.0899999999</v>
      </c>
      <c r="G101" s="62"/>
      <c r="H101" s="162"/>
      <c r="I101" s="62">
        <v>2717347.73</v>
      </c>
      <c r="J101" s="62"/>
      <c r="K101" s="62"/>
      <c r="L101" s="62"/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75730.05</v>
      </c>
      <c r="S101" s="30">
        <v>18000</v>
      </c>
      <c r="T101" s="156">
        <f>108774.59-19257.27</f>
        <v>89517.319999999992</v>
      </c>
    </row>
    <row r="102" spans="1:20" hidden="1">
      <c r="A102" s="295">
        <f t="shared" si="10"/>
        <v>87</v>
      </c>
      <c r="B102" s="12">
        <f t="shared" si="11"/>
        <v>87</v>
      </c>
      <c r="C102" s="101" t="s">
        <v>185</v>
      </c>
      <c r="D102" s="101" t="s">
        <v>281</v>
      </c>
      <c r="E102" s="146">
        <f t="shared" si="9"/>
        <v>0</v>
      </c>
      <c r="F102" s="62"/>
      <c r="H102" s="162">
        <v>642270.27</v>
      </c>
      <c r="I102" s="62"/>
      <c r="J102" s="62"/>
      <c r="K102" s="62"/>
      <c r="L102" s="62"/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352588.91</v>
      </c>
      <c r="S102" s="30">
        <v>24000</v>
      </c>
      <c r="T102" s="156">
        <v>7756.58</v>
      </c>
    </row>
    <row r="103" spans="1:20" hidden="1">
      <c r="A103" s="295">
        <f t="shared" si="10"/>
        <v>88</v>
      </c>
      <c r="B103" s="12">
        <f t="shared" si="11"/>
        <v>88</v>
      </c>
      <c r="C103" s="101" t="s">
        <v>185</v>
      </c>
      <c r="D103" s="101" t="s">
        <v>283</v>
      </c>
      <c r="E103" s="146">
        <f t="shared" si="9"/>
        <v>0</v>
      </c>
      <c r="F103" s="62"/>
      <c r="G103" s="62">
        <v>588065.09</v>
      </c>
      <c r="H103" s="162"/>
      <c r="I103" s="62">
        <v>500447.33</v>
      </c>
      <c r="J103" s="62">
        <v>469911.83</v>
      </c>
      <c r="K103" s="62"/>
      <c r="L103" s="62"/>
      <c r="M103" s="62">
        <v>0</v>
      </c>
      <c r="N103" s="62"/>
      <c r="O103" s="62">
        <v>0</v>
      </c>
      <c r="P103" s="62">
        <v>0</v>
      </c>
      <c r="Q103" s="62">
        <v>0</v>
      </c>
      <c r="R103" s="62">
        <v>513326.799</v>
      </c>
      <c r="S103" s="30">
        <v>73858.718200000003</v>
      </c>
      <c r="T103" s="156">
        <v>5043.82</v>
      </c>
    </row>
    <row r="104" spans="1:20" hidden="1">
      <c r="A104" s="295">
        <f t="shared" si="10"/>
        <v>89</v>
      </c>
      <c r="B104" s="12">
        <f t="shared" si="11"/>
        <v>89</v>
      </c>
      <c r="C104" s="101" t="s">
        <v>185</v>
      </c>
      <c r="D104" s="101" t="s">
        <v>285</v>
      </c>
      <c r="E104" s="146">
        <f t="shared" si="9"/>
        <v>0</v>
      </c>
      <c r="F104" s="62"/>
      <c r="G104" s="62"/>
      <c r="H104" s="162"/>
      <c r="I104" s="62"/>
      <c r="J104" s="62">
        <v>1092251.81</v>
      </c>
      <c r="K104" s="62"/>
      <c r="L104" s="62"/>
      <c r="M104" s="62"/>
      <c r="N104" s="62"/>
      <c r="O104" s="62">
        <v>0</v>
      </c>
      <c r="P104" s="62">
        <v>0</v>
      </c>
      <c r="Q104" s="62">
        <v>0</v>
      </c>
      <c r="R104" s="62">
        <v>501699.38</v>
      </c>
      <c r="S104" s="30"/>
      <c r="T104" s="156"/>
    </row>
    <row r="105" spans="1:20" hidden="1">
      <c r="A105" s="295">
        <f t="shared" si="10"/>
        <v>90</v>
      </c>
      <c r="B105" s="12">
        <f t="shared" si="11"/>
        <v>90</v>
      </c>
      <c r="C105" s="101" t="s">
        <v>185</v>
      </c>
      <c r="D105" s="101" t="s">
        <v>287</v>
      </c>
      <c r="E105" s="146">
        <f t="shared" si="9"/>
        <v>0</v>
      </c>
      <c r="F105" s="62"/>
      <c r="G105" s="62"/>
      <c r="H105" s="162"/>
      <c r="I105" s="62"/>
      <c r="J105" s="62"/>
      <c r="K105" s="62"/>
      <c r="L105" s="62"/>
      <c r="M105" s="62"/>
      <c r="N105" s="62">
        <v>8833594.1600000001</v>
      </c>
      <c r="O105" s="62">
        <v>0</v>
      </c>
      <c r="P105" s="62">
        <v>11280169.18</v>
      </c>
      <c r="R105" s="62">
        <v>157634.31</v>
      </c>
      <c r="S105" s="30">
        <v>24000</v>
      </c>
      <c r="T105" s="156"/>
    </row>
    <row r="106" spans="1:20" hidden="1">
      <c r="A106" s="295">
        <f t="shared" si="10"/>
        <v>91</v>
      </c>
      <c r="B106" s="12">
        <f t="shared" si="11"/>
        <v>91</v>
      </c>
      <c r="C106" s="101" t="s">
        <v>185</v>
      </c>
      <c r="D106" s="101" t="s">
        <v>289</v>
      </c>
      <c r="E106" s="146">
        <f t="shared" si="9"/>
        <v>0</v>
      </c>
      <c r="F106" s="62"/>
      <c r="H106" s="162">
        <v>3146864.52</v>
      </c>
      <c r="I106" s="62">
        <v>2896787.04</v>
      </c>
      <c r="J106" s="62">
        <v>0</v>
      </c>
      <c r="K106" s="62"/>
      <c r="L106" s="62"/>
      <c r="M106" s="62">
        <v>0</v>
      </c>
      <c r="N106" s="62">
        <v>9859124.0999999996</v>
      </c>
      <c r="O106" s="62">
        <v>0</v>
      </c>
      <c r="P106" s="62">
        <v>6508599.5899999999</v>
      </c>
      <c r="Q106" s="62">
        <v>3276300</v>
      </c>
      <c r="R106" s="62">
        <v>434057.5</v>
      </c>
      <c r="S106" s="30">
        <v>24000</v>
      </c>
      <c r="T106" s="156"/>
    </row>
    <row r="107" spans="1:20" hidden="1">
      <c r="A107" s="295">
        <f t="shared" si="10"/>
        <v>92</v>
      </c>
      <c r="B107" s="12">
        <f t="shared" si="11"/>
        <v>92</v>
      </c>
      <c r="C107" s="101" t="s">
        <v>185</v>
      </c>
      <c r="D107" s="101" t="s">
        <v>290</v>
      </c>
      <c r="E107" s="146">
        <f t="shared" si="9"/>
        <v>0</v>
      </c>
      <c r="F107" s="62"/>
      <c r="H107" s="162">
        <v>2731732.82</v>
      </c>
      <c r="J107" s="62">
        <v>0</v>
      </c>
      <c r="K107" s="62"/>
      <c r="L107" s="62"/>
      <c r="M107" s="62">
        <v>0</v>
      </c>
      <c r="N107" s="62">
        <v>9356498.1500000004</v>
      </c>
      <c r="O107" s="62">
        <v>0</v>
      </c>
      <c r="P107" s="62"/>
      <c r="Q107" s="62">
        <v>1381241.93</v>
      </c>
      <c r="R107" s="62">
        <v>311041.28110000002</v>
      </c>
      <c r="S107" s="30">
        <v>45051.6011</v>
      </c>
      <c r="T107" s="156">
        <f>23622.51+70525+11535.15</f>
        <v>105682.65999999999</v>
      </c>
    </row>
    <row r="108" spans="1:20" hidden="1">
      <c r="A108" s="295">
        <f t="shared" si="10"/>
        <v>93</v>
      </c>
      <c r="B108" s="12">
        <f t="shared" si="11"/>
        <v>93</v>
      </c>
      <c r="C108" s="101" t="s">
        <v>185</v>
      </c>
      <c r="D108" s="101" t="s">
        <v>292</v>
      </c>
      <c r="E108" s="146">
        <f t="shared" si="9"/>
        <v>0</v>
      </c>
      <c r="F108" s="62">
        <v>0</v>
      </c>
      <c r="G108" s="62">
        <v>0</v>
      </c>
      <c r="H108" s="162">
        <v>0</v>
      </c>
      <c r="I108" s="62">
        <v>0</v>
      </c>
      <c r="J108" s="62">
        <v>1092667.3</v>
      </c>
      <c r="K108" s="62"/>
      <c r="L108" s="62"/>
      <c r="M108" s="62">
        <v>0</v>
      </c>
      <c r="N108" s="62">
        <v>0</v>
      </c>
      <c r="O108" s="62">
        <v>0</v>
      </c>
      <c r="P108" s="62"/>
      <c r="Q108" s="62">
        <v>0</v>
      </c>
      <c r="R108" s="62"/>
      <c r="S108" s="30"/>
      <c r="T108" s="156"/>
    </row>
    <row r="109" spans="1:20" hidden="1">
      <c r="A109" s="295">
        <f t="shared" si="10"/>
        <v>94</v>
      </c>
      <c r="B109" s="12">
        <f t="shared" si="11"/>
        <v>94</v>
      </c>
      <c r="C109" s="101" t="s">
        <v>185</v>
      </c>
      <c r="D109" s="101" t="s">
        <v>294</v>
      </c>
      <c r="E109" s="146">
        <f t="shared" si="9"/>
        <v>0</v>
      </c>
      <c r="F109" s="62">
        <v>0</v>
      </c>
      <c r="G109" s="62">
        <v>0</v>
      </c>
      <c r="H109" s="162">
        <v>0</v>
      </c>
      <c r="I109" s="62">
        <v>0</v>
      </c>
      <c r="J109" s="62"/>
      <c r="K109" s="62"/>
      <c r="L109" s="62"/>
      <c r="M109" s="62">
        <v>0</v>
      </c>
      <c r="N109" s="62">
        <v>0</v>
      </c>
      <c r="O109" s="62">
        <v>0</v>
      </c>
      <c r="P109" s="62">
        <v>0</v>
      </c>
      <c r="Q109" s="62">
        <v>1937343.33</v>
      </c>
      <c r="R109" s="62"/>
      <c r="S109" s="30"/>
      <c r="T109" s="156">
        <f>29553.33</f>
        <v>29553.33</v>
      </c>
    </row>
    <row r="110" spans="1:20" hidden="1">
      <c r="A110" s="295">
        <f t="shared" si="10"/>
        <v>95</v>
      </c>
      <c r="B110" s="12">
        <f t="shared" si="11"/>
        <v>95</v>
      </c>
      <c r="C110" s="101" t="s">
        <v>185</v>
      </c>
      <c r="D110" s="101" t="s">
        <v>296</v>
      </c>
      <c r="E110" s="146">
        <f t="shared" si="9"/>
        <v>0</v>
      </c>
      <c r="F110" s="62">
        <v>0</v>
      </c>
      <c r="G110" s="62">
        <v>0</v>
      </c>
      <c r="H110" s="162">
        <v>0</v>
      </c>
      <c r="I110" s="62">
        <v>0</v>
      </c>
      <c r="J110" s="62">
        <v>0</v>
      </c>
      <c r="K110" s="62"/>
      <c r="L110" s="62"/>
      <c r="M110" s="62">
        <v>0</v>
      </c>
      <c r="N110" s="62">
        <v>3264065.71</v>
      </c>
      <c r="O110" s="62">
        <v>0</v>
      </c>
      <c r="P110" s="62">
        <v>0</v>
      </c>
      <c r="Q110" s="62">
        <v>0</v>
      </c>
      <c r="R110" s="62">
        <v>122084.94</v>
      </c>
      <c r="S110" s="62">
        <v>24000</v>
      </c>
      <c r="T110" s="156"/>
    </row>
    <row r="111" spans="1:20" hidden="1">
      <c r="A111" s="295">
        <f t="shared" si="10"/>
        <v>96</v>
      </c>
      <c r="B111" s="12">
        <f t="shared" si="11"/>
        <v>96</v>
      </c>
      <c r="C111" s="101" t="s">
        <v>185</v>
      </c>
      <c r="D111" s="101" t="s">
        <v>297</v>
      </c>
      <c r="E111" s="146">
        <f t="shared" si="9"/>
        <v>0</v>
      </c>
      <c r="F111" s="62">
        <v>0</v>
      </c>
      <c r="G111" s="62">
        <v>0</v>
      </c>
      <c r="H111" s="162">
        <v>0</v>
      </c>
      <c r="I111" s="62">
        <v>0</v>
      </c>
      <c r="J111" s="62">
        <v>0</v>
      </c>
      <c r="K111" s="62"/>
      <c r="L111" s="62"/>
      <c r="M111" s="62">
        <v>0</v>
      </c>
      <c r="N111" s="62">
        <v>7551202.7000000002</v>
      </c>
      <c r="O111" s="62">
        <v>0</v>
      </c>
      <c r="P111" s="62">
        <v>0</v>
      </c>
      <c r="Q111" s="62">
        <v>0</v>
      </c>
      <c r="R111" s="62">
        <v>852132.39210000006</v>
      </c>
      <c r="S111" s="30">
        <v>24000</v>
      </c>
      <c r="T111" s="156"/>
    </row>
    <row r="112" spans="1:20" hidden="1">
      <c r="A112" s="295">
        <f t="shared" si="10"/>
        <v>97</v>
      </c>
      <c r="B112" s="12">
        <f t="shared" si="11"/>
        <v>97</v>
      </c>
      <c r="C112" s="101" t="s">
        <v>185</v>
      </c>
      <c r="D112" s="101" t="s">
        <v>298</v>
      </c>
      <c r="E112" s="146">
        <f t="shared" ref="E112:E143" si="12">SUBTOTAL(9, F112:T112)</f>
        <v>0</v>
      </c>
      <c r="G112" s="62"/>
      <c r="H112" s="165"/>
      <c r="J112" s="62"/>
      <c r="K112" s="62"/>
      <c r="L112" s="62"/>
      <c r="M112" s="62">
        <v>0</v>
      </c>
      <c r="N112" s="62">
        <v>12780973.57</v>
      </c>
      <c r="O112" s="62">
        <v>0</v>
      </c>
      <c r="P112" s="62"/>
      <c r="Q112" s="62"/>
      <c r="R112" s="62">
        <v>4341944.4309</v>
      </c>
      <c r="S112" s="30">
        <v>461523.41970000003</v>
      </c>
      <c r="T112" s="156">
        <v>120206.69</v>
      </c>
    </row>
    <row r="113" spans="1:20" hidden="1">
      <c r="A113" s="295">
        <f t="shared" ref="A113:A144" si="13">+A112+1</f>
        <v>98</v>
      </c>
      <c r="B113" s="12">
        <f t="shared" ref="B113:B144" si="14">+B112+1</f>
        <v>98</v>
      </c>
      <c r="C113" s="101" t="s">
        <v>185</v>
      </c>
      <c r="D113" s="101" t="s">
        <v>300</v>
      </c>
      <c r="E113" s="146">
        <f t="shared" si="12"/>
        <v>0</v>
      </c>
      <c r="F113" s="62"/>
      <c r="G113" s="62"/>
      <c r="H113" s="162"/>
      <c r="I113" s="62"/>
      <c r="J113" s="62"/>
      <c r="K113" s="62"/>
      <c r="L113" s="62"/>
      <c r="M113" s="62"/>
      <c r="N113" s="62"/>
      <c r="O113" s="62">
        <v>0</v>
      </c>
      <c r="P113" s="62">
        <v>22920438.079999998</v>
      </c>
      <c r="Q113" s="62"/>
      <c r="R113" s="62">
        <v>237586.77</v>
      </c>
      <c r="S113" s="30"/>
      <c r="T113" s="156"/>
    </row>
    <row r="114" spans="1:20" hidden="1">
      <c r="A114" s="295">
        <f t="shared" si="13"/>
        <v>99</v>
      </c>
      <c r="B114" s="12">
        <f t="shared" si="14"/>
        <v>99</v>
      </c>
      <c r="C114" s="101" t="s">
        <v>185</v>
      </c>
      <c r="D114" s="101" t="s">
        <v>302</v>
      </c>
      <c r="E114" s="146">
        <f t="shared" si="12"/>
        <v>0</v>
      </c>
      <c r="F114" s="62"/>
      <c r="G114" s="62"/>
      <c r="H114" s="162"/>
      <c r="I114" s="62"/>
      <c r="J114" s="62"/>
      <c r="K114" s="62"/>
      <c r="L114" s="62"/>
      <c r="M114" s="62"/>
      <c r="N114" s="62"/>
      <c r="O114" s="62">
        <v>0</v>
      </c>
      <c r="P114" s="62">
        <v>23040371.91</v>
      </c>
      <c r="Q114" s="62"/>
      <c r="R114" s="62">
        <v>237124.23</v>
      </c>
      <c r="S114" s="30"/>
      <c r="T114" s="156"/>
    </row>
    <row r="115" spans="1:20" hidden="1">
      <c r="A115" s="295">
        <f t="shared" si="13"/>
        <v>100</v>
      </c>
      <c r="B115" s="12">
        <f t="shared" si="14"/>
        <v>100</v>
      </c>
      <c r="C115" s="101" t="s">
        <v>185</v>
      </c>
      <c r="D115" s="101" t="s">
        <v>304</v>
      </c>
      <c r="E115" s="146">
        <f t="shared" si="12"/>
        <v>0</v>
      </c>
      <c r="F115" s="62"/>
      <c r="G115" s="62"/>
      <c r="H115" s="162">
        <v>655531.02</v>
      </c>
      <c r="I115" s="62"/>
      <c r="J115" s="62"/>
      <c r="K115" s="62"/>
      <c r="L115" s="62"/>
      <c r="M115" s="62"/>
      <c r="N115" s="62"/>
      <c r="O115" s="62"/>
      <c r="P115" s="62"/>
      <c r="R115" s="62"/>
      <c r="S115" s="30"/>
      <c r="T115" s="156">
        <v>16100.12</v>
      </c>
    </row>
    <row r="116" spans="1:20" hidden="1">
      <c r="A116" s="295">
        <f t="shared" si="13"/>
        <v>101</v>
      </c>
      <c r="B116" s="12">
        <f t="shared" si="14"/>
        <v>101</v>
      </c>
      <c r="C116" s="101" t="s">
        <v>185</v>
      </c>
      <c r="D116" s="101" t="s">
        <v>305</v>
      </c>
      <c r="E116" s="146">
        <f t="shared" si="12"/>
        <v>0</v>
      </c>
      <c r="F116" s="62"/>
      <c r="G116" s="62">
        <v>1337737.05</v>
      </c>
      <c r="H116" s="162">
        <v>613148.77</v>
      </c>
      <c r="I116" s="62">
        <v>943239.55</v>
      </c>
      <c r="J116" s="62"/>
      <c r="K116" s="62"/>
      <c r="L116" s="62"/>
      <c r="M116" s="62">
        <v>0</v>
      </c>
      <c r="N116" s="62">
        <v>3170792.72</v>
      </c>
      <c r="O116" s="62">
        <v>0</v>
      </c>
      <c r="P116" s="62">
        <v>0</v>
      </c>
      <c r="Q116" s="62">
        <v>0</v>
      </c>
      <c r="R116" s="62">
        <v>2090379.2509000001</v>
      </c>
      <c r="S116" s="30">
        <v>229328.92860000001</v>
      </c>
      <c r="T116" s="156"/>
    </row>
    <row r="117" spans="1:20" hidden="1">
      <c r="A117" s="295">
        <f t="shared" si="13"/>
        <v>102</v>
      </c>
      <c r="B117" s="12">
        <f t="shared" si="14"/>
        <v>102</v>
      </c>
      <c r="C117" s="101" t="s">
        <v>185</v>
      </c>
      <c r="D117" s="101" t="s">
        <v>307</v>
      </c>
      <c r="E117" s="146">
        <f t="shared" si="12"/>
        <v>0</v>
      </c>
      <c r="F117" s="62">
        <v>2763321.73</v>
      </c>
      <c r="G117" s="62"/>
      <c r="H117" s="162"/>
      <c r="I117" s="62"/>
      <c r="J117" s="62"/>
      <c r="K117" s="62">
        <v>0</v>
      </c>
      <c r="L117" s="62"/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788750.73</v>
      </c>
      <c r="S117" s="30"/>
      <c r="T117" s="156">
        <v>30073.360000000001</v>
      </c>
    </row>
    <row r="118" spans="1:20" hidden="1">
      <c r="A118" s="295">
        <f t="shared" si="13"/>
        <v>103</v>
      </c>
      <c r="B118" s="12">
        <f t="shared" si="14"/>
        <v>103</v>
      </c>
      <c r="C118" s="101" t="s">
        <v>185</v>
      </c>
      <c r="D118" s="101" t="s">
        <v>309</v>
      </c>
      <c r="E118" s="146">
        <f t="shared" si="12"/>
        <v>0</v>
      </c>
      <c r="F118" s="62">
        <v>0</v>
      </c>
      <c r="G118" s="62">
        <v>0</v>
      </c>
      <c r="H118" s="162">
        <v>0</v>
      </c>
      <c r="I118" s="62">
        <v>0</v>
      </c>
      <c r="J118" s="62">
        <v>1007223.29</v>
      </c>
      <c r="K118" s="62"/>
      <c r="L118" s="62"/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/>
      <c r="S118" s="30"/>
      <c r="T118" s="156"/>
    </row>
    <row r="119" spans="1:20" hidden="1">
      <c r="A119" s="295">
        <f t="shared" si="13"/>
        <v>104</v>
      </c>
      <c r="B119" s="12">
        <f t="shared" si="14"/>
        <v>104</v>
      </c>
      <c r="C119" s="101" t="s">
        <v>185</v>
      </c>
      <c r="D119" s="101" t="s">
        <v>311</v>
      </c>
      <c r="E119" s="146">
        <f t="shared" si="12"/>
        <v>0</v>
      </c>
      <c r="F119" s="62">
        <v>3644506.14</v>
      </c>
      <c r="G119" s="62"/>
      <c r="H119" s="162">
        <v>914465.47</v>
      </c>
      <c r="I119" s="62"/>
      <c r="J119" s="62">
        <v>0</v>
      </c>
      <c r="K119" s="62"/>
      <c r="L119" s="62"/>
      <c r="M119" s="62">
        <v>0</v>
      </c>
      <c r="N119" s="62">
        <v>3794408.23</v>
      </c>
      <c r="O119" s="62">
        <v>0</v>
      </c>
      <c r="P119" s="62">
        <v>0</v>
      </c>
      <c r="Q119" s="62">
        <v>3615223.51</v>
      </c>
      <c r="R119" s="62">
        <v>160007.0122</v>
      </c>
      <c r="S119" s="30">
        <v>37048.782200000001</v>
      </c>
      <c r="T119" s="156"/>
    </row>
    <row r="120" spans="1:20" hidden="1">
      <c r="A120" s="295">
        <f t="shared" si="13"/>
        <v>105</v>
      </c>
      <c r="B120" s="12">
        <f t="shared" si="14"/>
        <v>105</v>
      </c>
      <c r="C120" s="101" t="s">
        <v>185</v>
      </c>
      <c r="D120" s="101" t="s">
        <v>314</v>
      </c>
      <c r="E120" s="146">
        <f t="shared" si="12"/>
        <v>0</v>
      </c>
      <c r="F120" s="62"/>
      <c r="G120" s="62"/>
      <c r="H120" s="165"/>
      <c r="I120" s="62"/>
      <c r="J120" s="62"/>
      <c r="K120" s="62"/>
      <c r="L120" s="62"/>
      <c r="M120" s="62"/>
      <c r="N120" s="62">
        <v>14003938.84</v>
      </c>
      <c r="O120" s="62"/>
      <c r="P120" s="62">
        <v>32173395.460000001</v>
      </c>
      <c r="Q120" s="62">
        <v>8022917.0300000003</v>
      </c>
      <c r="R120" s="62">
        <v>228290.3</v>
      </c>
      <c r="S120" s="30"/>
      <c r="T120" s="156"/>
    </row>
    <row r="121" spans="1:20" hidden="1">
      <c r="A121" s="295">
        <f t="shared" si="13"/>
        <v>106</v>
      </c>
      <c r="B121" s="12">
        <f t="shared" si="14"/>
        <v>106</v>
      </c>
      <c r="C121" s="101" t="s">
        <v>185</v>
      </c>
      <c r="D121" s="101" t="s">
        <v>317</v>
      </c>
      <c r="E121" s="146">
        <f t="shared" si="12"/>
        <v>0</v>
      </c>
      <c r="F121" s="62">
        <v>6509238.7699999996</v>
      </c>
      <c r="G121" s="62">
        <v>2319400.21</v>
      </c>
      <c r="H121" s="162">
        <v>3775889.5</v>
      </c>
      <c r="I121" s="62">
        <v>1790627.54</v>
      </c>
      <c r="J121" s="62"/>
      <c r="K121" s="62"/>
      <c r="L121" s="62"/>
      <c r="M121" s="62">
        <v>0</v>
      </c>
      <c r="N121" s="62">
        <v>4646956.9000000004</v>
      </c>
      <c r="O121" s="62">
        <v>0</v>
      </c>
      <c r="P121" s="62">
        <v>5003516.4000000004</v>
      </c>
      <c r="Q121" s="62">
        <v>2513954.87</v>
      </c>
      <c r="R121" s="62"/>
      <c r="S121" s="30"/>
      <c r="T121" s="156">
        <f>54318.24+26212.3+17900.83+13102.42+28632.26+18587.41+19333.5</f>
        <v>178086.96</v>
      </c>
    </row>
    <row r="122" spans="1:20" hidden="1">
      <c r="A122" s="295">
        <f t="shared" si="13"/>
        <v>107</v>
      </c>
      <c r="B122" s="12">
        <f t="shared" si="14"/>
        <v>107</v>
      </c>
      <c r="C122" s="101" t="s">
        <v>185</v>
      </c>
      <c r="D122" s="101" t="s">
        <v>319</v>
      </c>
      <c r="E122" s="146">
        <f t="shared" si="12"/>
        <v>0</v>
      </c>
      <c r="F122" s="62">
        <v>0</v>
      </c>
      <c r="G122" s="62">
        <v>0</v>
      </c>
      <c r="H122" s="162">
        <v>0</v>
      </c>
      <c r="I122" s="62">
        <v>0</v>
      </c>
      <c r="J122" s="62">
        <v>0</v>
      </c>
      <c r="K122" s="62"/>
      <c r="L122" s="62"/>
      <c r="M122" s="62">
        <v>0</v>
      </c>
      <c r="N122" s="62">
        <v>6528558.9900000002</v>
      </c>
      <c r="O122" s="62">
        <v>0</v>
      </c>
      <c r="P122" s="62">
        <v>0</v>
      </c>
      <c r="Q122" s="62">
        <v>0</v>
      </c>
      <c r="R122" s="62">
        <v>1523817.88</v>
      </c>
      <c r="S122" s="30"/>
      <c r="T122" s="156">
        <v>100930.73</v>
      </c>
    </row>
    <row r="123" spans="1:20" hidden="1">
      <c r="A123" s="295">
        <f t="shared" si="13"/>
        <v>108</v>
      </c>
      <c r="B123" s="12">
        <f t="shared" si="14"/>
        <v>108</v>
      </c>
      <c r="C123" s="101" t="s">
        <v>185</v>
      </c>
      <c r="D123" s="101" t="s">
        <v>320</v>
      </c>
      <c r="E123" s="146">
        <f t="shared" si="12"/>
        <v>0</v>
      </c>
      <c r="F123" s="62">
        <v>0</v>
      </c>
      <c r="G123" s="62">
        <v>0</v>
      </c>
      <c r="H123" s="162">
        <v>0</v>
      </c>
      <c r="I123" s="62">
        <v>0</v>
      </c>
      <c r="J123" s="62">
        <v>0</v>
      </c>
      <c r="K123" s="62"/>
      <c r="L123" s="62"/>
      <c r="M123" s="62">
        <v>0</v>
      </c>
      <c r="N123" s="62">
        <v>6264359.7599999998</v>
      </c>
      <c r="O123" s="62">
        <v>0</v>
      </c>
      <c r="P123" s="62">
        <v>0</v>
      </c>
      <c r="Q123" s="62">
        <v>0</v>
      </c>
      <c r="R123" s="62">
        <v>1547459.25</v>
      </c>
      <c r="S123" s="30"/>
      <c r="T123" s="156">
        <v>96846.24</v>
      </c>
    </row>
    <row r="124" spans="1:20" hidden="1">
      <c r="A124" s="295">
        <f t="shared" si="13"/>
        <v>109</v>
      </c>
      <c r="B124" s="12">
        <f t="shared" si="14"/>
        <v>109</v>
      </c>
      <c r="C124" s="101" t="s">
        <v>185</v>
      </c>
      <c r="D124" s="101" t="s">
        <v>322</v>
      </c>
      <c r="E124" s="146">
        <f t="shared" si="12"/>
        <v>0</v>
      </c>
      <c r="F124" s="62">
        <v>0</v>
      </c>
      <c r="G124" s="62">
        <v>0</v>
      </c>
      <c r="H124" s="162">
        <v>0</v>
      </c>
      <c r="I124" s="62">
        <v>0</v>
      </c>
      <c r="J124" s="62">
        <v>435458</v>
      </c>
      <c r="K124" s="62"/>
      <c r="L124" s="62"/>
      <c r="M124" s="62">
        <v>0</v>
      </c>
      <c r="N124" s="62">
        <v>0</v>
      </c>
      <c r="O124" s="62">
        <v>0</v>
      </c>
      <c r="P124" s="62">
        <v>0</v>
      </c>
      <c r="Q124" s="62">
        <v>0</v>
      </c>
      <c r="R124" s="62"/>
      <c r="S124" s="30"/>
      <c r="T124" s="156"/>
    </row>
    <row r="125" spans="1:20" hidden="1">
      <c r="A125" s="295">
        <f t="shared" si="13"/>
        <v>110</v>
      </c>
      <c r="B125" s="12">
        <f t="shared" si="14"/>
        <v>110</v>
      </c>
      <c r="C125" s="101" t="s">
        <v>185</v>
      </c>
      <c r="D125" s="101" t="s">
        <v>324</v>
      </c>
      <c r="E125" s="146">
        <f t="shared" si="12"/>
        <v>0</v>
      </c>
      <c r="F125" s="62">
        <v>0</v>
      </c>
      <c r="G125" s="62"/>
      <c r="H125" s="162">
        <v>0</v>
      </c>
      <c r="J125" s="62">
        <v>1097504.5</v>
      </c>
      <c r="K125" s="62"/>
      <c r="L125" s="62"/>
      <c r="M125" s="62">
        <v>0</v>
      </c>
      <c r="N125" s="62">
        <v>0</v>
      </c>
      <c r="O125" s="62">
        <v>0</v>
      </c>
      <c r="P125" s="62">
        <v>0</v>
      </c>
      <c r="Q125" s="62">
        <v>0</v>
      </c>
      <c r="R125" s="62"/>
      <c r="S125" s="62"/>
      <c r="T125" s="156"/>
    </row>
    <row r="126" spans="1:20" hidden="1">
      <c r="A126" s="295">
        <f t="shared" si="13"/>
        <v>111</v>
      </c>
      <c r="B126" s="12">
        <f t="shared" si="14"/>
        <v>111</v>
      </c>
      <c r="C126" s="101" t="s">
        <v>185</v>
      </c>
      <c r="D126" s="101" t="s">
        <v>325</v>
      </c>
      <c r="E126" s="146">
        <f t="shared" si="12"/>
        <v>0</v>
      </c>
      <c r="F126" s="62"/>
      <c r="G126" s="62"/>
      <c r="H126" s="162"/>
      <c r="I126" s="62"/>
      <c r="J126" s="62">
        <v>500183.41</v>
      </c>
      <c r="K126" s="62"/>
      <c r="L126" s="62"/>
      <c r="M126" s="62">
        <v>0</v>
      </c>
      <c r="N126" s="62">
        <v>0</v>
      </c>
      <c r="O126" s="62">
        <v>0</v>
      </c>
      <c r="P126" s="62"/>
      <c r="Q126" s="62">
        <v>0</v>
      </c>
      <c r="R126" s="62"/>
      <c r="S126" s="30"/>
      <c r="T126" s="156"/>
    </row>
    <row r="127" spans="1:20" hidden="1">
      <c r="A127" s="295">
        <f t="shared" si="13"/>
        <v>112</v>
      </c>
      <c r="B127" s="12">
        <f t="shared" si="14"/>
        <v>112</v>
      </c>
      <c r="C127" s="101" t="s">
        <v>185</v>
      </c>
      <c r="D127" s="101" t="s">
        <v>327</v>
      </c>
      <c r="E127" s="146">
        <f t="shared" si="12"/>
        <v>0</v>
      </c>
      <c r="F127" s="62">
        <v>0</v>
      </c>
      <c r="G127" s="62">
        <v>0</v>
      </c>
      <c r="H127" s="162">
        <v>0</v>
      </c>
      <c r="I127" s="62">
        <v>0</v>
      </c>
      <c r="J127" s="62">
        <v>994811.65</v>
      </c>
      <c r="K127" s="62"/>
      <c r="L127" s="62"/>
      <c r="M127" s="62">
        <v>0</v>
      </c>
      <c r="N127" s="62">
        <v>0</v>
      </c>
      <c r="O127" s="62">
        <v>0</v>
      </c>
      <c r="P127" s="62">
        <v>0</v>
      </c>
      <c r="Q127" s="62">
        <v>0</v>
      </c>
      <c r="R127" s="62"/>
      <c r="S127" s="30"/>
      <c r="T127" s="156"/>
    </row>
    <row r="128" spans="1:20" hidden="1">
      <c r="A128" s="295">
        <f t="shared" si="13"/>
        <v>113</v>
      </c>
      <c r="B128" s="12">
        <f t="shared" si="14"/>
        <v>113</v>
      </c>
      <c r="C128" s="101" t="s">
        <v>185</v>
      </c>
      <c r="D128" s="101" t="s">
        <v>329</v>
      </c>
      <c r="E128" s="146">
        <f t="shared" si="12"/>
        <v>0</v>
      </c>
      <c r="F128" s="62"/>
      <c r="G128" s="62"/>
      <c r="H128" s="162"/>
      <c r="I128" s="62"/>
      <c r="J128" s="62">
        <v>2104784.6800000002</v>
      </c>
      <c r="K128" s="62"/>
      <c r="L128" s="62"/>
      <c r="M128" s="62">
        <v>0</v>
      </c>
      <c r="N128" s="62">
        <v>0</v>
      </c>
      <c r="O128" s="62"/>
      <c r="P128" s="62"/>
      <c r="Q128" s="62"/>
      <c r="R128" s="62">
        <v>2857.14</v>
      </c>
      <c r="S128" s="30">
        <v>24000</v>
      </c>
      <c r="T128" s="156"/>
    </row>
    <row r="129" spans="1:20" hidden="1">
      <c r="A129" s="295">
        <f t="shared" si="13"/>
        <v>114</v>
      </c>
      <c r="B129" s="12">
        <f t="shared" si="14"/>
        <v>114</v>
      </c>
      <c r="C129" s="101" t="s">
        <v>185</v>
      </c>
      <c r="D129" s="101" t="s">
        <v>331</v>
      </c>
      <c r="E129" s="146">
        <f t="shared" si="12"/>
        <v>0</v>
      </c>
      <c r="F129" s="62"/>
      <c r="G129" s="62"/>
      <c r="H129" s="162"/>
      <c r="I129" s="62"/>
      <c r="J129" s="62"/>
      <c r="K129" s="62"/>
      <c r="L129" s="62"/>
      <c r="M129" s="62">
        <v>0</v>
      </c>
      <c r="N129" s="62"/>
      <c r="O129" s="62">
        <v>0</v>
      </c>
      <c r="P129" s="62">
        <v>21575728.449999999</v>
      </c>
      <c r="Q129" s="62"/>
      <c r="R129" s="62"/>
      <c r="S129" s="30"/>
      <c r="T129" s="156">
        <v>236241.97</v>
      </c>
    </row>
    <row r="130" spans="1:20" hidden="1">
      <c r="A130" s="295">
        <f t="shared" si="13"/>
        <v>115</v>
      </c>
      <c r="B130" s="12">
        <f t="shared" si="14"/>
        <v>115</v>
      </c>
      <c r="C130" s="101" t="s">
        <v>185</v>
      </c>
      <c r="D130" s="101" t="s">
        <v>333</v>
      </c>
      <c r="E130" s="146">
        <f t="shared" si="12"/>
        <v>0</v>
      </c>
      <c r="F130" s="62">
        <v>5305996.59</v>
      </c>
      <c r="H130" s="165"/>
      <c r="J130" s="62"/>
      <c r="K130" s="62"/>
      <c r="L130" s="62"/>
      <c r="M130" s="62">
        <v>0</v>
      </c>
      <c r="N130" s="62">
        <v>4125438.85</v>
      </c>
      <c r="O130" s="62">
        <v>0</v>
      </c>
      <c r="P130" s="62">
        <v>13688562.5</v>
      </c>
      <c r="Q130" s="62"/>
      <c r="R130" s="62"/>
      <c r="S130" s="30"/>
      <c r="T130" s="156"/>
    </row>
    <row r="131" spans="1:20" hidden="1">
      <c r="A131" s="295">
        <f t="shared" si="13"/>
        <v>116</v>
      </c>
      <c r="B131" s="12">
        <f t="shared" si="14"/>
        <v>116</v>
      </c>
      <c r="C131" s="101" t="s">
        <v>185</v>
      </c>
      <c r="D131" s="101" t="s">
        <v>334</v>
      </c>
      <c r="E131" s="146">
        <f t="shared" si="12"/>
        <v>0</v>
      </c>
      <c r="F131" s="62"/>
      <c r="G131" s="62"/>
      <c r="H131" s="162">
        <v>707768.48</v>
      </c>
      <c r="I131" s="62">
        <v>953897.51</v>
      </c>
      <c r="J131" s="62"/>
      <c r="K131" s="62"/>
      <c r="L131" s="62"/>
      <c r="M131" s="62">
        <v>0</v>
      </c>
      <c r="N131" s="62">
        <v>0</v>
      </c>
      <c r="O131" s="62">
        <v>0</v>
      </c>
      <c r="P131" s="62"/>
      <c r="Q131" s="62">
        <v>0</v>
      </c>
      <c r="R131" s="62"/>
      <c r="S131" s="30"/>
      <c r="T131" s="156"/>
    </row>
    <row r="132" spans="1:20" hidden="1">
      <c r="A132" s="295">
        <f t="shared" si="13"/>
        <v>117</v>
      </c>
      <c r="B132" s="12">
        <f t="shared" si="14"/>
        <v>117</v>
      </c>
      <c r="C132" s="101" t="s">
        <v>1</v>
      </c>
      <c r="D132" s="101" t="s">
        <v>336</v>
      </c>
      <c r="E132" s="146">
        <f t="shared" si="12"/>
        <v>0</v>
      </c>
      <c r="F132" s="62">
        <v>0</v>
      </c>
      <c r="G132" s="62">
        <v>0</v>
      </c>
      <c r="H132" s="162">
        <v>0</v>
      </c>
      <c r="I132" s="62">
        <v>0</v>
      </c>
      <c r="J132" s="62">
        <v>0</v>
      </c>
      <c r="K132" s="62"/>
      <c r="L132" s="62"/>
      <c r="M132" s="62">
        <v>0</v>
      </c>
      <c r="N132" s="62">
        <v>9447493.2200000007</v>
      </c>
      <c r="O132" s="62">
        <v>0</v>
      </c>
      <c r="P132" s="62"/>
      <c r="Q132" s="62"/>
      <c r="R132" s="62"/>
      <c r="S132" s="30"/>
      <c r="T132" s="156"/>
    </row>
    <row r="133" spans="1:20" hidden="1">
      <c r="A133" s="295">
        <f t="shared" si="13"/>
        <v>118</v>
      </c>
      <c r="B133" s="12">
        <f t="shared" si="14"/>
        <v>118</v>
      </c>
      <c r="C133" s="101" t="s">
        <v>1</v>
      </c>
      <c r="D133" s="101" t="s">
        <v>338</v>
      </c>
      <c r="E133" s="146">
        <f t="shared" si="12"/>
        <v>0</v>
      </c>
      <c r="F133" s="62">
        <v>0</v>
      </c>
      <c r="G133" s="62">
        <v>0</v>
      </c>
      <c r="H133" s="162">
        <v>0</v>
      </c>
      <c r="I133" s="62">
        <v>0</v>
      </c>
      <c r="J133" s="62">
        <v>459932.97</v>
      </c>
      <c r="K133" s="62"/>
      <c r="L133" s="62"/>
      <c r="M133" s="62">
        <v>0</v>
      </c>
      <c r="N133" s="62">
        <v>0</v>
      </c>
      <c r="O133" s="62">
        <v>0</v>
      </c>
      <c r="P133" s="62">
        <v>0</v>
      </c>
      <c r="Q133" s="62">
        <v>0</v>
      </c>
      <c r="R133" s="62"/>
      <c r="S133" s="30"/>
      <c r="T133" s="156"/>
    </row>
    <row r="134" spans="1:20" hidden="1">
      <c r="A134" s="295">
        <f t="shared" si="13"/>
        <v>119</v>
      </c>
      <c r="B134" s="12">
        <f t="shared" si="14"/>
        <v>119</v>
      </c>
      <c r="C134" s="101" t="s">
        <v>1</v>
      </c>
      <c r="D134" s="101" t="s">
        <v>2</v>
      </c>
      <c r="E134" s="146">
        <f t="shared" si="12"/>
        <v>0</v>
      </c>
      <c r="F134" s="62"/>
      <c r="G134" s="62"/>
      <c r="H134" s="162"/>
      <c r="I134" s="62"/>
      <c r="J134" s="62"/>
      <c r="K134" s="62"/>
      <c r="L134" s="62"/>
      <c r="M134" s="62"/>
      <c r="N134" s="62"/>
      <c r="O134" s="62"/>
      <c r="P134" s="62"/>
      <c r="Q134" s="62">
        <v>6404791.8899999997</v>
      </c>
      <c r="R134" s="62">
        <v>779909.40099999995</v>
      </c>
      <c r="S134" s="30">
        <v>77990.940100000007</v>
      </c>
      <c r="T134" s="156"/>
    </row>
    <row r="135" spans="1:20" hidden="1">
      <c r="A135" s="295">
        <f t="shared" si="13"/>
        <v>120</v>
      </c>
      <c r="B135" s="12">
        <f t="shared" si="14"/>
        <v>120</v>
      </c>
      <c r="C135" s="101" t="s">
        <v>1</v>
      </c>
      <c r="D135" s="101" t="s">
        <v>341</v>
      </c>
      <c r="E135" s="146">
        <f t="shared" si="12"/>
        <v>0</v>
      </c>
      <c r="F135" s="62">
        <v>0</v>
      </c>
      <c r="G135" s="62"/>
      <c r="H135" s="162">
        <v>1005861.31</v>
      </c>
      <c r="I135" s="62">
        <v>0</v>
      </c>
      <c r="J135" s="62"/>
      <c r="K135" s="62"/>
      <c r="L135" s="62"/>
      <c r="M135" s="62">
        <v>0</v>
      </c>
      <c r="N135" s="62">
        <v>0</v>
      </c>
      <c r="O135" s="62">
        <v>0</v>
      </c>
      <c r="P135" s="62">
        <v>0</v>
      </c>
      <c r="Q135" s="62">
        <v>0</v>
      </c>
      <c r="R135" s="62">
        <v>268460.93900000001</v>
      </c>
      <c r="S135" s="30">
        <v>26846.0939</v>
      </c>
      <c r="T135" s="156">
        <v>7440.58</v>
      </c>
    </row>
    <row r="136" spans="1:20" hidden="1">
      <c r="A136" s="295">
        <f t="shared" si="13"/>
        <v>121</v>
      </c>
      <c r="B136" s="12">
        <f t="shared" si="14"/>
        <v>121</v>
      </c>
      <c r="C136" s="101" t="s">
        <v>1</v>
      </c>
      <c r="D136" s="101" t="s">
        <v>7</v>
      </c>
      <c r="E136" s="146">
        <f t="shared" si="12"/>
        <v>0</v>
      </c>
      <c r="F136" s="62">
        <v>0</v>
      </c>
      <c r="G136" s="62"/>
      <c r="H136" s="162"/>
      <c r="I136" s="62"/>
      <c r="J136" s="62">
        <v>0</v>
      </c>
      <c r="K136" s="62"/>
      <c r="L136" s="62"/>
      <c r="M136" s="62">
        <v>0</v>
      </c>
      <c r="N136" s="62">
        <v>2408460.1</v>
      </c>
      <c r="O136" s="62">
        <v>0</v>
      </c>
      <c r="P136" s="62">
        <v>0</v>
      </c>
      <c r="Q136" s="62">
        <v>0</v>
      </c>
      <c r="R136" s="62"/>
      <c r="S136" s="30"/>
      <c r="T136" s="156"/>
    </row>
    <row r="137" spans="1:20" hidden="1">
      <c r="A137" s="295">
        <f t="shared" si="13"/>
        <v>122</v>
      </c>
      <c r="B137" s="12">
        <f t="shared" si="14"/>
        <v>122</v>
      </c>
      <c r="C137" s="101" t="s">
        <v>82</v>
      </c>
      <c r="D137" s="101" t="s">
        <v>343</v>
      </c>
      <c r="E137" s="146">
        <f t="shared" si="12"/>
        <v>0</v>
      </c>
      <c r="F137" s="62">
        <v>918312.05</v>
      </c>
      <c r="G137" s="62"/>
      <c r="H137" s="162"/>
      <c r="I137" s="62"/>
      <c r="J137" s="62">
        <v>0</v>
      </c>
      <c r="K137" s="62"/>
      <c r="L137" s="62"/>
      <c r="M137" s="62">
        <v>0</v>
      </c>
      <c r="N137" s="62">
        <v>0</v>
      </c>
      <c r="O137" s="62">
        <v>0</v>
      </c>
      <c r="P137" s="62">
        <v>0</v>
      </c>
      <c r="Q137" s="62">
        <v>0</v>
      </c>
      <c r="R137" s="62"/>
      <c r="S137" s="30"/>
      <c r="T137" s="156"/>
    </row>
    <row r="138" spans="1:20" hidden="1">
      <c r="A138" s="295">
        <f t="shared" si="13"/>
        <v>123</v>
      </c>
      <c r="B138" s="12">
        <f t="shared" si="14"/>
        <v>123</v>
      </c>
      <c r="C138" s="101" t="s">
        <v>87</v>
      </c>
      <c r="D138" s="101" t="s">
        <v>97</v>
      </c>
      <c r="E138" s="146">
        <f t="shared" si="12"/>
        <v>0</v>
      </c>
      <c r="F138" s="62"/>
      <c r="G138" s="62"/>
      <c r="H138" s="162">
        <v>0</v>
      </c>
      <c r="I138" s="62"/>
      <c r="J138" s="62"/>
      <c r="K138" s="62"/>
      <c r="L138" s="62"/>
      <c r="M138" s="62">
        <v>0</v>
      </c>
      <c r="N138" s="62">
        <v>0</v>
      </c>
      <c r="P138" s="62">
        <v>0</v>
      </c>
      <c r="Q138" s="62">
        <v>3924912.66</v>
      </c>
      <c r="R138" s="62">
        <v>1200305.659</v>
      </c>
      <c r="S138" s="30">
        <v>108232.6369</v>
      </c>
      <c r="T138" s="156"/>
    </row>
    <row r="139" spans="1:20" hidden="1">
      <c r="A139" s="295">
        <f t="shared" si="13"/>
        <v>124</v>
      </c>
      <c r="B139" s="12">
        <f t="shared" si="14"/>
        <v>124</v>
      </c>
      <c r="C139" s="101" t="s">
        <v>87</v>
      </c>
      <c r="D139" s="101" t="s">
        <v>88</v>
      </c>
      <c r="E139" s="146">
        <f t="shared" si="12"/>
        <v>0</v>
      </c>
      <c r="F139" s="62">
        <v>0</v>
      </c>
      <c r="G139" s="62"/>
      <c r="H139" s="162"/>
      <c r="I139" s="62"/>
      <c r="J139" s="62">
        <v>0</v>
      </c>
      <c r="K139" s="62"/>
      <c r="L139" s="62"/>
      <c r="M139" s="62">
        <v>0</v>
      </c>
      <c r="N139" s="62">
        <v>4903240.6500000004</v>
      </c>
      <c r="O139" s="62">
        <v>0</v>
      </c>
      <c r="P139" s="62">
        <v>0</v>
      </c>
      <c r="Q139" s="62">
        <v>0</v>
      </c>
      <c r="R139" s="62">
        <v>229623.17</v>
      </c>
      <c r="S139" s="30">
        <v>6666.66</v>
      </c>
      <c r="T139" s="156"/>
    </row>
    <row r="140" spans="1:20" hidden="1">
      <c r="A140" s="295">
        <f t="shared" si="13"/>
        <v>125</v>
      </c>
      <c r="B140" s="12">
        <f t="shared" si="14"/>
        <v>125</v>
      </c>
      <c r="C140" s="101" t="s">
        <v>87</v>
      </c>
      <c r="D140" s="101" t="s">
        <v>100</v>
      </c>
      <c r="E140" s="146">
        <f t="shared" si="12"/>
        <v>0</v>
      </c>
      <c r="F140" s="62"/>
      <c r="G140" s="62"/>
      <c r="H140" s="162"/>
      <c r="I140" s="62"/>
      <c r="J140" s="62"/>
      <c r="K140" s="62"/>
      <c r="L140" s="62"/>
      <c r="M140" s="62">
        <v>0</v>
      </c>
      <c r="N140" s="62">
        <v>0</v>
      </c>
      <c r="P140" s="62">
        <v>0</v>
      </c>
      <c r="Q140" s="62">
        <v>3209479.43</v>
      </c>
      <c r="R140" s="62">
        <v>1575434.3365</v>
      </c>
      <c r="S140" s="30">
        <v>151747.05220000001</v>
      </c>
      <c r="T140" s="156"/>
    </row>
    <row r="141" spans="1:20" hidden="1">
      <c r="A141" s="295">
        <f t="shared" si="13"/>
        <v>126</v>
      </c>
      <c r="B141" s="12">
        <f t="shared" si="14"/>
        <v>126</v>
      </c>
      <c r="C141" s="101" t="s">
        <v>87</v>
      </c>
      <c r="D141" s="101" t="s">
        <v>102</v>
      </c>
      <c r="E141" s="146">
        <f t="shared" si="12"/>
        <v>0</v>
      </c>
      <c r="F141" s="62"/>
      <c r="G141" s="62"/>
      <c r="H141" s="162"/>
      <c r="I141" s="62"/>
      <c r="J141" s="62"/>
      <c r="K141" s="62"/>
      <c r="L141" s="62"/>
      <c r="M141" s="62">
        <v>0</v>
      </c>
      <c r="N141" s="62">
        <v>0</v>
      </c>
      <c r="P141" s="62">
        <v>0</v>
      </c>
      <c r="Q141" s="62">
        <v>4230200.7</v>
      </c>
      <c r="R141" s="62">
        <v>1151371.1732999999</v>
      </c>
      <c r="S141" s="30">
        <v>109963.64969999999</v>
      </c>
      <c r="T141" s="156"/>
    </row>
    <row r="142" spans="1:20" hidden="1">
      <c r="A142" s="295">
        <f t="shared" si="13"/>
        <v>127</v>
      </c>
      <c r="B142" s="12">
        <f t="shared" si="14"/>
        <v>127</v>
      </c>
      <c r="C142" s="101" t="s">
        <v>87</v>
      </c>
      <c r="D142" s="101" t="s">
        <v>89</v>
      </c>
      <c r="E142" s="146">
        <f t="shared" si="12"/>
        <v>0</v>
      </c>
      <c r="F142" s="62">
        <v>0</v>
      </c>
      <c r="G142" s="62"/>
      <c r="H142" s="162"/>
      <c r="I142" s="62"/>
      <c r="J142" s="62">
        <v>0</v>
      </c>
      <c r="K142" s="62"/>
      <c r="L142" s="62"/>
      <c r="M142" s="62">
        <v>0</v>
      </c>
      <c r="N142" s="62">
        <v>5484086.3899999997</v>
      </c>
      <c r="O142" s="62">
        <v>0</v>
      </c>
      <c r="P142" s="62">
        <v>0</v>
      </c>
      <c r="Q142" s="62">
        <v>0</v>
      </c>
      <c r="R142" s="62">
        <v>229304.55</v>
      </c>
      <c r="S142" s="30">
        <v>6666.66</v>
      </c>
      <c r="T142" s="156"/>
    </row>
    <row r="143" spans="1:20" hidden="1">
      <c r="A143" s="295">
        <f t="shared" si="13"/>
        <v>128</v>
      </c>
      <c r="B143" s="12">
        <f t="shared" si="14"/>
        <v>128</v>
      </c>
      <c r="C143" s="101" t="s">
        <v>350</v>
      </c>
      <c r="D143" s="101" t="s">
        <v>351</v>
      </c>
      <c r="E143" s="146">
        <f t="shared" si="12"/>
        <v>0</v>
      </c>
      <c r="H143" s="165"/>
      <c r="J143" s="62">
        <v>0</v>
      </c>
      <c r="K143" s="62"/>
      <c r="L143" s="62"/>
      <c r="M143" s="62">
        <v>0</v>
      </c>
      <c r="N143" s="62">
        <v>6665001.5300000003</v>
      </c>
      <c r="O143" s="62">
        <v>0</v>
      </c>
      <c r="P143" s="62"/>
      <c r="Q143" s="62"/>
      <c r="R143" s="62"/>
      <c r="S143" s="30"/>
      <c r="T143" s="156">
        <v>37154.080000000002</v>
      </c>
    </row>
    <row r="144" spans="1:20" hidden="1">
      <c r="A144" s="295">
        <f t="shared" si="13"/>
        <v>129</v>
      </c>
      <c r="B144" s="12">
        <f t="shared" si="14"/>
        <v>129</v>
      </c>
      <c r="C144" s="101" t="s">
        <v>112</v>
      </c>
      <c r="D144" s="101" t="s">
        <v>352</v>
      </c>
      <c r="E144" s="146">
        <f t="shared" ref="E144:E175" si="15">SUBTOTAL(9, F144:T144)</f>
        <v>0</v>
      </c>
      <c r="F144" s="62">
        <v>5331233.07</v>
      </c>
      <c r="G144" s="62"/>
      <c r="H144" s="162"/>
      <c r="I144" s="62">
        <v>2162679.08</v>
      </c>
      <c r="J144" s="62">
        <v>0</v>
      </c>
      <c r="K144" s="62"/>
      <c r="L144" s="62"/>
      <c r="M144" s="62">
        <v>0</v>
      </c>
      <c r="N144" s="62"/>
      <c r="O144" s="62">
        <v>0</v>
      </c>
      <c r="P144" s="62"/>
      <c r="R144" s="62"/>
      <c r="S144" s="62"/>
      <c r="T144" s="156"/>
    </row>
    <row r="145" spans="1:20" hidden="1">
      <c r="A145" s="295">
        <f t="shared" ref="A145:A176" si="16">+A144+1</f>
        <v>130</v>
      </c>
      <c r="B145" s="12">
        <f t="shared" ref="B145:B176" si="17">+B144+1</f>
        <v>130</v>
      </c>
      <c r="C145" s="101" t="s">
        <v>112</v>
      </c>
      <c r="D145" s="101" t="s">
        <v>354</v>
      </c>
      <c r="E145" s="146">
        <f t="shared" si="15"/>
        <v>0</v>
      </c>
      <c r="F145" s="62">
        <v>0</v>
      </c>
      <c r="G145" s="62">
        <v>0</v>
      </c>
      <c r="H145" s="162"/>
      <c r="I145" s="62">
        <v>0</v>
      </c>
      <c r="J145" s="62">
        <v>0</v>
      </c>
      <c r="K145" s="62"/>
      <c r="L145" s="62"/>
      <c r="M145" s="62">
        <v>0</v>
      </c>
      <c r="N145" s="62">
        <v>0</v>
      </c>
      <c r="O145" s="62">
        <v>0</v>
      </c>
      <c r="P145" s="62">
        <v>12568038.82</v>
      </c>
      <c r="Q145" s="62">
        <v>0</v>
      </c>
      <c r="R145" s="62"/>
      <c r="S145" s="30"/>
      <c r="T145" s="156"/>
    </row>
    <row r="146" spans="1:20" hidden="1">
      <c r="A146" s="295">
        <f t="shared" si="16"/>
        <v>131</v>
      </c>
      <c r="B146" s="12">
        <f t="shared" si="17"/>
        <v>131</v>
      </c>
      <c r="C146" s="101" t="s">
        <v>355</v>
      </c>
      <c r="D146" s="101" t="s">
        <v>356</v>
      </c>
      <c r="E146" s="146">
        <f t="shared" si="15"/>
        <v>0</v>
      </c>
      <c r="F146" s="62">
        <v>0</v>
      </c>
      <c r="G146" s="62">
        <v>0</v>
      </c>
      <c r="H146" s="162">
        <v>0</v>
      </c>
      <c r="I146" s="62">
        <v>0</v>
      </c>
      <c r="J146" s="62">
        <v>0</v>
      </c>
      <c r="K146" s="62"/>
      <c r="L146" s="62"/>
      <c r="M146" s="62">
        <v>0</v>
      </c>
      <c r="N146" s="62">
        <v>0</v>
      </c>
      <c r="O146" s="62">
        <v>0</v>
      </c>
      <c r="P146" s="62">
        <v>0</v>
      </c>
      <c r="Q146" s="62">
        <v>275546.21000000002</v>
      </c>
      <c r="R146" s="62"/>
      <c r="S146" s="30"/>
      <c r="T146" s="156"/>
    </row>
    <row r="147" spans="1:20" hidden="1">
      <c r="A147" s="295">
        <f t="shared" si="16"/>
        <v>132</v>
      </c>
      <c r="B147" s="12">
        <f t="shared" si="17"/>
        <v>132</v>
      </c>
      <c r="C147" s="101" t="s">
        <v>355</v>
      </c>
      <c r="D147" s="101" t="s">
        <v>357</v>
      </c>
      <c r="E147" s="146">
        <f t="shared" si="15"/>
        <v>0</v>
      </c>
      <c r="F147" s="62">
        <v>0</v>
      </c>
      <c r="G147" s="62">
        <v>0</v>
      </c>
      <c r="H147" s="162">
        <v>0</v>
      </c>
      <c r="I147" s="62">
        <v>0</v>
      </c>
      <c r="J147" s="62">
        <v>0</v>
      </c>
      <c r="K147" s="62"/>
      <c r="L147" s="62"/>
      <c r="M147" s="62">
        <v>0</v>
      </c>
      <c r="N147" s="62">
        <v>1968122.34</v>
      </c>
      <c r="O147" s="62">
        <v>0</v>
      </c>
      <c r="P147" s="62">
        <v>0</v>
      </c>
      <c r="Q147" s="62">
        <v>517084.41</v>
      </c>
      <c r="R147" s="62"/>
      <c r="S147" s="30"/>
      <c r="T147" s="156"/>
    </row>
    <row r="148" spans="1:20" hidden="1">
      <c r="A148" s="295">
        <f t="shared" si="16"/>
        <v>133</v>
      </c>
      <c r="B148" s="12">
        <f t="shared" si="17"/>
        <v>133</v>
      </c>
      <c r="C148" s="101" t="s">
        <v>355</v>
      </c>
      <c r="D148" s="101" t="s">
        <v>358</v>
      </c>
      <c r="E148" s="146">
        <f t="shared" si="15"/>
        <v>0</v>
      </c>
      <c r="F148" s="62"/>
      <c r="G148" s="62">
        <v>624846.18000000005</v>
      </c>
      <c r="H148" s="162"/>
      <c r="I148" s="62">
        <v>317481.74</v>
      </c>
      <c r="J148" s="62">
        <v>0</v>
      </c>
      <c r="K148" s="62"/>
      <c r="L148" s="62"/>
      <c r="M148" s="62">
        <v>0</v>
      </c>
      <c r="N148" s="62"/>
      <c r="O148" s="62">
        <v>0</v>
      </c>
      <c r="P148" s="62"/>
      <c r="Q148" s="62"/>
      <c r="R148" s="62"/>
      <c r="S148" s="30"/>
      <c r="T148" s="156"/>
    </row>
    <row r="149" spans="1:20" hidden="1">
      <c r="A149" s="295">
        <f t="shared" si="16"/>
        <v>134</v>
      </c>
      <c r="B149" s="12">
        <f t="shared" si="17"/>
        <v>134</v>
      </c>
      <c r="C149" s="101" t="s">
        <v>355</v>
      </c>
      <c r="D149" s="101" t="s">
        <v>359</v>
      </c>
      <c r="E149" s="146">
        <f t="shared" si="15"/>
        <v>0</v>
      </c>
      <c r="F149" s="62"/>
      <c r="G149" s="62">
        <v>691727.99</v>
      </c>
      <c r="H149" s="162"/>
      <c r="I149" s="62">
        <v>374090.08</v>
      </c>
      <c r="J149" s="62">
        <v>0</v>
      </c>
      <c r="K149" s="62"/>
      <c r="L149" s="62"/>
      <c r="M149" s="62">
        <v>0</v>
      </c>
      <c r="N149" s="62"/>
      <c r="O149" s="62"/>
      <c r="P149" s="62"/>
      <c r="R149" s="62"/>
      <c r="S149" s="30"/>
      <c r="T149" s="156"/>
    </row>
    <row r="150" spans="1:20" hidden="1">
      <c r="A150" s="295">
        <f t="shared" si="16"/>
        <v>135</v>
      </c>
      <c r="B150" s="12">
        <f t="shared" si="17"/>
        <v>135</v>
      </c>
      <c r="C150" s="101" t="s">
        <v>355</v>
      </c>
      <c r="D150" s="101" t="s">
        <v>360</v>
      </c>
      <c r="E150" s="146">
        <f t="shared" si="15"/>
        <v>0</v>
      </c>
      <c r="F150" s="62"/>
      <c r="G150" s="62">
        <v>552436.80000000005</v>
      </c>
      <c r="H150" s="162"/>
      <c r="I150" s="62">
        <v>297229.53999999998</v>
      </c>
      <c r="J150" s="62">
        <v>0</v>
      </c>
      <c r="K150" s="62"/>
      <c r="L150" s="62"/>
      <c r="M150" s="62">
        <v>0</v>
      </c>
      <c r="N150" s="62"/>
      <c r="O150" s="62">
        <v>0</v>
      </c>
      <c r="P150" s="62"/>
      <c r="R150" s="62"/>
      <c r="S150" s="30"/>
      <c r="T150" s="156"/>
    </row>
    <row r="151" spans="1:20" hidden="1">
      <c r="A151" s="295">
        <f t="shared" si="16"/>
        <v>136</v>
      </c>
      <c r="B151" s="12">
        <f t="shared" si="17"/>
        <v>136</v>
      </c>
      <c r="C151" s="101" t="s">
        <v>116</v>
      </c>
      <c r="D151" s="101" t="s">
        <v>361</v>
      </c>
      <c r="E151" s="146">
        <f t="shared" si="15"/>
        <v>0</v>
      </c>
      <c r="F151" s="62">
        <v>2562577.02</v>
      </c>
      <c r="G151" s="62">
        <v>0</v>
      </c>
      <c r="H151" s="162"/>
      <c r="I151" s="62">
        <v>0</v>
      </c>
      <c r="J151" s="62">
        <v>0</v>
      </c>
      <c r="K151" s="62"/>
      <c r="L151" s="62"/>
      <c r="M151" s="62">
        <v>0</v>
      </c>
      <c r="N151" s="62">
        <v>0</v>
      </c>
      <c r="O151" s="62">
        <v>0</v>
      </c>
      <c r="P151" s="62"/>
      <c r="Q151" s="62">
        <v>0</v>
      </c>
      <c r="R151" s="62"/>
      <c r="S151" s="30"/>
      <c r="T151" s="156">
        <v>29862.67</v>
      </c>
    </row>
    <row r="152" spans="1:20" hidden="1">
      <c r="A152" s="295">
        <f t="shared" si="16"/>
        <v>137</v>
      </c>
      <c r="B152" s="12">
        <f t="shared" si="17"/>
        <v>137</v>
      </c>
      <c r="C152" s="101" t="s">
        <v>116</v>
      </c>
      <c r="D152" s="101" t="s">
        <v>119</v>
      </c>
      <c r="E152" s="146">
        <f t="shared" si="15"/>
        <v>0</v>
      </c>
      <c r="F152" s="62"/>
      <c r="G152" s="62">
        <v>8054732.7000000002</v>
      </c>
      <c r="H152" s="162">
        <v>3326392.27</v>
      </c>
      <c r="I152" s="62"/>
      <c r="J152" s="62"/>
      <c r="K152" s="62"/>
      <c r="L152" s="62"/>
      <c r="M152" s="62"/>
      <c r="N152" s="62">
        <v>6383560.5599999996</v>
      </c>
      <c r="O152" s="62">
        <v>0</v>
      </c>
      <c r="P152" s="62">
        <v>14384597.800000001</v>
      </c>
      <c r="Q152" s="62">
        <v>14838033.07</v>
      </c>
      <c r="R152" s="62"/>
      <c r="S152" s="30"/>
      <c r="T152" s="156"/>
    </row>
    <row r="153" spans="1:20" hidden="1">
      <c r="A153" s="295">
        <f t="shared" si="16"/>
        <v>138</v>
      </c>
      <c r="B153" s="12">
        <f t="shared" si="17"/>
        <v>138</v>
      </c>
      <c r="C153" s="101" t="s">
        <v>116</v>
      </c>
      <c r="D153" s="101" t="s">
        <v>363</v>
      </c>
      <c r="E153" s="146">
        <f t="shared" si="15"/>
        <v>0</v>
      </c>
      <c r="F153" s="62"/>
      <c r="G153" s="62"/>
      <c r="H153" s="162"/>
      <c r="I153" s="62"/>
      <c r="J153" s="62"/>
      <c r="K153" s="62"/>
      <c r="L153" s="62"/>
      <c r="M153" s="62">
        <v>2869496.64</v>
      </c>
      <c r="N153" s="62"/>
      <c r="O153" s="62"/>
      <c r="P153" s="62"/>
      <c r="Q153" s="62"/>
      <c r="R153" s="62">
        <v>104919.11907840001</v>
      </c>
      <c r="S153" s="30">
        <v>24000</v>
      </c>
      <c r="T153" s="156"/>
    </row>
    <row r="154" spans="1:20" hidden="1">
      <c r="A154" s="295">
        <f t="shared" si="16"/>
        <v>139</v>
      </c>
      <c r="B154" s="12">
        <f t="shared" si="17"/>
        <v>139</v>
      </c>
      <c r="C154" s="101" t="s">
        <v>116</v>
      </c>
      <c r="D154" s="101" t="s">
        <v>365</v>
      </c>
      <c r="E154" s="146">
        <f t="shared" si="15"/>
        <v>0</v>
      </c>
      <c r="F154" s="62"/>
      <c r="G154" s="62"/>
      <c r="H154" s="162"/>
      <c r="I154" s="62"/>
      <c r="J154" s="62"/>
      <c r="K154" s="62"/>
      <c r="L154" s="62"/>
      <c r="M154" s="62">
        <v>2869496.65</v>
      </c>
      <c r="N154" s="62"/>
      <c r="O154" s="62"/>
      <c r="P154" s="62"/>
      <c r="Q154" s="62"/>
      <c r="R154" s="62">
        <v>104881.1934528</v>
      </c>
      <c r="S154" s="30">
        <v>24000</v>
      </c>
      <c r="T154" s="156"/>
    </row>
    <row r="155" spans="1:20" hidden="1">
      <c r="A155" s="295">
        <f t="shared" si="16"/>
        <v>140</v>
      </c>
      <c r="B155" s="12">
        <f t="shared" si="17"/>
        <v>140</v>
      </c>
      <c r="C155" s="101" t="s">
        <v>116</v>
      </c>
      <c r="D155" s="101" t="s">
        <v>366</v>
      </c>
      <c r="E155" s="146">
        <f t="shared" si="15"/>
        <v>0</v>
      </c>
      <c r="F155" s="62"/>
      <c r="G155" s="62"/>
      <c r="H155" s="162"/>
      <c r="I155" s="62"/>
      <c r="J155" s="62"/>
      <c r="K155" s="62"/>
      <c r="L155" s="62"/>
      <c r="M155" s="62">
        <v>2869496.64</v>
      </c>
      <c r="N155" s="62"/>
      <c r="O155" s="62"/>
      <c r="P155" s="62"/>
      <c r="Q155" s="62"/>
      <c r="R155" s="62">
        <v>105249.4299072</v>
      </c>
      <c r="S155" s="30">
        <v>24000</v>
      </c>
      <c r="T155" s="156"/>
    </row>
    <row r="156" spans="1:20" hidden="1">
      <c r="A156" s="295">
        <f t="shared" si="16"/>
        <v>141</v>
      </c>
      <c r="B156" s="12">
        <f t="shared" si="17"/>
        <v>141</v>
      </c>
      <c r="C156" s="101" t="s">
        <v>116</v>
      </c>
      <c r="D156" s="101" t="s">
        <v>368</v>
      </c>
      <c r="E156" s="146">
        <f t="shared" si="15"/>
        <v>0</v>
      </c>
      <c r="F156" s="62">
        <v>3826027.56</v>
      </c>
      <c r="G156" s="62">
        <v>0</v>
      </c>
      <c r="H156" s="162">
        <v>0</v>
      </c>
      <c r="I156" s="62">
        <v>2180636.06</v>
      </c>
      <c r="J156" s="62">
        <v>0</v>
      </c>
      <c r="K156" s="62"/>
      <c r="L156" s="62"/>
      <c r="M156" s="62">
        <v>0</v>
      </c>
      <c r="N156" s="62">
        <v>0</v>
      </c>
      <c r="O156" s="62">
        <v>0</v>
      </c>
      <c r="P156" s="62">
        <v>0</v>
      </c>
      <c r="Q156" s="62">
        <v>0</v>
      </c>
      <c r="R156" s="62"/>
      <c r="S156" s="30"/>
      <c r="T156" s="156"/>
    </row>
    <row r="157" spans="1:20" hidden="1">
      <c r="A157" s="295">
        <f t="shared" si="16"/>
        <v>142</v>
      </c>
      <c r="B157" s="12">
        <f t="shared" si="17"/>
        <v>142</v>
      </c>
      <c r="C157" s="101" t="s">
        <v>116</v>
      </c>
      <c r="D157" s="101" t="s">
        <v>371</v>
      </c>
      <c r="E157" s="146">
        <f t="shared" si="15"/>
        <v>0</v>
      </c>
      <c r="F157" s="62">
        <v>0</v>
      </c>
      <c r="G157" s="62">
        <v>0</v>
      </c>
      <c r="H157" s="162">
        <v>782900.97</v>
      </c>
      <c r="I157" s="62"/>
      <c r="J157" s="62">
        <v>0</v>
      </c>
      <c r="K157" s="62"/>
      <c r="L157" s="62"/>
      <c r="M157" s="62">
        <v>0</v>
      </c>
      <c r="N157" s="62">
        <v>0</v>
      </c>
      <c r="O157" s="62">
        <v>0</v>
      </c>
      <c r="P157" s="62">
        <v>0</v>
      </c>
      <c r="Q157" s="62">
        <v>0</v>
      </c>
      <c r="R157" s="62"/>
      <c r="S157" s="30"/>
      <c r="T157" s="156">
        <v>8110.45</v>
      </c>
    </row>
    <row r="158" spans="1:20" hidden="1">
      <c r="A158" s="295">
        <f t="shared" si="16"/>
        <v>143</v>
      </c>
      <c r="B158" s="12">
        <f t="shared" si="17"/>
        <v>143</v>
      </c>
      <c r="C158" s="101" t="s">
        <v>116</v>
      </c>
      <c r="D158" s="101" t="s">
        <v>374</v>
      </c>
      <c r="E158" s="146">
        <f t="shared" si="15"/>
        <v>0</v>
      </c>
      <c r="F158" s="62">
        <v>3735913.84</v>
      </c>
      <c r="G158" s="62">
        <v>627030.85</v>
      </c>
      <c r="H158" s="162">
        <v>1443652.49</v>
      </c>
      <c r="I158" s="62">
        <v>1126366.8799999999</v>
      </c>
      <c r="J158" s="62">
        <v>0</v>
      </c>
      <c r="K158" s="62"/>
      <c r="L158" s="62"/>
      <c r="M158" s="62">
        <v>0</v>
      </c>
      <c r="N158" s="62">
        <v>0</v>
      </c>
      <c r="O158" s="62">
        <v>0</v>
      </c>
      <c r="P158" s="62">
        <v>0</v>
      </c>
      <c r="Q158" s="62">
        <v>4237247.8099999996</v>
      </c>
      <c r="R158" s="62"/>
      <c r="S158" s="30"/>
      <c r="T158" s="156"/>
    </row>
    <row r="159" spans="1:20" hidden="1">
      <c r="A159" s="295">
        <f t="shared" si="16"/>
        <v>144</v>
      </c>
      <c r="B159" s="12">
        <f t="shared" si="17"/>
        <v>144</v>
      </c>
      <c r="C159" s="101" t="s">
        <v>116</v>
      </c>
      <c r="D159" s="101" t="s">
        <v>375</v>
      </c>
      <c r="E159" s="146">
        <f t="shared" si="15"/>
        <v>0</v>
      </c>
      <c r="F159" s="62">
        <v>0</v>
      </c>
      <c r="G159" s="62"/>
      <c r="H159" s="162">
        <v>681605.38</v>
      </c>
      <c r="I159" s="62">
        <v>0</v>
      </c>
      <c r="J159" s="62">
        <v>0</v>
      </c>
      <c r="K159" s="62"/>
      <c r="L159" s="62"/>
      <c r="M159" s="62">
        <v>0</v>
      </c>
      <c r="N159" s="62"/>
      <c r="O159" s="62">
        <v>0</v>
      </c>
      <c r="P159" s="62"/>
      <c r="Q159" s="62"/>
      <c r="R159" s="62"/>
      <c r="S159" s="30"/>
      <c r="T159" s="156"/>
    </row>
    <row r="160" spans="1:20" hidden="1">
      <c r="A160" s="295">
        <f t="shared" si="16"/>
        <v>145</v>
      </c>
      <c r="B160" s="12">
        <f t="shared" si="17"/>
        <v>145</v>
      </c>
      <c r="C160" s="101" t="s">
        <v>116</v>
      </c>
      <c r="D160" s="101" t="s">
        <v>377</v>
      </c>
      <c r="E160" s="146">
        <f t="shared" si="15"/>
        <v>0</v>
      </c>
      <c r="F160" s="62">
        <v>0</v>
      </c>
      <c r="G160" s="62">
        <v>0</v>
      </c>
      <c r="H160" s="162">
        <v>2689617.46</v>
      </c>
      <c r="I160" s="62">
        <v>0</v>
      </c>
      <c r="J160" s="62">
        <v>0</v>
      </c>
      <c r="K160" s="62"/>
      <c r="L160" s="62"/>
      <c r="M160" s="62">
        <v>0</v>
      </c>
      <c r="N160" s="62">
        <v>0</v>
      </c>
      <c r="O160" s="62">
        <v>0</v>
      </c>
      <c r="P160" s="62">
        <v>0</v>
      </c>
      <c r="Q160" s="62">
        <v>0</v>
      </c>
      <c r="R160" s="62"/>
      <c r="S160" s="30"/>
      <c r="T160" s="156"/>
    </row>
    <row r="161" spans="1:20" hidden="1">
      <c r="A161" s="295">
        <f t="shared" si="16"/>
        <v>146</v>
      </c>
      <c r="B161" s="12">
        <f t="shared" si="17"/>
        <v>146</v>
      </c>
      <c r="C161" s="101" t="s">
        <v>116</v>
      </c>
      <c r="D161" s="101" t="s">
        <v>379</v>
      </c>
      <c r="E161" s="146">
        <f t="shared" si="15"/>
        <v>0</v>
      </c>
      <c r="F161" s="62"/>
      <c r="G161" s="62">
        <v>3182426.63</v>
      </c>
      <c r="H161" s="162"/>
      <c r="I161" s="62"/>
      <c r="J161" s="62">
        <v>0</v>
      </c>
      <c r="K161" s="62"/>
      <c r="L161" s="62"/>
      <c r="M161" s="62">
        <v>0</v>
      </c>
      <c r="N161" s="62">
        <v>0</v>
      </c>
      <c r="O161" s="62">
        <v>0</v>
      </c>
      <c r="P161" s="62">
        <v>0</v>
      </c>
      <c r="Q161" s="62">
        <v>22545346.640000001</v>
      </c>
      <c r="R161" s="62"/>
      <c r="S161" s="30"/>
      <c r="T161" s="156"/>
    </row>
    <row r="162" spans="1:20" hidden="1">
      <c r="A162" s="295">
        <f t="shared" si="16"/>
        <v>147</v>
      </c>
      <c r="B162" s="12">
        <f t="shared" si="17"/>
        <v>147</v>
      </c>
      <c r="C162" s="101" t="s">
        <v>116</v>
      </c>
      <c r="D162" s="101" t="s">
        <v>382</v>
      </c>
      <c r="E162" s="146">
        <f t="shared" si="15"/>
        <v>0</v>
      </c>
      <c r="F162" s="62"/>
      <c r="G162" s="62">
        <v>7323917.46</v>
      </c>
      <c r="H162" s="162"/>
      <c r="I162" s="62">
        <v>2315022.9</v>
      </c>
      <c r="J162" s="62">
        <v>0</v>
      </c>
      <c r="K162" s="62"/>
      <c r="L162" s="62"/>
      <c r="M162" s="62">
        <v>0</v>
      </c>
      <c r="N162" s="62">
        <v>0</v>
      </c>
      <c r="O162" s="62">
        <v>0</v>
      </c>
      <c r="P162" s="62">
        <v>0</v>
      </c>
      <c r="Q162" s="62"/>
      <c r="R162" s="62"/>
      <c r="S162" s="30"/>
      <c r="T162" s="156">
        <f>53840.63+30143.3</f>
        <v>83983.93</v>
      </c>
    </row>
    <row r="163" spans="1:20" hidden="1">
      <c r="A163" s="295">
        <f t="shared" si="16"/>
        <v>148</v>
      </c>
      <c r="B163" s="12">
        <f t="shared" si="17"/>
        <v>148</v>
      </c>
      <c r="C163" s="101" t="s">
        <v>116</v>
      </c>
      <c r="D163" s="101" t="s">
        <v>383</v>
      </c>
      <c r="E163" s="146">
        <f t="shared" si="15"/>
        <v>0</v>
      </c>
      <c r="F163" s="62">
        <v>5141989.9000000004</v>
      </c>
      <c r="G163" s="62"/>
      <c r="H163" s="162">
        <v>2714177.72</v>
      </c>
      <c r="I163" s="62"/>
      <c r="J163" s="62">
        <v>0</v>
      </c>
      <c r="K163" s="62"/>
      <c r="L163" s="62"/>
      <c r="M163" s="62">
        <v>0</v>
      </c>
      <c r="N163" s="62">
        <v>0</v>
      </c>
      <c r="O163" s="62">
        <v>0</v>
      </c>
      <c r="P163" s="62">
        <f>37030869.74+5977035.1</f>
        <v>43007904.840000004</v>
      </c>
      <c r="Q163" s="62"/>
      <c r="R163" s="62"/>
      <c r="S163" s="30"/>
      <c r="T163" s="156"/>
    </row>
    <row r="164" spans="1:20" hidden="1">
      <c r="A164" s="295">
        <f t="shared" si="16"/>
        <v>149</v>
      </c>
      <c r="B164" s="12">
        <f t="shared" si="17"/>
        <v>149</v>
      </c>
      <c r="C164" s="101" t="s">
        <v>116</v>
      </c>
      <c r="D164" s="101" t="s">
        <v>385</v>
      </c>
      <c r="E164" s="146">
        <f t="shared" si="15"/>
        <v>0</v>
      </c>
      <c r="F164" s="62">
        <v>3172690.78</v>
      </c>
      <c r="G164" s="62">
        <v>0</v>
      </c>
      <c r="H164" s="162">
        <v>0</v>
      </c>
      <c r="I164" s="62"/>
      <c r="J164" s="62">
        <v>0</v>
      </c>
      <c r="K164" s="62"/>
      <c r="L164" s="62"/>
      <c r="M164" s="62">
        <v>0</v>
      </c>
      <c r="N164" s="62">
        <v>5090700.49</v>
      </c>
      <c r="O164" s="62">
        <v>0</v>
      </c>
      <c r="P164" s="62">
        <v>7382703.5599999996</v>
      </c>
      <c r="Q164" s="62"/>
      <c r="R164" s="62"/>
      <c r="S164" s="30"/>
      <c r="T164" s="156"/>
    </row>
    <row r="165" spans="1:20" hidden="1">
      <c r="A165" s="295">
        <f t="shared" si="16"/>
        <v>150</v>
      </c>
      <c r="B165" s="12">
        <f t="shared" si="17"/>
        <v>150</v>
      </c>
      <c r="C165" s="101" t="s">
        <v>116</v>
      </c>
      <c r="D165" s="101" t="s">
        <v>133</v>
      </c>
      <c r="E165" s="146">
        <f t="shared" si="15"/>
        <v>0</v>
      </c>
      <c r="F165" s="62"/>
      <c r="G165" s="62"/>
      <c r="H165" s="162"/>
      <c r="I165" s="62"/>
      <c r="J165" s="62"/>
      <c r="K165" s="62"/>
      <c r="L165" s="62"/>
      <c r="M165" s="62">
        <v>0</v>
      </c>
      <c r="N165" s="62">
        <v>0</v>
      </c>
      <c r="O165" s="62">
        <v>0</v>
      </c>
      <c r="P165" s="62"/>
      <c r="Q165" s="62">
        <v>580989.24</v>
      </c>
      <c r="R165" s="62"/>
      <c r="S165" s="30"/>
      <c r="T165" s="156"/>
    </row>
    <row r="166" spans="1:20" hidden="1">
      <c r="A166" s="295">
        <f t="shared" si="16"/>
        <v>151</v>
      </c>
      <c r="B166" s="12">
        <f t="shared" si="17"/>
        <v>151</v>
      </c>
      <c r="C166" s="101" t="s">
        <v>116</v>
      </c>
      <c r="D166" s="101" t="s">
        <v>131</v>
      </c>
      <c r="E166" s="146">
        <f t="shared" si="15"/>
        <v>0</v>
      </c>
      <c r="F166" s="62"/>
      <c r="G166" s="62"/>
      <c r="H166" s="162">
        <v>3648621.62</v>
      </c>
      <c r="I166" s="62">
        <v>3268542.62</v>
      </c>
      <c r="J166" s="62">
        <v>0</v>
      </c>
      <c r="K166" s="62"/>
      <c r="L166" s="62"/>
      <c r="M166" s="62">
        <v>0</v>
      </c>
      <c r="N166" s="62">
        <v>0</v>
      </c>
      <c r="O166" s="62">
        <v>0</v>
      </c>
      <c r="P166" s="62">
        <v>0</v>
      </c>
      <c r="Q166" s="62">
        <v>0</v>
      </c>
      <c r="R166" s="62">
        <v>630230.47770000005</v>
      </c>
      <c r="S166" s="30">
        <v>85014.565300000002</v>
      </c>
      <c r="T166" s="156"/>
    </row>
    <row r="167" spans="1:20" hidden="1">
      <c r="A167" s="295">
        <f t="shared" si="16"/>
        <v>152</v>
      </c>
      <c r="B167" s="12">
        <f t="shared" si="17"/>
        <v>152</v>
      </c>
      <c r="C167" s="101" t="s">
        <v>750</v>
      </c>
      <c r="D167" s="101" t="s">
        <v>389</v>
      </c>
      <c r="E167" s="146">
        <f t="shared" si="15"/>
        <v>0</v>
      </c>
      <c r="F167" s="62"/>
      <c r="G167" s="62"/>
      <c r="H167" s="162">
        <v>0</v>
      </c>
      <c r="I167" s="62">
        <v>0</v>
      </c>
      <c r="J167" s="62">
        <v>0</v>
      </c>
      <c r="K167" s="62"/>
      <c r="L167" s="62"/>
      <c r="M167" s="62">
        <v>0</v>
      </c>
      <c r="N167" s="62">
        <v>9398785.4499999993</v>
      </c>
      <c r="O167" s="62">
        <v>0</v>
      </c>
      <c r="P167" s="62">
        <v>0</v>
      </c>
      <c r="Q167" s="62">
        <v>0</v>
      </c>
      <c r="R167" s="62"/>
      <c r="S167" s="30"/>
      <c r="T167" s="156"/>
    </row>
    <row r="168" spans="1:20" hidden="1">
      <c r="A168" s="295">
        <f t="shared" si="16"/>
        <v>153</v>
      </c>
      <c r="B168" s="12">
        <f t="shared" si="17"/>
        <v>153</v>
      </c>
      <c r="C168" s="101" t="s">
        <v>750</v>
      </c>
      <c r="D168" s="101" t="s">
        <v>390</v>
      </c>
      <c r="E168" s="146">
        <f t="shared" si="15"/>
        <v>0</v>
      </c>
      <c r="F168" s="62"/>
      <c r="G168" s="62"/>
      <c r="H168" s="162"/>
      <c r="I168" s="62">
        <v>0</v>
      </c>
      <c r="J168" s="62">
        <v>0</v>
      </c>
      <c r="K168" s="62"/>
      <c r="L168" s="62"/>
      <c r="M168" s="62">
        <v>0</v>
      </c>
      <c r="N168" s="62">
        <v>9546866.3969999999</v>
      </c>
      <c r="O168" s="62">
        <v>0</v>
      </c>
      <c r="P168" s="62">
        <v>0</v>
      </c>
      <c r="Q168" s="62">
        <v>0</v>
      </c>
      <c r="R168" s="62"/>
      <c r="S168" s="30"/>
      <c r="T168" s="156"/>
    </row>
    <row r="169" spans="1:20" hidden="1">
      <c r="A169" s="295">
        <f t="shared" si="16"/>
        <v>154</v>
      </c>
      <c r="B169" s="12">
        <f t="shared" si="17"/>
        <v>154</v>
      </c>
      <c r="C169" s="101" t="s">
        <v>750</v>
      </c>
      <c r="D169" s="101" t="s">
        <v>138</v>
      </c>
      <c r="E169" s="146">
        <f t="shared" si="15"/>
        <v>0</v>
      </c>
      <c r="F169" s="62"/>
      <c r="G169" s="62"/>
      <c r="H169" s="162">
        <v>0</v>
      </c>
      <c r="I169" s="62">
        <v>0</v>
      </c>
      <c r="J169" s="62">
        <v>0</v>
      </c>
      <c r="K169" s="62"/>
      <c r="L169" s="62"/>
      <c r="M169" s="62">
        <v>0</v>
      </c>
      <c r="N169" s="62">
        <v>16106664.949999999</v>
      </c>
      <c r="O169" s="62">
        <v>0</v>
      </c>
      <c r="P169" s="62">
        <v>0</v>
      </c>
      <c r="Q169" s="62">
        <v>0</v>
      </c>
      <c r="R169" s="62"/>
      <c r="S169" s="30"/>
      <c r="T169" s="156"/>
    </row>
    <row r="170" spans="1:20" hidden="1">
      <c r="A170" s="295">
        <f t="shared" si="16"/>
        <v>155</v>
      </c>
      <c r="B170" s="12">
        <f t="shared" si="17"/>
        <v>155</v>
      </c>
      <c r="C170" s="101" t="s">
        <v>392</v>
      </c>
      <c r="D170" s="101" t="s">
        <v>393</v>
      </c>
      <c r="E170" s="146">
        <f t="shared" si="15"/>
        <v>0</v>
      </c>
      <c r="F170" s="62">
        <v>0</v>
      </c>
      <c r="G170" s="62">
        <v>0</v>
      </c>
      <c r="H170" s="162">
        <v>0</v>
      </c>
      <c r="I170" s="62">
        <v>0</v>
      </c>
      <c r="J170" s="62">
        <v>579887.30000000005</v>
      </c>
      <c r="K170" s="62"/>
      <c r="L170" s="62"/>
      <c r="M170" s="62">
        <v>0</v>
      </c>
      <c r="N170" s="62">
        <v>0</v>
      </c>
      <c r="O170" s="62">
        <v>0</v>
      </c>
      <c r="P170" s="62">
        <v>0</v>
      </c>
      <c r="Q170" s="62">
        <v>0</v>
      </c>
      <c r="R170" s="62">
        <v>58462.29</v>
      </c>
      <c r="S170" s="62"/>
      <c r="T170" s="156"/>
    </row>
    <row r="171" spans="1:20" hidden="1">
      <c r="A171" s="295">
        <f t="shared" si="16"/>
        <v>156</v>
      </c>
      <c r="B171" s="12">
        <f t="shared" si="17"/>
        <v>156</v>
      </c>
      <c r="C171" s="101" t="s">
        <v>140</v>
      </c>
      <c r="D171" s="101" t="s">
        <v>141</v>
      </c>
      <c r="E171" s="146">
        <f t="shared" si="15"/>
        <v>0</v>
      </c>
      <c r="F171" s="62"/>
      <c r="G171" s="62"/>
      <c r="H171" s="162"/>
      <c r="I171" s="62"/>
      <c r="J171" s="62"/>
      <c r="K171" s="62"/>
      <c r="L171" s="62"/>
      <c r="M171" s="62"/>
      <c r="N171" s="62">
        <v>1229943.21</v>
      </c>
      <c r="O171" s="62"/>
      <c r="P171" s="62"/>
      <c r="Q171" s="62">
        <v>2522771.4</v>
      </c>
      <c r="R171" s="62"/>
      <c r="S171" s="30"/>
      <c r="T171" s="156"/>
    </row>
    <row r="172" spans="1:20" hidden="1">
      <c r="A172" s="295">
        <f t="shared" si="16"/>
        <v>157</v>
      </c>
      <c r="B172" s="12">
        <f t="shared" si="17"/>
        <v>157</v>
      </c>
      <c r="C172" s="101" t="s">
        <v>140</v>
      </c>
      <c r="D172" s="101" t="s">
        <v>146</v>
      </c>
      <c r="E172" s="146">
        <f t="shared" si="15"/>
        <v>0</v>
      </c>
      <c r="F172" s="62">
        <v>0</v>
      </c>
      <c r="G172" s="62">
        <v>0</v>
      </c>
      <c r="H172" s="162"/>
      <c r="I172" s="62"/>
      <c r="J172" s="62"/>
      <c r="K172" s="62"/>
      <c r="L172" s="62"/>
      <c r="M172" s="62"/>
      <c r="N172" s="62">
        <v>2093523.54</v>
      </c>
      <c r="O172" s="62"/>
      <c r="P172" s="62"/>
      <c r="Q172" s="62"/>
      <c r="R172" s="62"/>
      <c r="S172" s="30"/>
      <c r="T172" s="156"/>
    </row>
    <row r="173" spans="1:20" hidden="1">
      <c r="A173" s="295">
        <f t="shared" si="16"/>
        <v>158</v>
      </c>
      <c r="B173" s="12">
        <f t="shared" si="17"/>
        <v>158</v>
      </c>
      <c r="C173" s="101" t="s">
        <v>140</v>
      </c>
      <c r="D173" s="101" t="s">
        <v>142</v>
      </c>
      <c r="E173" s="146">
        <f t="shared" si="15"/>
        <v>0</v>
      </c>
      <c r="F173" s="62">
        <v>0</v>
      </c>
      <c r="G173" s="62">
        <v>0</v>
      </c>
      <c r="H173" s="162"/>
      <c r="I173" s="62"/>
      <c r="J173" s="62"/>
      <c r="K173" s="62"/>
      <c r="L173" s="62"/>
      <c r="M173" s="62"/>
      <c r="N173" s="62"/>
      <c r="O173" s="62"/>
      <c r="P173" s="62">
        <v>0</v>
      </c>
      <c r="Q173" s="62">
        <v>539462.39</v>
      </c>
      <c r="R173" s="62"/>
      <c r="S173" s="30"/>
      <c r="T173" s="156"/>
    </row>
    <row r="174" spans="1:20" hidden="1">
      <c r="A174" s="295">
        <f t="shared" si="16"/>
        <v>159</v>
      </c>
      <c r="B174" s="12">
        <f t="shared" si="17"/>
        <v>159</v>
      </c>
      <c r="C174" s="101" t="s">
        <v>397</v>
      </c>
      <c r="D174" s="101" t="s">
        <v>398</v>
      </c>
      <c r="E174" s="146">
        <f t="shared" si="15"/>
        <v>0</v>
      </c>
      <c r="F174" s="62">
        <v>3185792.78</v>
      </c>
      <c r="G174" s="62">
        <v>811520.58</v>
      </c>
      <c r="H174" s="162">
        <v>739091.37</v>
      </c>
      <c r="I174" s="62"/>
      <c r="J174" s="62">
        <v>0</v>
      </c>
      <c r="K174" s="62"/>
      <c r="L174" s="62"/>
      <c r="M174" s="62">
        <v>0</v>
      </c>
      <c r="N174" s="62">
        <v>5126751.9400000004</v>
      </c>
      <c r="O174" s="62">
        <v>0</v>
      </c>
      <c r="P174" s="62"/>
      <c r="Q174" s="62">
        <v>4617339.53</v>
      </c>
      <c r="R174" s="62"/>
      <c r="S174" s="30"/>
      <c r="T174" s="156"/>
    </row>
    <row r="175" spans="1:20" hidden="1">
      <c r="A175" s="295">
        <f t="shared" si="16"/>
        <v>160</v>
      </c>
      <c r="B175" s="12">
        <f t="shared" si="17"/>
        <v>160</v>
      </c>
      <c r="C175" s="101" t="s">
        <v>399</v>
      </c>
      <c r="D175" s="101" t="s">
        <v>400</v>
      </c>
      <c r="E175" s="146">
        <f t="shared" si="15"/>
        <v>0</v>
      </c>
      <c r="F175" s="62">
        <v>0</v>
      </c>
      <c r="G175" s="62">
        <v>0</v>
      </c>
      <c r="H175" s="162">
        <v>0</v>
      </c>
      <c r="I175" s="62">
        <v>0</v>
      </c>
      <c r="J175" s="62">
        <v>0</v>
      </c>
      <c r="K175" s="62"/>
      <c r="L175" s="62"/>
      <c r="M175" s="62">
        <v>0</v>
      </c>
      <c r="N175" s="62">
        <v>0</v>
      </c>
      <c r="O175" s="62">
        <v>0</v>
      </c>
      <c r="P175" s="62">
        <v>0</v>
      </c>
      <c r="Q175" s="62">
        <v>3880712.95</v>
      </c>
      <c r="R175" s="62">
        <v>63874.52</v>
      </c>
      <c r="S175" s="30">
        <v>52548.83</v>
      </c>
      <c r="T175" s="156"/>
    </row>
    <row r="176" spans="1:20" hidden="1">
      <c r="A176" s="295">
        <f t="shared" si="16"/>
        <v>161</v>
      </c>
      <c r="B176" s="12">
        <f t="shared" si="17"/>
        <v>161</v>
      </c>
      <c r="C176" s="101" t="s">
        <v>399</v>
      </c>
      <c r="D176" s="101" t="s">
        <v>402</v>
      </c>
      <c r="E176" s="146">
        <f t="shared" ref="E176:E203" si="18">SUBTOTAL(9, F176:T176)</f>
        <v>0</v>
      </c>
      <c r="F176" s="62">
        <v>0</v>
      </c>
      <c r="G176" s="62">
        <v>0</v>
      </c>
      <c r="H176" s="162">
        <v>0</v>
      </c>
      <c r="I176" s="62">
        <v>0</v>
      </c>
      <c r="J176" s="62">
        <v>0</v>
      </c>
      <c r="K176" s="62"/>
      <c r="L176" s="62"/>
      <c r="M176" s="62">
        <v>0</v>
      </c>
      <c r="N176" s="62">
        <v>6406790.6799999997</v>
      </c>
      <c r="O176" s="62">
        <v>0</v>
      </c>
      <c r="P176" s="62">
        <v>0</v>
      </c>
      <c r="Q176" s="62"/>
      <c r="R176" s="62">
        <v>228114.94</v>
      </c>
      <c r="S176" s="30">
        <v>61903.35</v>
      </c>
      <c r="T176" s="156"/>
    </row>
    <row r="177" spans="1:20" hidden="1">
      <c r="A177" s="295">
        <f t="shared" ref="A177:A203" si="19">+A176+1</f>
        <v>162</v>
      </c>
      <c r="B177" s="12">
        <f t="shared" ref="B177:B203" si="20">+B176+1</f>
        <v>162</v>
      </c>
      <c r="C177" s="101" t="s">
        <v>399</v>
      </c>
      <c r="D177" s="101" t="s">
        <v>404</v>
      </c>
      <c r="E177" s="146">
        <f t="shared" si="18"/>
        <v>0</v>
      </c>
      <c r="F177" s="62">
        <v>0</v>
      </c>
      <c r="G177" s="62">
        <v>0</v>
      </c>
      <c r="H177" s="162">
        <v>0</v>
      </c>
      <c r="I177" s="62">
        <v>0</v>
      </c>
      <c r="J177" s="62">
        <v>0</v>
      </c>
      <c r="K177" s="62"/>
      <c r="L177" s="62"/>
      <c r="M177" s="62">
        <v>0</v>
      </c>
      <c r="N177" s="62">
        <v>4786076.9400000004</v>
      </c>
      <c r="O177" s="62">
        <v>0</v>
      </c>
      <c r="P177" s="62">
        <v>0</v>
      </c>
      <c r="Q177" s="62">
        <v>0</v>
      </c>
      <c r="R177" s="62">
        <v>92267.42</v>
      </c>
      <c r="S177" s="30">
        <v>15260</v>
      </c>
      <c r="T177" s="156"/>
    </row>
    <row r="178" spans="1:20" hidden="1">
      <c r="A178" s="295">
        <f t="shared" si="19"/>
        <v>163</v>
      </c>
      <c r="B178" s="12">
        <f t="shared" si="20"/>
        <v>163</v>
      </c>
      <c r="C178" s="101" t="s">
        <v>753</v>
      </c>
      <c r="D178" s="101" t="s">
        <v>406</v>
      </c>
      <c r="E178" s="146">
        <f t="shared" si="18"/>
        <v>0</v>
      </c>
      <c r="F178" s="62">
        <v>5464157.29</v>
      </c>
      <c r="G178" s="62">
        <v>0</v>
      </c>
      <c r="H178" s="162"/>
      <c r="I178" s="62"/>
      <c r="J178" s="62">
        <v>0</v>
      </c>
      <c r="K178" s="62"/>
      <c r="L178" s="62"/>
      <c r="M178" s="62">
        <v>0</v>
      </c>
      <c r="N178" s="62">
        <v>0</v>
      </c>
      <c r="O178" s="62">
        <v>0</v>
      </c>
      <c r="P178" s="62">
        <v>0</v>
      </c>
      <c r="Q178" s="62">
        <v>0</v>
      </c>
      <c r="R178" s="62"/>
      <c r="S178" s="30"/>
      <c r="T178" s="156"/>
    </row>
    <row r="179" spans="1:20" hidden="1">
      <c r="A179" s="295">
        <f t="shared" si="19"/>
        <v>164</v>
      </c>
      <c r="B179" s="12">
        <f t="shared" si="20"/>
        <v>164</v>
      </c>
      <c r="C179" s="101" t="s">
        <v>753</v>
      </c>
      <c r="D179" s="101" t="s">
        <v>408</v>
      </c>
      <c r="E179" s="146">
        <f t="shared" si="18"/>
        <v>0</v>
      </c>
      <c r="F179" s="62">
        <v>8079212.4000000004</v>
      </c>
      <c r="G179" s="62"/>
      <c r="H179" s="162">
        <v>3039831.6</v>
      </c>
      <c r="I179" s="62">
        <v>2344507</v>
      </c>
      <c r="J179" s="62"/>
      <c r="K179" s="62"/>
      <c r="L179" s="62"/>
      <c r="M179" s="62"/>
      <c r="N179" s="62">
        <v>14009282.4</v>
      </c>
      <c r="O179" s="62"/>
      <c r="P179" s="62"/>
      <c r="Q179" s="62"/>
      <c r="R179" s="62">
        <v>700984.03</v>
      </c>
      <c r="S179" s="30">
        <v>24000</v>
      </c>
      <c r="T179" s="156">
        <v>213347.45</v>
      </c>
    </row>
    <row r="180" spans="1:20" hidden="1">
      <c r="A180" s="295">
        <f t="shared" si="19"/>
        <v>165</v>
      </c>
      <c r="B180" s="12">
        <f t="shared" si="20"/>
        <v>165</v>
      </c>
      <c r="C180" s="101" t="s">
        <v>753</v>
      </c>
      <c r="D180" s="101" t="s">
        <v>410</v>
      </c>
      <c r="E180" s="146">
        <f t="shared" si="18"/>
        <v>0</v>
      </c>
      <c r="F180" s="62"/>
      <c r="G180" s="62"/>
      <c r="H180" s="162">
        <v>3153436.8</v>
      </c>
      <c r="I180" s="62">
        <v>2158646.4</v>
      </c>
      <c r="J180" s="62"/>
      <c r="K180" s="62"/>
      <c r="L180" s="62"/>
      <c r="M180" s="62"/>
      <c r="N180" s="62">
        <v>13939516.800000001</v>
      </c>
      <c r="O180" s="62"/>
      <c r="P180" s="62"/>
      <c r="Q180" s="62"/>
      <c r="R180" s="62">
        <v>495096.03</v>
      </c>
      <c r="S180" s="30">
        <v>24000</v>
      </c>
      <c r="T180" s="156">
        <v>153490.34</v>
      </c>
    </row>
    <row r="181" spans="1:20" hidden="1">
      <c r="A181" s="295">
        <f t="shared" si="19"/>
        <v>166</v>
      </c>
      <c r="B181" s="12">
        <f t="shared" si="20"/>
        <v>166</v>
      </c>
      <c r="C181" s="101" t="s">
        <v>753</v>
      </c>
      <c r="D181" s="101" t="s">
        <v>413</v>
      </c>
      <c r="E181" s="146">
        <f t="shared" si="18"/>
        <v>0</v>
      </c>
      <c r="F181" s="62">
        <v>0</v>
      </c>
      <c r="G181" s="62">
        <v>0</v>
      </c>
      <c r="H181" s="162">
        <v>0</v>
      </c>
      <c r="I181" s="62">
        <v>0</v>
      </c>
      <c r="J181" s="62">
        <v>0</v>
      </c>
      <c r="K181" s="62"/>
      <c r="L181" s="62"/>
      <c r="M181" s="62">
        <v>0</v>
      </c>
      <c r="N181" s="62">
        <v>9802331.1099999994</v>
      </c>
      <c r="O181" s="62">
        <v>0</v>
      </c>
      <c r="P181" s="62">
        <v>0</v>
      </c>
      <c r="Q181" s="62">
        <v>0</v>
      </c>
      <c r="R181" s="62"/>
      <c r="S181" s="30"/>
      <c r="T181" s="156"/>
    </row>
    <row r="182" spans="1:20" hidden="1">
      <c r="A182" s="295">
        <f t="shared" si="19"/>
        <v>167</v>
      </c>
      <c r="B182" s="12">
        <f t="shared" si="20"/>
        <v>167</v>
      </c>
      <c r="C182" s="101" t="s">
        <v>753</v>
      </c>
      <c r="D182" s="101" t="s">
        <v>415</v>
      </c>
      <c r="E182" s="146">
        <f t="shared" si="18"/>
        <v>0</v>
      </c>
      <c r="F182" s="62">
        <v>7939864.5</v>
      </c>
      <c r="G182" s="62"/>
      <c r="H182" s="162">
        <v>4681160.4000000004</v>
      </c>
      <c r="I182" s="62">
        <v>3537004.8</v>
      </c>
      <c r="J182" s="62"/>
      <c r="K182" s="62"/>
      <c r="L182" s="62"/>
      <c r="M182" s="62"/>
      <c r="N182" s="62"/>
      <c r="O182" s="62"/>
      <c r="P182" s="62"/>
      <c r="Q182" s="62"/>
      <c r="R182" s="62">
        <v>634398.13</v>
      </c>
      <c r="S182" s="30">
        <v>24000</v>
      </c>
      <c r="T182" s="156">
        <v>136263.47</v>
      </c>
    </row>
    <row r="183" spans="1:20" hidden="1">
      <c r="A183" s="295">
        <f t="shared" si="19"/>
        <v>168</v>
      </c>
      <c r="B183" s="12">
        <f t="shared" si="20"/>
        <v>168</v>
      </c>
      <c r="C183" s="101" t="s">
        <v>753</v>
      </c>
      <c r="D183" s="101" t="s">
        <v>416</v>
      </c>
      <c r="E183" s="146">
        <f t="shared" si="18"/>
        <v>0</v>
      </c>
      <c r="F183" s="62">
        <v>5903245.2000000002</v>
      </c>
      <c r="G183" s="62"/>
      <c r="H183" s="162">
        <v>3002210.4</v>
      </c>
      <c r="I183" s="62">
        <v>1923324</v>
      </c>
      <c r="J183" s="62"/>
      <c r="K183" s="62"/>
      <c r="L183" s="62"/>
      <c r="M183" s="62"/>
      <c r="N183" s="62"/>
      <c r="O183" s="62"/>
      <c r="P183" s="62"/>
      <c r="Q183" s="62"/>
      <c r="R183" s="62">
        <v>516618.54</v>
      </c>
      <c r="S183" s="30">
        <v>24000</v>
      </c>
      <c r="T183" s="156">
        <v>85971.87</v>
      </c>
    </row>
    <row r="184" spans="1:20" hidden="1">
      <c r="A184" s="295">
        <f t="shared" si="19"/>
        <v>169</v>
      </c>
      <c r="B184" s="12">
        <f t="shared" si="20"/>
        <v>169</v>
      </c>
      <c r="C184" s="101" t="s">
        <v>753</v>
      </c>
      <c r="D184" s="101" t="s">
        <v>418</v>
      </c>
      <c r="E184" s="146">
        <f t="shared" si="18"/>
        <v>0</v>
      </c>
      <c r="F184" s="62">
        <v>11356723.199999999</v>
      </c>
      <c r="G184" s="62"/>
      <c r="H184" s="162">
        <v>5611190.4000000004</v>
      </c>
      <c r="I184" s="62">
        <v>3761995.2</v>
      </c>
      <c r="J184" s="62"/>
      <c r="K184" s="62"/>
      <c r="L184" s="62"/>
      <c r="M184" s="62"/>
      <c r="N184" s="62"/>
      <c r="O184" s="62"/>
      <c r="P184" s="62"/>
      <c r="Q184" s="62"/>
      <c r="R184" s="62">
        <v>634436.54</v>
      </c>
      <c r="S184" s="30">
        <v>24000</v>
      </c>
      <c r="T184" s="156">
        <v>166776.29</v>
      </c>
    </row>
    <row r="185" spans="1:20" hidden="1">
      <c r="A185" s="295">
        <f t="shared" si="19"/>
        <v>170</v>
      </c>
      <c r="B185" s="12">
        <f t="shared" si="20"/>
        <v>170</v>
      </c>
      <c r="C185" s="101" t="s">
        <v>753</v>
      </c>
      <c r="D185" s="101" t="s">
        <v>421</v>
      </c>
      <c r="E185" s="146">
        <f t="shared" si="18"/>
        <v>0</v>
      </c>
      <c r="F185" s="62">
        <v>11356723.199999999</v>
      </c>
      <c r="G185" s="62"/>
      <c r="H185" s="162">
        <v>5611190.4000000004</v>
      </c>
      <c r="I185" s="62">
        <v>3761995.2</v>
      </c>
      <c r="J185" s="62"/>
      <c r="K185" s="62"/>
      <c r="L185" s="62"/>
      <c r="M185" s="62"/>
      <c r="N185" s="62"/>
      <c r="O185" s="62"/>
      <c r="P185" s="62"/>
      <c r="Q185" s="62"/>
      <c r="R185" s="62">
        <v>634394.92000000004</v>
      </c>
      <c r="S185" s="30">
        <v>24000</v>
      </c>
      <c r="T185" s="156">
        <v>166776.29</v>
      </c>
    </row>
    <row r="186" spans="1:20" hidden="1">
      <c r="A186" s="295">
        <f t="shared" si="19"/>
        <v>171</v>
      </c>
      <c r="B186" s="12">
        <f t="shared" si="20"/>
        <v>171</v>
      </c>
      <c r="C186" s="101" t="s">
        <v>753</v>
      </c>
      <c r="D186" s="101" t="s">
        <v>423</v>
      </c>
      <c r="E186" s="146">
        <f t="shared" si="18"/>
        <v>0</v>
      </c>
      <c r="F186" s="62">
        <v>3733979.02</v>
      </c>
      <c r="G186" s="62">
        <v>0</v>
      </c>
      <c r="H186" s="162">
        <v>0</v>
      </c>
      <c r="I186" s="62">
        <v>0</v>
      </c>
      <c r="J186" s="62">
        <v>0</v>
      </c>
      <c r="K186" s="62"/>
      <c r="L186" s="62"/>
      <c r="M186" s="62">
        <v>0</v>
      </c>
      <c r="N186" s="62">
        <v>0</v>
      </c>
      <c r="O186" s="62">
        <v>0</v>
      </c>
      <c r="P186" s="62">
        <v>0</v>
      </c>
      <c r="Q186" s="62">
        <v>0</v>
      </c>
      <c r="R186" s="62"/>
      <c r="S186" s="30"/>
      <c r="T186" s="156">
        <v>0</v>
      </c>
    </row>
    <row r="187" spans="1:20" hidden="1">
      <c r="A187" s="295">
        <f t="shared" si="19"/>
        <v>172</v>
      </c>
      <c r="B187" s="12">
        <f t="shared" si="20"/>
        <v>172</v>
      </c>
      <c r="C187" s="101" t="s">
        <v>753</v>
      </c>
      <c r="D187" s="101" t="s">
        <v>424</v>
      </c>
      <c r="E187" s="146">
        <f t="shared" si="18"/>
        <v>0</v>
      </c>
      <c r="F187" s="62">
        <v>0</v>
      </c>
      <c r="G187" s="62">
        <v>0</v>
      </c>
      <c r="H187" s="162">
        <v>0</v>
      </c>
      <c r="I187" s="62">
        <v>0</v>
      </c>
      <c r="J187" s="62">
        <v>0</v>
      </c>
      <c r="K187" s="62"/>
      <c r="L187" s="62"/>
      <c r="M187" s="62">
        <v>0</v>
      </c>
      <c r="N187" s="62">
        <v>5044368.49</v>
      </c>
      <c r="O187" s="62">
        <v>0</v>
      </c>
      <c r="P187" s="62">
        <v>0</v>
      </c>
      <c r="Q187" s="62">
        <v>0</v>
      </c>
      <c r="R187" s="62"/>
      <c r="S187" s="30"/>
      <c r="T187" s="156"/>
    </row>
    <row r="188" spans="1:20" hidden="1">
      <c r="A188" s="295">
        <f t="shared" si="19"/>
        <v>173</v>
      </c>
      <c r="B188" s="12">
        <f t="shared" si="20"/>
        <v>173</v>
      </c>
      <c r="C188" s="101" t="s">
        <v>159</v>
      </c>
      <c r="D188" s="101" t="s">
        <v>425</v>
      </c>
      <c r="E188" s="146">
        <f t="shared" si="18"/>
        <v>0</v>
      </c>
      <c r="F188" s="62">
        <v>0</v>
      </c>
      <c r="G188" s="62">
        <v>0</v>
      </c>
      <c r="H188" s="162">
        <v>1011024.23</v>
      </c>
      <c r="I188" s="62">
        <v>0</v>
      </c>
      <c r="J188" s="62"/>
      <c r="K188" s="62"/>
      <c r="L188" s="62"/>
      <c r="M188" s="62">
        <v>0</v>
      </c>
      <c r="N188" s="62">
        <v>0</v>
      </c>
      <c r="O188" s="62">
        <v>0</v>
      </c>
      <c r="P188" s="62">
        <v>4376437.43</v>
      </c>
      <c r="Q188" s="62">
        <v>3141303.98</v>
      </c>
      <c r="R188" s="62"/>
      <c r="S188" s="30"/>
      <c r="T188" s="156"/>
    </row>
    <row r="189" spans="1:20" hidden="1">
      <c r="A189" s="295">
        <f t="shared" si="19"/>
        <v>174</v>
      </c>
      <c r="B189" s="12">
        <f t="shared" si="20"/>
        <v>174</v>
      </c>
      <c r="C189" s="101" t="s">
        <v>159</v>
      </c>
      <c r="D189" s="101" t="s">
        <v>427</v>
      </c>
      <c r="E189" s="146">
        <f t="shared" si="18"/>
        <v>0</v>
      </c>
      <c r="F189" s="62">
        <v>0</v>
      </c>
      <c r="G189" s="62">
        <v>0</v>
      </c>
      <c r="H189" s="162">
        <v>256799.44</v>
      </c>
      <c r="I189" s="62">
        <v>0</v>
      </c>
      <c r="J189" s="62">
        <v>0</v>
      </c>
      <c r="K189" s="62"/>
      <c r="L189" s="62"/>
      <c r="M189" s="62">
        <v>0</v>
      </c>
      <c r="N189" s="62">
        <v>0</v>
      </c>
      <c r="O189" s="62">
        <v>0</v>
      </c>
      <c r="P189" s="62">
        <v>0</v>
      </c>
      <c r="Q189" s="62">
        <v>1206681.83</v>
      </c>
      <c r="R189" s="62"/>
      <c r="S189" s="30"/>
      <c r="T189" s="156"/>
    </row>
    <row r="190" spans="1:20" hidden="1">
      <c r="A190" s="295">
        <f t="shared" si="19"/>
        <v>175</v>
      </c>
      <c r="B190" s="12">
        <f t="shared" si="20"/>
        <v>175</v>
      </c>
      <c r="C190" s="101" t="s">
        <v>162</v>
      </c>
      <c r="D190" s="101" t="s">
        <v>429</v>
      </c>
      <c r="E190" s="146">
        <f t="shared" si="18"/>
        <v>0</v>
      </c>
      <c r="F190" s="62">
        <v>0</v>
      </c>
      <c r="G190" s="62">
        <v>0</v>
      </c>
      <c r="H190" s="162">
        <v>664753.06999999995</v>
      </c>
      <c r="I190" s="62"/>
      <c r="J190" s="62">
        <v>0</v>
      </c>
      <c r="K190" s="62"/>
      <c r="L190" s="62"/>
      <c r="M190" s="62">
        <v>0</v>
      </c>
      <c r="N190" s="62">
        <v>0</v>
      </c>
      <c r="O190" s="62">
        <v>0</v>
      </c>
      <c r="P190" s="62">
        <v>0</v>
      </c>
      <c r="Q190" s="62">
        <v>0</v>
      </c>
      <c r="R190" s="62">
        <v>77193.930999999997</v>
      </c>
      <c r="S190" s="30">
        <v>7719.3931000000002</v>
      </c>
      <c r="T190" s="156"/>
    </row>
    <row r="191" spans="1:20" hidden="1">
      <c r="A191" s="295">
        <f t="shared" si="19"/>
        <v>176</v>
      </c>
      <c r="B191" s="12">
        <f t="shared" si="20"/>
        <v>176</v>
      </c>
      <c r="C191" s="101" t="s">
        <v>162</v>
      </c>
      <c r="D191" s="101" t="s">
        <v>431</v>
      </c>
      <c r="E191" s="146">
        <f t="shared" si="18"/>
        <v>0</v>
      </c>
      <c r="F191" s="62">
        <v>0</v>
      </c>
      <c r="G191" s="62">
        <v>0</v>
      </c>
      <c r="H191" s="162">
        <v>0</v>
      </c>
      <c r="I191" s="62">
        <v>346555.42</v>
      </c>
      <c r="J191" s="62"/>
      <c r="K191" s="62"/>
      <c r="L191" s="62"/>
      <c r="M191" s="62">
        <v>0</v>
      </c>
      <c r="N191" s="62">
        <v>0</v>
      </c>
      <c r="O191" s="62">
        <v>0</v>
      </c>
      <c r="P191" s="62">
        <v>0</v>
      </c>
      <c r="Q191" s="62">
        <v>0</v>
      </c>
      <c r="R191" s="62"/>
      <c r="S191" s="30"/>
      <c r="T191" s="156"/>
    </row>
    <row r="192" spans="1:20" hidden="1">
      <c r="A192" s="295">
        <f t="shared" si="19"/>
        <v>177</v>
      </c>
      <c r="B192" s="12">
        <f t="shared" si="20"/>
        <v>177</v>
      </c>
      <c r="C192" s="101" t="s">
        <v>162</v>
      </c>
      <c r="D192" s="101" t="s">
        <v>432</v>
      </c>
      <c r="E192" s="146">
        <f t="shared" si="18"/>
        <v>0</v>
      </c>
      <c r="F192" s="62">
        <v>0</v>
      </c>
      <c r="G192" s="62">
        <v>0</v>
      </c>
      <c r="H192" s="162">
        <v>0</v>
      </c>
      <c r="I192" s="62"/>
      <c r="J192" s="62">
        <v>0</v>
      </c>
      <c r="K192" s="62"/>
      <c r="L192" s="62"/>
      <c r="M192" s="62">
        <v>0</v>
      </c>
      <c r="N192" s="62">
        <v>8345806.4000000004</v>
      </c>
      <c r="O192" s="62">
        <v>0</v>
      </c>
      <c r="P192" s="62">
        <v>0</v>
      </c>
      <c r="Q192" s="62">
        <v>0</v>
      </c>
      <c r="R192" s="62"/>
      <c r="S192" s="30"/>
      <c r="T192" s="156"/>
    </row>
    <row r="193" spans="1:68" hidden="1">
      <c r="A193" s="295">
        <f t="shared" si="19"/>
        <v>178</v>
      </c>
      <c r="B193" s="12">
        <f t="shared" si="20"/>
        <v>178</v>
      </c>
      <c r="C193" s="101" t="s">
        <v>162</v>
      </c>
      <c r="D193" s="101" t="s">
        <v>433</v>
      </c>
      <c r="E193" s="146">
        <f t="shared" si="18"/>
        <v>0</v>
      </c>
      <c r="F193" s="62"/>
      <c r="G193" s="62">
        <v>0</v>
      </c>
      <c r="H193" s="162"/>
      <c r="I193" s="62">
        <v>363946.04</v>
      </c>
      <c r="J193" s="62">
        <v>0</v>
      </c>
      <c r="K193" s="62"/>
      <c r="L193" s="62"/>
      <c r="M193" s="62">
        <v>0</v>
      </c>
      <c r="N193" s="62">
        <v>0</v>
      </c>
      <c r="O193" s="62">
        <v>0</v>
      </c>
      <c r="P193" s="62">
        <v>0</v>
      </c>
      <c r="Q193" s="62">
        <v>0</v>
      </c>
      <c r="R193" s="62"/>
      <c r="S193" s="30"/>
      <c r="T193" s="156"/>
    </row>
    <row r="194" spans="1:68" hidden="1">
      <c r="A194" s="295">
        <f t="shared" si="19"/>
        <v>179</v>
      </c>
      <c r="B194" s="12">
        <f t="shared" si="20"/>
        <v>179</v>
      </c>
      <c r="C194" s="101" t="s">
        <v>162</v>
      </c>
      <c r="D194" s="101" t="s">
        <v>435</v>
      </c>
      <c r="E194" s="146">
        <f t="shared" si="18"/>
        <v>0</v>
      </c>
      <c r="F194" s="62">
        <v>0</v>
      </c>
      <c r="G194" s="62">
        <v>0</v>
      </c>
      <c r="H194" s="162">
        <v>0</v>
      </c>
      <c r="I194" s="62">
        <v>1321350.8500000001</v>
      </c>
      <c r="J194" s="62"/>
      <c r="K194" s="62"/>
      <c r="L194" s="62"/>
      <c r="M194" s="62">
        <v>0</v>
      </c>
      <c r="N194" s="62">
        <v>0</v>
      </c>
      <c r="O194" s="62">
        <v>0</v>
      </c>
      <c r="P194" s="62">
        <v>0</v>
      </c>
      <c r="Q194" s="62">
        <v>0</v>
      </c>
      <c r="R194" s="62"/>
      <c r="S194" s="30"/>
      <c r="T194" s="156"/>
    </row>
    <row r="195" spans="1:68" hidden="1">
      <c r="A195" s="295">
        <f t="shared" si="19"/>
        <v>180</v>
      </c>
      <c r="B195" s="12">
        <f t="shared" si="20"/>
        <v>180</v>
      </c>
      <c r="C195" s="101" t="s">
        <v>162</v>
      </c>
      <c r="D195" s="101" t="s">
        <v>437</v>
      </c>
      <c r="E195" s="146">
        <f t="shared" si="18"/>
        <v>0</v>
      </c>
      <c r="F195" s="62"/>
      <c r="G195" s="62">
        <v>0</v>
      </c>
      <c r="H195" s="162">
        <v>0</v>
      </c>
      <c r="I195" s="62">
        <v>0</v>
      </c>
      <c r="J195" s="62"/>
      <c r="K195" s="62"/>
      <c r="L195" s="62"/>
      <c r="M195" s="62">
        <v>0</v>
      </c>
      <c r="N195" s="62">
        <v>0</v>
      </c>
      <c r="O195" s="62">
        <v>0</v>
      </c>
      <c r="P195" s="62"/>
      <c r="Q195" s="62">
        <v>3253286.45</v>
      </c>
      <c r="R195" s="62"/>
      <c r="S195" s="30"/>
      <c r="T195" s="156"/>
    </row>
    <row r="196" spans="1:68" hidden="1">
      <c r="A196" s="295">
        <f t="shared" si="19"/>
        <v>181</v>
      </c>
      <c r="B196" s="12">
        <f t="shared" si="20"/>
        <v>181</v>
      </c>
      <c r="C196" s="101" t="s">
        <v>162</v>
      </c>
      <c r="D196" s="101" t="s">
        <v>438</v>
      </c>
      <c r="E196" s="146">
        <f t="shared" si="18"/>
        <v>0</v>
      </c>
      <c r="F196" s="62"/>
      <c r="G196" s="62"/>
      <c r="H196" s="162">
        <v>667653.5</v>
      </c>
      <c r="I196" s="62">
        <v>491754.09</v>
      </c>
      <c r="J196" s="62"/>
      <c r="K196" s="62"/>
      <c r="L196" s="62"/>
      <c r="M196" s="62">
        <v>0</v>
      </c>
      <c r="N196" s="62">
        <v>0</v>
      </c>
      <c r="O196" s="62">
        <v>0</v>
      </c>
      <c r="P196" s="62">
        <v>0</v>
      </c>
      <c r="Q196" s="62">
        <v>0</v>
      </c>
      <c r="R196" s="62"/>
      <c r="S196" s="30"/>
      <c r="T196" s="156"/>
    </row>
    <row r="197" spans="1:68" hidden="1">
      <c r="A197" s="295">
        <f t="shared" si="19"/>
        <v>182</v>
      </c>
      <c r="B197" s="12">
        <f t="shared" si="20"/>
        <v>182</v>
      </c>
      <c r="C197" s="101" t="s">
        <v>162</v>
      </c>
      <c r="D197" s="101" t="s">
        <v>439</v>
      </c>
      <c r="E197" s="146">
        <f t="shared" si="18"/>
        <v>0</v>
      </c>
      <c r="F197" s="62">
        <v>0</v>
      </c>
      <c r="G197" s="62">
        <v>0</v>
      </c>
      <c r="H197" s="162"/>
      <c r="I197" s="62">
        <v>1990765.32</v>
      </c>
      <c r="J197" s="62"/>
      <c r="K197" s="62"/>
      <c r="L197" s="62"/>
      <c r="M197" s="62">
        <v>0</v>
      </c>
      <c r="N197" s="62">
        <v>0</v>
      </c>
      <c r="O197" s="62">
        <v>0</v>
      </c>
      <c r="P197" s="62">
        <v>0</v>
      </c>
      <c r="Q197" s="62">
        <v>0</v>
      </c>
      <c r="R197" s="62"/>
      <c r="S197" s="30"/>
      <c r="T197" s="156"/>
    </row>
    <row r="198" spans="1:68" hidden="1">
      <c r="A198" s="295">
        <f t="shared" si="19"/>
        <v>183</v>
      </c>
      <c r="B198" s="12">
        <f t="shared" si="20"/>
        <v>183</v>
      </c>
      <c r="C198" s="101" t="s">
        <v>162</v>
      </c>
      <c r="D198" s="101" t="s">
        <v>442</v>
      </c>
      <c r="E198" s="146">
        <f t="shared" si="18"/>
        <v>0</v>
      </c>
      <c r="F198" s="62">
        <v>0</v>
      </c>
      <c r="G198" s="62">
        <v>0</v>
      </c>
      <c r="H198" s="162">
        <v>0</v>
      </c>
      <c r="I198" s="62">
        <v>0</v>
      </c>
      <c r="J198" s="62"/>
      <c r="K198" s="62"/>
      <c r="L198" s="62"/>
      <c r="M198" s="62">
        <v>0</v>
      </c>
      <c r="N198" s="62">
        <v>0</v>
      </c>
      <c r="O198" s="62">
        <v>0</v>
      </c>
      <c r="P198" s="62">
        <v>6113601.8799999999</v>
      </c>
      <c r="Q198" s="62"/>
      <c r="R198" s="62"/>
      <c r="S198" s="30"/>
      <c r="T198" s="156"/>
    </row>
    <row r="199" spans="1:68" hidden="1">
      <c r="A199" s="295">
        <f t="shared" si="19"/>
        <v>184</v>
      </c>
      <c r="B199" s="12">
        <f t="shared" si="20"/>
        <v>184</v>
      </c>
      <c r="C199" s="101" t="s">
        <v>162</v>
      </c>
      <c r="D199" s="101" t="s">
        <v>444</v>
      </c>
      <c r="E199" s="146">
        <f t="shared" si="18"/>
        <v>0</v>
      </c>
      <c r="F199" s="62">
        <v>4878537.09</v>
      </c>
      <c r="G199" s="62">
        <v>0</v>
      </c>
      <c r="H199" s="162">
        <v>0</v>
      </c>
      <c r="I199" s="62">
        <v>0</v>
      </c>
      <c r="J199" s="62"/>
      <c r="K199" s="62"/>
      <c r="L199" s="62"/>
      <c r="M199" s="62">
        <v>0</v>
      </c>
      <c r="N199" s="62">
        <v>0</v>
      </c>
      <c r="O199" s="62">
        <v>0</v>
      </c>
      <c r="P199" s="62">
        <v>5994057.4199999999</v>
      </c>
      <c r="Q199" s="62">
        <v>7172099.8799999999</v>
      </c>
      <c r="R199" s="62"/>
      <c r="S199" s="30"/>
      <c r="T199" s="156"/>
      <c r="U199"/>
      <c r="V199" s="297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</row>
    <row r="200" spans="1:68" hidden="1">
      <c r="A200" s="295">
        <f t="shared" si="19"/>
        <v>185</v>
      </c>
      <c r="B200" s="12">
        <f t="shared" si="20"/>
        <v>185</v>
      </c>
      <c r="C200" s="101" t="s">
        <v>162</v>
      </c>
      <c r="D200" s="101" t="s">
        <v>446</v>
      </c>
      <c r="E200" s="146">
        <f t="shared" si="18"/>
        <v>0</v>
      </c>
      <c r="F200" s="62">
        <v>0</v>
      </c>
      <c r="G200" s="62">
        <v>0</v>
      </c>
      <c r="H200" s="162">
        <v>1207654.75</v>
      </c>
      <c r="I200" s="62">
        <v>0</v>
      </c>
      <c r="J200" s="62">
        <v>0</v>
      </c>
      <c r="K200" s="62"/>
      <c r="L200" s="62"/>
      <c r="M200" s="62">
        <v>0</v>
      </c>
      <c r="N200" s="62">
        <v>0</v>
      </c>
      <c r="O200" s="62">
        <v>0</v>
      </c>
      <c r="P200" s="62">
        <v>0</v>
      </c>
      <c r="Q200" s="62">
        <v>0</v>
      </c>
      <c r="R200" s="62"/>
      <c r="S200" s="30"/>
      <c r="T200" s="156"/>
      <c r="U200"/>
      <c r="V200" s="297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</row>
    <row r="201" spans="1:68" hidden="1">
      <c r="A201" s="295">
        <f t="shared" si="19"/>
        <v>186</v>
      </c>
      <c r="B201" s="12">
        <f t="shared" si="20"/>
        <v>186</v>
      </c>
      <c r="C201" s="101" t="s">
        <v>185</v>
      </c>
      <c r="D201" s="101" t="s">
        <v>754</v>
      </c>
      <c r="E201" s="146">
        <f t="shared" si="18"/>
        <v>0</v>
      </c>
      <c r="F201" s="62"/>
      <c r="G201" s="62"/>
      <c r="H201" s="162"/>
      <c r="I201" s="62"/>
      <c r="J201" s="62"/>
      <c r="K201" s="62"/>
      <c r="L201" s="62"/>
      <c r="M201" s="62"/>
      <c r="N201" s="62">
        <v>4254086.16</v>
      </c>
      <c r="O201" s="62"/>
      <c r="P201" s="62"/>
      <c r="Q201" s="62"/>
      <c r="R201" s="62"/>
      <c r="S201" s="62"/>
      <c r="T201" s="62"/>
      <c r="U201"/>
      <c r="V201" s="297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</row>
    <row r="202" spans="1:68" hidden="1">
      <c r="A202" s="295">
        <f t="shared" si="19"/>
        <v>187</v>
      </c>
      <c r="B202" s="12">
        <f t="shared" si="20"/>
        <v>187</v>
      </c>
      <c r="C202" s="1" t="s">
        <v>755</v>
      </c>
      <c r="D202" s="101" t="s">
        <v>449</v>
      </c>
      <c r="E202" s="146">
        <f t="shared" si="18"/>
        <v>0</v>
      </c>
      <c r="F202" s="62"/>
      <c r="G202" s="62"/>
      <c r="H202" s="162"/>
      <c r="I202" s="62"/>
      <c r="J202" s="62"/>
      <c r="K202" s="62"/>
      <c r="L202" s="62"/>
      <c r="M202" s="62"/>
      <c r="N202" s="62">
        <v>194953.44</v>
      </c>
      <c r="O202" s="62"/>
      <c r="P202" s="62">
        <v>371104.53</v>
      </c>
      <c r="Q202" s="62"/>
      <c r="R202" s="62"/>
      <c r="S202" s="62"/>
      <c r="T202" s="62"/>
      <c r="U202"/>
      <c r="V202" s="297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</row>
    <row r="203" spans="1:68" hidden="1">
      <c r="A203" s="307">
        <f t="shared" si="19"/>
        <v>188</v>
      </c>
      <c r="B203" s="308">
        <f t="shared" si="20"/>
        <v>188</v>
      </c>
      <c r="C203" s="1" t="s">
        <v>755</v>
      </c>
      <c r="D203" s="205" t="s">
        <v>452</v>
      </c>
      <c r="E203" s="309">
        <f t="shared" si="18"/>
        <v>0</v>
      </c>
      <c r="F203" s="179"/>
      <c r="G203" s="179"/>
      <c r="H203" s="180"/>
      <c r="I203" s="179"/>
      <c r="J203" s="179"/>
      <c r="K203" s="179"/>
      <c r="L203" s="179"/>
      <c r="M203" s="179"/>
      <c r="N203" s="179">
        <v>5195058.41</v>
      </c>
      <c r="O203" s="179"/>
      <c r="P203" s="179">
        <v>5575703.8899999997</v>
      </c>
      <c r="Q203" s="179"/>
      <c r="R203" s="179"/>
      <c r="S203" s="179"/>
      <c r="T203" s="179"/>
      <c r="U203"/>
      <c r="V203" s="297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</row>
    <row r="204" spans="1:68" hidden="1">
      <c r="A204" s="310"/>
      <c r="B204" s="311"/>
      <c r="C204" s="122"/>
      <c r="D204" s="312">
        <v>2023</v>
      </c>
      <c r="E204" s="185">
        <f t="shared" ref="E204:T204" si="21">SUM(E205:E476)</f>
        <v>45892649.199999996</v>
      </c>
      <c r="F204" s="185">
        <f t="shared" si="21"/>
        <v>370237572.1219998</v>
      </c>
      <c r="G204" s="185">
        <f t="shared" si="21"/>
        <v>95469739.890000001</v>
      </c>
      <c r="H204" s="185">
        <f t="shared" si="21"/>
        <v>156384312.50000012</v>
      </c>
      <c r="I204" s="185">
        <f t="shared" si="21"/>
        <v>98009059.790000007</v>
      </c>
      <c r="J204" s="185">
        <f t="shared" si="21"/>
        <v>24461049.949999999</v>
      </c>
      <c r="K204" s="185">
        <f t="shared" si="21"/>
        <v>0</v>
      </c>
      <c r="L204" s="185">
        <f t="shared" si="21"/>
        <v>1515829.2</v>
      </c>
      <c r="M204" s="185">
        <f t="shared" si="21"/>
        <v>70747186.210000008</v>
      </c>
      <c r="N204" s="185">
        <f t="shared" si="21"/>
        <v>493044101.23502541</v>
      </c>
      <c r="O204" s="185">
        <f t="shared" si="21"/>
        <v>55019781.859999999</v>
      </c>
      <c r="P204" s="185">
        <f t="shared" si="21"/>
        <v>632269454.80999994</v>
      </c>
      <c r="Q204" s="185">
        <f t="shared" si="21"/>
        <v>326730280.55999988</v>
      </c>
      <c r="R204" s="185">
        <f t="shared" si="21"/>
        <v>26416260.585307494</v>
      </c>
      <c r="S204" s="185">
        <f t="shared" si="21"/>
        <v>1673742.3299999998</v>
      </c>
      <c r="T204" s="185">
        <f t="shared" si="21"/>
        <v>5275843.8632968841</v>
      </c>
      <c r="U204"/>
      <c r="V204" s="297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</row>
    <row r="205" spans="1:68" hidden="1">
      <c r="A205" s="295">
        <f>+A203+1</f>
        <v>189</v>
      </c>
      <c r="B205" s="12">
        <v>1</v>
      </c>
      <c r="C205" s="101" t="s">
        <v>171</v>
      </c>
      <c r="D205" s="12" t="s">
        <v>455</v>
      </c>
      <c r="E205" s="177">
        <f t="shared" ref="E205:E236" si="22">SUBTOTAL(9, F205:T205)</f>
        <v>0</v>
      </c>
      <c r="F205" s="30">
        <v>0</v>
      </c>
      <c r="G205" s="30">
        <v>0</v>
      </c>
      <c r="H205" s="30">
        <v>0</v>
      </c>
      <c r="I205" s="30">
        <v>0</v>
      </c>
      <c r="J205" s="30">
        <v>0</v>
      </c>
      <c r="K205" s="30"/>
      <c r="L205" s="30"/>
      <c r="M205" s="30">
        <v>0</v>
      </c>
      <c r="N205" s="30"/>
      <c r="O205" s="30">
        <v>5403128.5</v>
      </c>
      <c r="P205" s="30">
        <v>0</v>
      </c>
      <c r="Q205" s="30">
        <v>0</v>
      </c>
      <c r="R205" s="30"/>
      <c r="S205" s="30"/>
      <c r="T205" s="156"/>
      <c r="U205"/>
      <c r="V205" s="297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</row>
    <row r="206" spans="1:68" hidden="1">
      <c r="A206" s="295">
        <f t="shared" ref="A206:A237" si="23">+A205+1</f>
        <v>190</v>
      </c>
      <c r="B206" s="12">
        <f t="shared" ref="B206:B237" si="24">+B205+1</f>
        <v>2</v>
      </c>
      <c r="C206" s="101" t="s">
        <v>171</v>
      </c>
      <c r="D206" s="12" t="s">
        <v>456</v>
      </c>
      <c r="E206" s="177">
        <f t="shared" si="22"/>
        <v>0</v>
      </c>
      <c r="F206" s="30">
        <v>0</v>
      </c>
      <c r="G206" s="30">
        <v>0</v>
      </c>
      <c r="H206" s="30">
        <v>0</v>
      </c>
      <c r="I206" s="30">
        <v>0</v>
      </c>
      <c r="J206" s="30">
        <v>0</v>
      </c>
      <c r="K206" s="30"/>
      <c r="L206" s="30"/>
      <c r="M206" s="30">
        <v>0</v>
      </c>
      <c r="N206" s="30">
        <v>0</v>
      </c>
      <c r="O206" s="30">
        <v>5976346.29</v>
      </c>
      <c r="P206" s="30"/>
      <c r="Q206" s="30">
        <v>0</v>
      </c>
      <c r="R206" s="30"/>
      <c r="S206" s="30"/>
      <c r="T206" s="156"/>
      <c r="U206"/>
      <c r="V206" s="297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</row>
    <row r="207" spans="1:68" hidden="1">
      <c r="A207" s="295">
        <f t="shared" si="23"/>
        <v>191</v>
      </c>
      <c r="B207" s="12">
        <f t="shared" si="24"/>
        <v>3</v>
      </c>
      <c r="C207" s="101" t="s">
        <v>171</v>
      </c>
      <c r="D207" s="12" t="s">
        <v>179</v>
      </c>
      <c r="E207" s="146">
        <f t="shared" si="22"/>
        <v>0</v>
      </c>
      <c r="F207" s="30"/>
      <c r="G207" s="30"/>
      <c r="H207" s="30">
        <v>442092.5</v>
      </c>
      <c r="I207" s="30"/>
      <c r="J207" s="30">
        <v>0</v>
      </c>
      <c r="K207" s="30"/>
      <c r="L207" s="30"/>
      <c r="M207" s="30">
        <v>0</v>
      </c>
      <c r="N207" s="30"/>
      <c r="O207" s="62"/>
      <c r="P207" s="30"/>
      <c r="Q207" s="30"/>
      <c r="R207" s="30"/>
      <c r="S207" s="30"/>
      <c r="T207" s="156"/>
      <c r="U207"/>
      <c r="V207" s="29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</row>
    <row r="208" spans="1:68" hidden="1">
      <c r="A208" s="295">
        <f t="shared" si="23"/>
        <v>192</v>
      </c>
      <c r="B208" s="12">
        <f t="shared" si="24"/>
        <v>4</v>
      </c>
      <c r="C208" s="101" t="s">
        <v>90</v>
      </c>
      <c r="D208" s="12" t="s">
        <v>91</v>
      </c>
      <c r="E208" s="146">
        <f t="shared" si="22"/>
        <v>0</v>
      </c>
      <c r="F208" s="30"/>
      <c r="G208" s="30"/>
      <c r="H208" s="30">
        <v>3762253.56</v>
      </c>
      <c r="I208" s="30">
        <v>0</v>
      </c>
      <c r="J208" s="30">
        <v>0</v>
      </c>
      <c r="K208" s="30"/>
      <c r="L208" s="30"/>
      <c r="M208" s="30">
        <v>0</v>
      </c>
      <c r="N208" s="30">
        <v>0</v>
      </c>
      <c r="O208" s="30">
        <v>0</v>
      </c>
      <c r="P208" s="62"/>
      <c r="Q208" s="30"/>
      <c r="R208" s="30">
        <v>257737.82</v>
      </c>
      <c r="S208" s="30">
        <v>4000</v>
      </c>
      <c r="T208" s="156"/>
      <c r="U208"/>
      <c r="V208" s="297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</row>
    <row r="209" spans="1:68" hidden="1">
      <c r="A209" s="295">
        <f t="shared" si="23"/>
        <v>193</v>
      </c>
      <c r="B209" s="12">
        <f t="shared" si="24"/>
        <v>5</v>
      </c>
      <c r="C209" s="101" t="s">
        <v>90</v>
      </c>
      <c r="D209" s="12" t="s">
        <v>93</v>
      </c>
      <c r="E209" s="146">
        <f t="shared" si="22"/>
        <v>0</v>
      </c>
      <c r="F209" s="30"/>
      <c r="G209" s="30"/>
      <c r="H209" s="30">
        <v>3766305.47</v>
      </c>
      <c r="I209" s="30">
        <v>0</v>
      </c>
      <c r="J209" s="30">
        <v>0</v>
      </c>
      <c r="K209" s="30"/>
      <c r="L209" s="30"/>
      <c r="M209" s="30">
        <v>0</v>
      </c>
      <c r="N209" s="30">
        <v>0</v>
      </c>
      <c r="O209" s="30">
        <v>0</v>
      </c>
      <c r="P209" s="30">
        <v>17283832.800000001</v>
      </c>
      <c r="Q209" s="30"/>
      <c r="R209" s="30">
        <v>711799.9</v>
      </c>
      <c r="S209" s="30">
        <v>16000</v>
      </c>
      <c r="T209" s="156"/>
      <c r="U209"/>
      <c r="V209" s="297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</row>
    <row r="210" spans="1:68" hidden="1">
      <c r="A210" s="295">
        <f t="shared" si="23"/>
        <v>194</v>
      </c>
      <c r="B210" s="12">
        <f t="shared" si="24"/>
        <v>6</v>
      </c>
      <c r="C210" s="101" t="s">
        <v>90</v>
      </c>
      <c r="D210" s="12" t="s">
        <v>95</v>
      </c>
      <c r="E210" s="146">
        <f t="shared" si="22"/>
        <v>0</v>
      </c>
      <c r="F210" s="30"/>
      <c r="G210" s="188"/>
      <c r="H210" s="30">
        <v>2589897.61</v>
      </c>
      <c r="I210" s="188">
        <v>0</v>
      </c>
      <c r="J210" s="30">
        <v>0</v>
      </c>
      <c r="K210" s="30"/>
      <c r="L210" s="30"/>
      <c r="M210" s="30">
        <v>0</v>
      </c>
      <c r="N210" s="188">
        <v>0</v>
      </c>
      <c r="O210" s="188">
        <v>0</v>
      </c>
      <c r="P210" s="30">
        <v>12127268.4</v>
      </c>
      <c r="Q210" s="30"/>
      <c r="R210" s="30">
        <v>594524.39</v>
      </c>
      <c r="S210" s="30">
        <v>14000</v>
      </c>
      <c r="T210" s="156"/>
      <c r="U210"/>
      <c r="V210" s="297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</row>
    <row r="211" spans="1:68" hidden="1">
      <c r="A211" s="295">
        <f t="shared" si="23"/>
        <v>195</v>
      </c>
      <c r="B211" s="12">
        <f t="shared" si="24"/>
        <v>7</v>
      </c>
      <c r="C211" s="101" t="s">
        <v>106</v>
      </c>
      <c r="D211" s="12" t="s">
        <v>193</v>
      </c>
      <c r="E211" s="146">
        <f t="shared" si="22"/>
        <v>0</v>
      </c>
      <c r="F211" s="30">
        <v>0</v>
      </c>
      <c r="G211" s="30">
        <v>0</v>
      </c>
      <c r="H211" s="30">
        <v>1953253.18</v>
      </c>
      <c r="I211" s="30">
        <v>1982667.17</v>
      </c>
      <c r="J211" s="30">
        <v>0</v>
      </c>
      <c r="K211" s="30"/>
      <c r="L211" s="30"/>
      <c r="M211" s="30">
        <v>0</v>
      </c>
      <c r="N211" s="30">
        <v>0</v>
      </c>
      <c r="O211" s="30">
        <v>6881364.6500000004</v>
      </c>
      <c r="P211" s="30"/>
      <c r="Q211" s="30"/>
      <c r="R211" s="30"/>
      <c r="S211" s="30"/>
      <c r="T211" s="156">
        <f>32043.58+17915.35</f>
        <v>49958.93</v>
      </c>
      <c r="U211"/>
      <c r="V211" s="297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</row>
    <row r="212" spans="1:68" hidden="1">
      <c r="A212" s="295">
        <f t="shared" si="23"/>
        <v>196</v>
      </c>
      <c r="B212" s="12">
        <f t="shared" si="24"/>
        <v>8</v>
      </c>
      <c r="C212" s="101" t="s">
        <v>114</v>
      </c>
      <c r="D212" s="12" t="s">
        <v>464</v>
      </c>
      <c r="E212" s="177">
        <f t="shared" si="22"/>
        <v>0</v>
      </c>
      <c r="F212" s="30">
        <v>6547103.7400000002</v>
      </c>
      <c r="G212" s="30">
        <v>0</v>
      </c>
      <c r="H212" s="30"/>
      <c r="I212" s="30">
        <v>0</v>
      </c>
      <c r="J212" s="30">
        <v>0</v>
      </c>
      <c r="K212" s="30"/>
      <c r="L212" s="30"/>
      <c r="M212" s="30">
        <v>0</v>
      </c>
      <c r="N212" s="30">
        <v>0</v>
      </c>
      <c r="O212" s="30">
        <v>0</v>
      </c>
      <c r="P212" s="30">
        <v>0</v>
      </c>
      <c r="Q212" s="30">
        <v>0</v>
      </c>
      <c r="R212" s="30"/>
      <c r="S212" s="30"/>
      <c r="T212" s="156">
        <v>104840.7</v>
      </c>
      <c r="U212"/>
      <c r="V212" s="297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</row>
    <row r="213" spans="1:68" hidden="1">
      <c r="A213" s="295">
        <f t="shared" si="23"/>
        <v>197</v>
      </c>
      <c r="B213" s="12">
        <f t="shared" si="24"/>
        <v>9</v>
      </c>
      <c r="C213" s="101" t="s">
        <v>114</v>
      </c>
      <c r="D213" s="12" t="s">
        <v>128</v>
      </c>
      <c r="E213" s="177">
        <f t="shared" si="22"/>
        <v>0</v>
      </c>
      <c r="F213" s="30"/>
      <c r="G213" s="30"/>
      <c r="H213" s="30">
        <v>0</v>
      </c>
      <c r="I213" s="30"/>
      <c r="J213" s="30">
        <v>0</v>
      </c>
      <c r="K213" s="30"/>
      <c r="L213" s="30"/>
      <c r="M213" s="30">
        <v>0</v>
      </c>
      <c r="N213" s="30">
        <v>0</v>
      </c>
      <c r="O213" s="30"/>
      <c r="P213" s="30">
        <v>4078338.76</v>
      </c>
      <c r="Q213" s="30">
        <v>0</v>
      </c>
      <c r="R213" s="30"/>
      <c r="S213" s="30"/>
      <c r="T213" s="156">
        <v>37009.660000000003</v>
      </c>
      <c r="U213"/>
      <c r="V213" s="297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</row>
    <row r="214" spans="1:68" hidden="1">
      <c r="A214" s="295">
        <f t="shared" si="23"/>
        <v>198</v>
      </c>
      <c r="B214" s="12">
        <f t="shared" si="24"/>
        <v>10</v>
      </c>
      <c r="C214" s="101" t="s">
        <v>114</v>
      </c>
      <c r="D214" s="12" t="s">
        <v>468</v>
      </c>
      <c r="E214" s="177">
        <f t="shared" si="22"/>
        <v>0</v>
      </c>
      <c r="F214" s="30">
        <v>1431154.42</v>
      </c>
      <c r="G214" s="30">
        <v>676787.87</v>
      </c>
      <c r="H214" s="30"/>
      <c r="I214" s="30">
        <v>524666.75</v>
      </c>
      <c r="J214" s="30">
        <v>0</v>
      </c>
      <c r="K214" s="30"/>
      <c r="L214" s="30"/>
      <c r="M214" s="30">
        <v>0</v>
      </c>
      <c r="N214" s="30">
        <v>2019838.52</v>
      </c>
      <c r="O214" s="30">
        <v>0</v>
      </c>
      <c r="P214" s="30">
        <v>0</v>
      </c>
      <c r="Q214" s="30">
        <v>0</v>
      </c>
      <c r="R214" s="30"/>
      <c r="S214" s="30"/>
      <c r="T214" s="156"/>
      <c r="U214"/>
      <c r="V214" s="297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</row>
    <row r="215" spans="1:68" hidden="1">
      <c r="A215" s="295">
        <f t="shared" si="23"/>
        <v>199</v>
      </c>
      <c r="B215" s="12">
        <f t="shared" si="24"/>
        <v>11</v>
      </c>
      <c r="C215" s="101" t="s">
        <v>114</v>
      </c>
      <c r="D215" s="12" t="s">
        <v>132</v>
      </c>
      <c r="E215" s="146">
        <f t="shared" si="22"/>
        <v>0</v>
      </c>
      <c r="F215" s="30">
        <v>1440738</v>
      </c>
      <c r="G215" s="30"/>
      <c r="H215" s="30"/>
      <c r="I215" s="30">
        <v>0</v>
      </c>
      <c r="J215" s="30">
        <v>0</v>
      </c>
      <c r="K215" s="30"/>
      <c r="L215" s="30"/>
      <c r="M215" s="30"/>
      <c r="N215" s="30"/>
      <c r="O215" s="30">
        <v>0</v>
      </c>
      <c r="P215" s="30">
        <v>0</v>
      </c>
      <c r="Q215" s="30">
        <v>0</v>
      </c>
      <c r="R215" s="30"/>
      <c r="S215" s="30"/>
      <c r="T215" s="156">
        <v>32086.81</v>
      </c>
      <c r="U215"/>
      <c r="V215" s="297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</row>
    <row r="216" spans="1:68" hidden="1">
      <c r="A216" s="295">
        <f t="shared" si="23"/>
        <v>200</v>
      </c>
      <c r="B216" s="12">
        <f t="shared" si="24"/>
        <v>12</v>
      </c>
      <c r="C216" s="101" t="s">
        <v>114</v>
      </c>
      <c r="D216" s="12" t="s">
        <v>469</v>
      </c>
      <c r="E216" s="146">
        <f t="shared" si="22"/>
        <v>0</v>
      </c>
      <c r="F216" s="30"/>
      <c r="G216" s="30">
        <v>598205.16</v>
      </c>
      <c r="H216" s="30">
        <v>0</v>
      </c>
      <c r="I216" s="30">
        <v>649302.38</v>
      </c>
      <c r="J216" s="30">
        <v>0</v>
      </c>
      <c r="K216" s="30"/>
      <c r="L216" s="30"/>
      <c r="M216" s="30">
        <v>0</v>
      </c>
      <c r="N216" s="30">
        <v>0</v>
      </c>
      <c r="O216" s="30">
        <v>0</v>
      </c>
      <c r="P216" s="30">
        <v>0</v>
      </c>
      <c r="Q216" s="30">
        <v>0</v>
      </c>
      <c r="R216" s="30"/>
      <c r="S216" s="30"/>
      <c r="T216" s="156">
        <v>17495.349999999999</v>
      </c>
      <c r="U216"/>
      <c r="V216" s="297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</row>
    <row r="217" spans="1:68" hidden="1">
      <c r="A217" s="295">
        <f t="shared" si="23"/>
        <v>201</v>
      </c>
      <c r="B217" s="12">
        <f t="shared" si="24"/>
        <v>13</v>
      </c>
      <c r="C217" s="101" t="s">
        <v>114</v>
      </c>
      <c r="D217" s="12" t="s">
        <v>151</v>
      </c>
      <c r="E217" s="146">
        <f t="shared" si="22"/>
        <v>0</v>
      </c>
      <c r="F217" s="30">
        <v>2785412.36</v>
      </c>
      <c r="G217" s="30"/>
      <c r="H217" s="30"/>
      <c r="I217" s="30">
        <v>1797583.57</v>
      </c>
      <c r="J217" s="30">
        <v>0</v>
      </c>
      <c r="K217" s="30"/>
      <c r="L217" s="30"/>
      <c r="M217" s="30">
        <v>0</v>
      </c>
      <c r="N217" s="30">
        <v>0</v>
      </c>
      <c r="O217" s="30">
        <v>0</v>
      </c>
      <c r="P217" s="30">
        <v>0</v>
      </c>
      <c r="Q217" s="30">
        <v>0</v>
      </c>
      <c r="R217" s="30"/>
      <c r="S217" s="30"/>
      <c r="T217" s="156">
        <f>47685.81+26604.35</f>
        <v>74290.16</v>
      </c>
      <c r="U217"/>
      <c r="V217" s="29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</row>
    <row r="218" spans="1:68" hidden="1">
      <c r="A218" s="295">
        <f t="shared" si="23"/>
        <v>202</v>
      </c>
      <c r="B218" s="12">
        <f t="shared" si="24"/>
        <v>14</v>
      </c>
      <c r="C218" s="101" t="s">
        <v>114</v>
      </c>
      <c r="D218" s="12" t="s">
        <v>158</v>
      </c>
      <c r="E218" s="146">
        <f t="shared" si="22"/>
        <v>0</v>
      </c>
      <c r="F218" s="30"/>
      <c r="G218" s="30">
        <v>0</v>
      </c>
      <c r="H218" s="30">
        <v>0</v>
      </c>
      <c r="I218" s="30">
        <v>998067.65</v>
      </c>
      <c r="J218" s="30">
        <v>0</v>
      </c>
      <c r="K218" s="30"/>
      <c r="L218" s="30"/>
      <c r="M218" s="30">
        <v>0</v>
      </c>
      <c r="N218" s="30">
        <v>0</v>
      </c>
      <c r="O218" s="30"/>
      <c r="P218" s="30">
        <v>0</v>
      </c>
      <c r="Q218" s="30">
        <v>0</v>
      </c>
      <c r="R218" s="30"/>
      <c r="S218" s="30"/>
      <c r="T218" s="156"/>
      <c r="U218"/>
      <c r="V218" s="297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</row>
    <row r="219" spans="1:68" hidden="1">
      <c r="A219" s="295">
        <f t="shared" si="23"/>
        <v>203</v>
      </c>
      <c r="B219" s="12">
        <f t="shared" si="24"/>
        <v>15</v>
      </c>
      <c r="C219" s="101" t="s">
        <v>114</v>
      </c>
      <c r="D219" s="12" t="s">
        <v>176</v>
      </c>
      <c r="E219" s="146">
        <f t="shared" si="22"/>
        <v>0</v>
      </c>
      <c r="F219" s="30">
        <v>0</v>
      </c>
      <c r="G219" s="30">
        <v>0</v>
      </c>
      <c r="H219" s="30">
        <v>0</v>
      </c>
      <c r="I219" s="30">
        <v>0</v>
      </c>
      <c r="J219" s="30">
        <v>0</v>
      </c>
      <c r="K219" s="30"/>
      <c r="L219" s="30"/>
      <c r="M219" s="30">
        <v>0</v>
      </c>
      <c r="N219" s="30">
        <v>8234860.9800000004</v>
      </c>
      <c r="O219" s="30">
        <v>0</v>
      </c>
      <c r="P219" s="30"/>
      <c r="Q219" s="30">
        <v>0</v>
      </c>
      <c r="R219" s="30"/>
      <c r="S219" s="30"/>
      <c r="T219" s="156"/>
      <c r="U219"/>
      <c r="V219" s="297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</row>
    <row r="220" spans="1:68" hidden="1">
      <c r="A220" s="295">
        <f t="shared" si="23"/>
        <v>204</v>
      </c>
      <c r="B220" s="12">
        <f t="shared" si="24"/>
        <v>16</v>
      </c>
      <c r="C220" s="101" t="s">
        <v>114</v>
      </c>
      <c r="D220" s="12" t="s">
        <v>321</v>
      </c>
      <c r="E220" s="177">
        <f t="shared" si="22"/>
        <v>0</v>
      </c>
      <c r="F220" s="30"/>
      <c r="G220" s="30">
        <v>0</v>
      </c>
      <c r="H220" s="30">
        <v>0</v>
      </c>
      <c r="I220" s="30"/>
      <c r="J220" s="30">
        <v>0</v>
      </c>
      <c r="K220" s="30"/>
      <c r="M220" s="30">
        <v>0</v>
      </c>
      <c r="N220" s="30">
        <v>8726659.4299999997</v>
      </c>
      <c r="O220" s="30"/>
      <c r="P220" s="30">
        <v>0</v>
      </c>
      <c r="Q220" s="30">
        <v>0</v>
      </c>
      <c r="R220" s="30"/>
      <c r="S220" s="30"/>
      <c r="T220" s="156"/>
      <c r="U220"/>
      <c r="V220" s="297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</row>
    <row r="221" spans="1:68" hidden="1">
      <c r="A221" s="295">
        <f t="shared" si="23"/>
        <v>205</v>
      </c>
      <c r="B221" s="12">
        <f t="shared" si="24"/>
        <v>17</v>
      </c>
      <c r="C221" s="101" t="s">
        <v>114</v>
      </c>
      <c r="D221" s="12" t="s">
        <v>473</v>
      </c>
      <c r="E221" s="146">
        <f t="shared" si="22"/>
        <v>0</v>
      </c>
      <c r="F221" s="30">
        <v>5599179.5899999999</v>
      </c>
      <c r="G221" s="30">
        <v>4577737.76</v>
      </c>
      <c r="H221" s="30">
        <v>0</v>
      </c>
      <c r="I221" s="30">
        <v>0</v>
      </c>
      <c r="J221" s="30">
        <v>0</v>
      </c>
      <c r="K221" s="30"/>
      <c r="L221" s="30"/>
      <c r="M221" s="30">
        <v>0</v>
      </c>
      <c r="N221" s="30">
        <v>7920633.25</v>
      </c>
      <c r="O221" s="30">
        <v>6914976.7999999998</v>
      </c>
      <c r="P221" s="30">
        <v>0</v>
      </c>
      <c r="Q221" s="30">
        <v>0</v>
      </c>
      <c r="R221" s="30"/>
      <c r="S221" s="30"/>
      <c r="T221" s="156"/>
      <c r="U221"/>
      <c r="V221" s="297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</row>
    <row r="222" spans="1:68" hidden="1">
      <c r="A222" s="295">
        <f t="shared" si="23"/>
        <v>206</v>
      </c>
      <c r="B222" s="12">
        <f t="shared" si="24"/>
        <v>18</v>
      </c>
      <c r="C222" s="101" t="s">
        <v>114</v>
      </c>
      <c r="D222" s="12" t="s">
        <v>323</v>
      </c>
      <c r="E222" s="146">
        <f t="shared" si="22"/>
        <v>0</v>
      </c>
      <c r="F222" s="30">
        <v>0</v>
      </c>
      <c r="G222" s="30">
        <v>0</v>
      </c>
      <c r="H222" s="30"/>
      <c r="I222" s="30">
        <v>0</v>
      </c>
      <c r="J222" s="30">
        <v>0</v>
      </c>
      <c r="K222" s="30"/>
      <c r="L222" s="30"/>
      <c r="M222" s="30">
        <v>0</v>
      </c>
      <c r="N222" s="30">
        <v>0</v>
      </c>
      <c r="O222" s="30">
        <v>4285501.51</v>
      </c>
      <c r="P222" s="30">
        <v>0</v>
      </c>
      <c r="Q222" s="30">
        <v>0</v>
      </c>
      <c r="R222" s="30"/>
      <c r="S222" s="30"/>
      <c r="T222" s="156">
        <v>36272.839999999997</v>
      </c>
      <c r="U222"/>
      <c r="V222" s="297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</row>
    <row r="223" spans="1:68" hidden="1">
      <c r="A223" s="295">
        <f t="shared" si="23"/>
        <v>207</v>
      </c>
      <c r="B223" s="12">
        <f t="shared" si="24"/>
        <v>19</v>
      </c>
      <c r="C223" s="101" t="s">
        <v>114</v>
      </c>
      <c r="D223" s="12" t="s">
        <v>326</v>
      </c>
      <c r="E223" s="146">
        <f t="shared" si="22"/>
        <v>0</v>
      </c>
      <c r="F223" s="30">
        <v>6213317.0199999996</v>
      </c>
      <c r="G223" s="30">
        <v>0</v>
      </c>
      <c r="H223" s="30"/>
      <c r="I223" s="30">
        <v>3638994.06</v>
      </c>
      <c r="J223" s="30">
        <v>0</v>
      </c>
      <c r="K223" s="30"/>
      <c r="L223" s="30"/>
      <c r="M223" s="30">
        <v>0</v>
      </c>
      <c r="N223" s="30">
        <v>0</v>
      </c>
      <c r="O223" s="30">
        <v>0</v>
      </c>
      <c r="P223" s="30">
        <v>0</v>
      </c>
      <c r="Q223" s="30">
        <v>0</v>
      </c>
      <c r="R223" s="30"/>
      <c r="S223" s="30"/>
      <c r="T223" s="156"/>
      <c r="U223"/>
      <c r="V223" s="297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</row>
    <row r="224" spans="1:68" hidden="1">
      <c r="A224" s="295">
        <f t="shared" si="23"/>
        <v>208</v>
      </c>
      <c r="B224" s="12">
        <f t="shared" si="24"/>
        <v>20</v>
      </c>
      <c r="C224" s="101" t="s">
        <v>114</v>
      </c>
      <c r="D224" s="12" t="s">
        <v>330</v>
      </c>
      <c r="E224" s="146">
        <f t="shared" si="22"/>
        <v>0</v>
      </c>
      <c r="F224" s="30">
        <v>6214077.5499999998</v>
      </c>
      <c r="G224" s="30">
        <v>0</v>
      </c>
      <c r="H224" s="30"/>
      <c r="I224" s="30">
        <v>3534919.74</v>
      </c>
      <c r="J224" s="30">
        <v>0</v>
      </c>
      <c r="K224" s="30"/>
      <c r="L224" s="30"/>
      <c r="M224" s="30">
        <v>0</v>
      </c>
      <c r="N224" s="30">
        <v>0</v>
      </c>
      <c r="O224" s="30">
        <v>0</v>
      </c>
      <c r="P224" s="30">
        <v>0</v>
      </c>
      <c r="Q224" s="30">
        <v>0</v>
      </c>
      <c r="R224" s="30"/>
      <c r="S224" s="30"/>
      <c r="T224" s="156"/>
      <c r="U224"/>
      <c r="V224" s="297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</row>
    <row r="225" spans="1:68" hidden="1">
      <c r="A225" s="295">
        <f t="shared" si="23"/>
        <v>209</v>
      </c>
      <c r="B225" s="12">
        <f t="shared" si="24"/>
        <v>21</v>
      </c>
      <c r="C225" s="101" t="s">
        <v>114</v>
      </c>
      <c r="D225" s="12" t="s">
        <v>332</v>
      </c>
      <c r="E225" s="146">
        <f t="shared" si="22"/>
        <v>0</v>
      </c>
      <c r="F225" s="30">
        <v>6221126</v>
      </c>
      <c r="G225" s="30">
        <v>0</v>
      </c>
      <c r="H225" s="30"/>
      <c r="I225" s="30">
        <v>3521431.66</v>
      </c>
      <c r="J225" s="30">
        <v>0</v>
      </c>
      <c r="K225" s="30"/>
      <c r="L225" s="30"/>
      <c r="M225" s="30">
        <v>0</v>
      </c>
      <c r="N225" s="30">
        <v>0</v>
      </c>
      <c r="O225" s="30">
        <v>0</v>
      </c>
      <c r="P225" s="30">
        <v>0</v>
      </c>
      <c r="Q225" s="30">
        <v>0</v>
      </c>
      <c r="R225" s="30"/>
      <c r="S225" s="30"/>
      <c r="T225" s="156"/>
      <c r="U225"/>
      <c r="V225" s="297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</row>
    <row r="226" spans="1:68" hidden="1">
      <c r="A226" s="295">
        <f t="shared" si="23"/>
        <v>210</v>
      </c>
      <c r="B226" s="12">
        <f t="shared" si="24"/>
        <v>22</v>
      </c>
      <c r="C226" s="101" t="s">
        <v>114</v>
      </c>
      <c r="D226" s="12" t="s">
        <v>477</v>
      </c>
      <c r="E226" s="177">
        <f t="shared" si="22"/>
        <v>0</v>
      </c>
      <c r="F226" s="30">
        <v>0</v>
      </c>
      <c r="G226" s="30">
        <v>0</v>
      </c>
      <c r="H226" s="30">
        <v>0</v>
      </c>
      <c r="I226" s="30">
        <v>0</v>
      </c>
      <c r="J226" s="30">
        <v>0</v>
      </c>
      <c r="K226" s="30"/>
      <c r="L226" s="30"/>
      <c r="M226" s="30">
        <v>0</v>
      </c>
      <c r="N226" s="30">
        <v>0</v>
      </c>
      <c r="O226" s="30">
        <v>0</v>
      </c>
      <c r="P226" s="30">
        <v>9867857.1400000006</v>
      </c>
      <c r="Q226" s="30">
        <v>0</v>
      </c>
      <c r="R226" s="30">
        <v>102965.05</v>
      </c>
      <c r="S226" s="30">
        <v>24000</v>
      </c>
      <c r="T226" s="156"/>
      <c r="U226"/>
      <c r="V226" s="297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</row>
    <row r="227" spans="1:68" hidden="1">
      <c r="A227" s="295">
        <f t="shared" si="23"/>
        <v>211</v>
      </c>
      <c r="B227" s="12">
        <f t="shared" si="24"/>
        <v>23</v>
      </c>
      <c r="C227" s="101" t="s">
        <v>114</v>
      </c>
      <c r="D227" s="12" t="s">
        <v>478</v>
      </c>
      <c r="E227" s="177">
        <f t="shared" si="22"/>
        <v>0</v>
      </c>
      <c r="F227" s="30"/>
      <c r="G227" s="30">
        <v>2639754.41</v>
      </c>
      <c r="H227" s="30">
        <v>0</v>
      </c>
      <c r="I227" s="30">
        <v>1374155.36</v>
      </c>
      <c r="J227" s="30">
        <v>0</v>
      </c>
      <c r="K227" s="30"/>
      <c r="L227" s="30"/>
      <c r="M227" s="30">
        <v>0</v>
      </c>
      <c r="N227" s="30">
        <v>0</v>
      </c>
      <c r="O227" s="30">
        <v>0</v>
      </c>
      <c r="P227" s="30">
        <v>0</v>
      </c>
      <c r="Q227" s="30">
        <v>0</v>
      </c>
      <c r="R227" s="30"/>
      <c r="S227" s="30"/>
      <c r="T227" s="156"/>
      <c r="U227"/>
      <c r="V227" s="29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</row>
    <row r="228" spans="1:68" hidden="1">
      <c r="A228" s="295">
        <f t="shared" si="23"/>
        <v>212</v>
      </c>
      <c r="B228" s="12">
        <f t="shared" si="24"/>
        <v>24</v>
      </c>
      <c r="C228" s="101" t="s">
        <v>114</v>
      </c>
      <c r="D228" s="12" t="s">
        <v>342</v>
      </c>
      <c r="E228" s="146">
        <f t="shared" si="22"/>
        <v>0</v>
      </c>
      <c r="F228" s="30">
        <v>0</v>
      </c>
      <c r="G228" s="30">
        <v>0</v>
      </c>
      <c r="H228" s="30"/>
      <c r="I228" s="30">
        <v>1740087.49</v>
      </c>
      <c r="J228" s="30">
        <v>0</v>
      </c>
      <c r="K228" s="30"/>
      <c r="L228" s="30"/>
      <c r="M228" s="30">
        <v>0</v>
      </c>
      <c r="N228" s="30">
        <v>0</v>
      </c>
      <c r="O228" s="30">
        <v>0</v>
      </c>
      <c r="P228" s="30">
        <v>0</v>
      </c>
      <c r="Q228" s="30">
        <v>0</v>
      </c>
      <c r="R228" s="30">
        <v>93622.89</v>
      </c>
      <c r="S228" s="30">
        <v>16996</v>
      </c>
      <c r="T228" s="156"/>
      <c r="U228"/>
      <c r="V228" s="297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</row>
    <row r="229" spans="1:68" hidden="1">
      <c r="A229" s="295">
        <f t="shared" si="23"/>
        <v>213</v>
      </c>
      <c r="B229" s="12">
        <f t="shared" si="24"/>
        <v>25</v>
      </c>
      <c r="C229" s="101" t="s">
        <v>185</v>
      </c>
      <c r="D229" s="12" t="s">
        <v>480</v>
      </c>
      <c r="E229" s="146">
        <f t="shared" si="22"/>
        <v>0</v>
      </c>
      <c r="F229" s="30">
        <v>0</v>
      </c>
      <c r="G229" s="30">
        <v>0</v>
      </c>
      <c r="H229" s="30">
        <v>0</v>
      </c>
      <c r="I229" s="30">
        <v>0</v>
      </c>
      <c r="J229" s="30">
        <v>0</v>
      </c>
      <c r="K229" s="30"/>
      <c r="L229" s="30"/>
      <c r="M229" s="30">
        <v>0</v>
      </c>
      <c r="N229" s="30">
        <v>4650900</v>
      </c>
      <c r="O229" s="30">
        <v>0</v>
      </c>
      <c r="P229" s="30">
        <v>0</v>
      </c>
      <c r="Q229" s="30">
        <v>0</v>
      </c>
      <c r="R229" s="30">
        <v>101648.88</v>
      </c>
      <c r="S229" s="30">
        <v>24000</v>
      </c>
      <c r="T229" s="156"/>
      <c r="U229"/>
      <c r="V229" s="297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</row>
    <row r="230" spans="1:68" hidden="1">
      <c r="A230" s="295">
        <f t="shared" si="23"/>
        <v>214</v>
      </c>
      <c r="B230" s="12">
        <f t="shared" si="24"/>
        <v>26</v>
      </c>
      <c r="C230" s="101" t="s">
        <v>185</v>
      </c>
      <c r="D230" s="12" t="s">
        <v>189</v>
      </c>
      <c r="E230" s="146">
        <f t="shared" si="22"/>
        <v>0</v>
      </c>
      <c r="F230" s="30"/>
      <c r="G230" s="30">
        <v>0</v>
      </c>
      <c r="H230" s="30"/>
      <c r="I230" s="30">
        <v>1320750.78</v>
      </c>
      <c r="J230" s="30">
        <v>0</v>
      </c>
      <c r="K230" s="30"/>
      <c r="L230" s="30"/>
      <c r="M230" s="30">
        <v>0</v>
      </c>
      <c r="N230" s="30"/>
      <c r="O230" s="30">
        <v>0</v>
      </c>
      <c r="P230" s="30">
        <v>0</v>
      </c>
      <c r="Q230" s="30">
        <v>0</v>
      </c>
      <c r="R230" s="30">
        <v>20056.46</v>
      </c>
      <c r="S230" s="30">
        <v>6000</v>
      </c>
      <c r="T230" s="156"/>
      <c r="U230"/>
      <c r="V230" s="297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</row>
    <row r="231" spans="1:68" hidden="1">
      <c r="A231" s="295">
        <f t="shared" si="23"/>
        <v>215</v>
      </c>
      <c r="B231" s="12">
        <f t="shared" si="24"/>
        <v>27</v>
      </c>
      <c r="C231" s="101" t="s">
        <v>185</v>
      </c>
      <c r="D231" s="12" t="s">
        <v>481</v>
      </c>
      <c r="E231" s="177">
        <f t="shared" si="22"/>
        <v>0</v>
      </c>
      <c r="F231" s="30">
        <v>0</v>
      </c>
      <c r="G231" s="30">
        <v>0</v>
      </c>
      <c r="H231" s="30">
        <v>0</v>
      </c>
      <c r="I231" s="30">
        <v>0</v>
      </c>
      <c r="J231" s="30">
        <v>0</v>
      </c>
      <c r="K231" s="30"/>
      <c r="L231" s="30"/>
      <c r="M231" s="30">
        <v>0</v>
      </c>
      <c r="N231" s="30">
        <v>3602673.51</v>
      </c>
      <c r="O231" s="30">
        <v>0</v>
      </c>
      <c r="P231" s="30">
        <v>0</v>
      </c>
      <c r="Q231" s="30">
        <v>0</v>
      </c>
      <c r="R231" s="30">
        <v>85155.99</v>
      </c>
      <c r="S231" s="30">
        <v>24000</v>
      </c>
      <c r="T231" s="156"/>
      <c r="U231"/>
      <c r="V231" s="297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</row>
    <row r="232" spans="1:68" hidden="1">
      <c r="A232" s="295">
        <f t="shared" si="23"/>
        <v>216</v>
      </c>
      <c r="B232" s="12">
        <f t="shared" si="24"/>
        <v>28</v>
      </c>
      <c r="C232" s="101" t="s">
        <v>185</v>
      </c>
      <c r="D232" s="12" t="s">
        <v>483</v>
      </c>
      <c r="E232" s="177">
        <f t="shared" si="22"/>
        <v>0</v>
      </c>
      <c r="F232" s="30"/>
      <c r="G232" s="30">
        <v>0</v>
      </c>
      <c r="H232" s="30">
        <v>522174.08</v>
      </c>
      <c r="I232" s="30"/>
      <c r="J232" s="30"/>
      <c r="K232" s="30"/>
      <c r="L232" s="30"/>
      <c r="M232" s="30">
        <v>0</v>
      </c>
      <c r="N232" s="30">
        <v>0</v>
      </c>
      <c r="O232" s="30">
        <v>0</v>
      </c>
      <c r="P232" s="30">
        <v>0</v>
      </c>
      <c r="Q232" s="30">
        <v>0</v>
      </c>
      <c r="R232" s="30"/>
      <c r="S232" s="30"/>
      <c r="T232" s="156"/>
      <c r="U232"/>
      <c r="V232" s="297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</row>
    <row r="233" spans="1:68" hidden="1">
      <c r="A233" s="295">
        <f t="shared" si="23"/>
        <v>217</v>
      </c>
      <c r="B233" s="12">
        <f t="shared" si="24"/>
        <v>29</v>
      </c>
      <c r="C233" s="101" t="s">
        <v>185</v>
      </c>
      <c r="D233" s="12" t="s">
        <v>488</v>
      </c>
      <c r="E233" s="177">
        <f t="shared" si="22"/>
        <v>0</v>
      </c>
      <c r="F233" s="30"/>
      <c r="G233" s="30">
        <v>0</v>
      </c>
      <c r="H233" s="30">
        <v>525018.30000000005</v>
      </c>
      <c r="I233" s="30"/>
      <c r="J233" s="30"/>
      <c r="K233" s="30"/>
      <c r="L233" s="30"/>
      <c r="M233" s="30">
        <v>0</v>
      </c>
      <c r="N233" s="30">
        <v>0</v>
      </c>
      <c r="O233" s="30">
        <v>0</v>
      </c>
      <c r="P233" s="30">
        <v>0</v>
      </c>
      <c r="Q233" s="30">
        <v>0</v>
      </c>
      <c r="R233" s="30"/>
      <c r="S233" s="30"/>
      <c r="T233" s="156"/>
      <c r="U233"/>
      <c r="V233" s="297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</row>
    <row r="234" spans="1:68" hidden="1">
      <c r="A234" s="295">
        <f t="shared" si="23"/>
        <v>218</v>
      </c>
      <c r="B234" s="12">
        <f t="shared" si="24"/>
        <v>30</v>
      </c>
      <c r="C234" s="101" t="s">
        <v>185</v>
      </c>
      <c r="D234" s="12" t="s">
        <v>490</v>
      </c>
      <c r="E234" s="177">
        <f t="shared" si="22"/>
        <v>0</v>
      </c>
      <c r="F234" s="30"/>
      <c r="G234" s="30"/>
      <c r="H234" s="30">
        <v>530931.97</v>
      </c>
      <c r="I234" s="30">
        <v>0</v>
      </c>
      <c r="J234" s="30">
        <v>0</v>
      </c>
      <c r="K234" s="30"/>
      <c r="L234" s="30"/>
      <c r="M234" s="30"/>
      <c r="N234" s="30"/>
      <c r="O234" s="30"/>
      <c r="P234" s="30"/>
      <c r="Q234" s="30"/>
      <c r="R234" s="30"/>
      <c r="S234" s="30"/>
      <c r="T234" s="156"/>
      <c r="U234"/>
      <c r="V234" s="297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</row>
    <row r="235" spans="1:68" hidden="1">
      <c r="A235" s="295">
        <f t="shared" si="23"/>
        <v>219</v>
      </c>
      <c r="B235" s="12">
        <f t="shared" si="24"/>
        <v>31</v>
      </c>
      <c r="C235" s="101" t="s">
        <v>185</v>
      </c>
      <c r="D235" s="12" t="s">
        <v>492</v>
      </c>
      <c r="E235" s="177">
        <f t="shared" si="22"/>
        <v>0</v>
      </c>
      <c r="F235" s="30"/>
      <c r="G235" s="30">
        <v>0</v>
      </c>
      <c r="H235" s="30">
        <v>620897.1</v>
      </c>
      <c r="I235" s="30"/>
      <c r="J235" s="30">
        <v>0</v>
      </c>
      <c r="K235" s="30"/>
      <c r="L235" s="30"/>
      <c r="M235" s="30">
        <v>0</v>
      </c>
      <c r="N235" s="30">
        <v>0</v>
      </c>
      <c r="O235" s="30">
        <v>0</v>
      </c>
      <c r="P235" s="30">
        <v>0</v>
      </c>
      <c r="Q235" s="30">
        <v>0</v>
      </c>
      <c r="R235" s="30"/>
      <c r="S235" s="30"/>
      <c r="T235" s="156"/>
      <c r="U235"/>
      <c r="V235" s="297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</row>
    <row r="236" spans="1:68" hidden="1">
      <c r="A236" s="295">
        <f t="shared" si="23"/>
        <v>220</v>
      </c>
      <c r="B236" s="12">
        <f t="shared" si="24"/>
        <v>32</v>
      </c>
      <c r="C236" s="101" t="s">
        <v>185</v>
      </c>
      <c r="D236" s="12" t="s">
        <v>493</v>
      </c>
      <c r="E236" s="177">
        <f t="shared" si="22"/>
        <v>0</v>
      </c>
      <c r="F236" s="30"/>
      <c r="G236" s="30"/>
      <c r="H236" s="30"/>
      <c r="I236" s="30"/>
      <c r="J236" s="30"/>
      <c r="K236" s="30"/>
      <c r="L236" s="30"/>
      <c r="M236" s="30">
        <v>20793974.399999999</v>
      </c>
      <c r="N236" s="30"/>
      <c r="O236" s="30"/>
      <c r="P236" s="30"/>
      <c r="Q236" s="30"/>
      <c r="R236" s="30">
        <v>270017.84999999998</v>
      </c>
      <c r="S236" s="30">
        <v>23160</v>
      </c>
      <c r="T236" s="156"/>
      <c r="U236"/>
      <c r="V236" s="297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</row>
    <row r="237" spans="1:68" hidden="1">
      <c r="A237" s="295">
        <f t="shared" si="23"/>
        <v>221</v>
      </c>
      <c r="B237" s="12">
        <f t="shared" si="24"/>
        <v>33</v>
      </c>
      <c r="C237" s="101" t="s">
        <v>185</v>
      </c>
      <c r="D237" s="12" t="s">
        <v>495</v>
      </c>
      <c r="E237" s="177">
        <f t="shared" ref="E237:E268" si="25">SUBTOTAL(9, F237:T237)</f>
        <v>0</v>
      </c>
      <c r="F237" s="30"/>
      <c r="G237" s="30"/>
      <c r="H237" s="30"/>
      <c r="I237" s="30"/>
      <c r="J237" s="30"/>
      <c r="K237" s="30"/>
      <c r="L237" s="30"/>
      <c r="M237" s="30">
        <v>13862649.6</v>
      </c>
      <c r="N237" s="30"/>
      <c r="O237" s="30"/>
      <c r="P237" s="30"/>
      <c r="Q237" s="30"/>
      <c r="R237" s="30">
        <v>211977.82</v>
      </c>
      <c r="S237" s="30">
        <v>23160</v>
      </c>
      <c r="T237" s="156"/>
      <c r="U237"/>
      <c r="V237" s="29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</row>
    <row r="238" spans="1:68" hidden="1">
      <c r="A238" s="295">
        <f t="shared" ref="A238:A269" si="26">+A237+1</f>
        <v>222</v>
      </c>
      <c r="B238" s="12">
        <f t="shared" ref="B238:B269" si="27">+B237+1</f>
        <v>34</v>
      </c>
      <c r="C238" s="101" t="s">
        <v>185</v>
      </c>
      <c r="D238" s="12" t="s">
        <v>353</v>
      </c>
      <c r="E238" s="177">
        <f t="shared" si="25"/>
        <v>0</v>
      </c>
      <c r="F238" s="62"/>
      <c r="G238" s="30"/>
      <c r="H238" s="30">
        <v>2398261.2000000002</v>
      </c>
      <c r="I238" s="30"/>
      <c r="J238" s="30"/>
      <c r="K238" s="30"/>
      <c r="L238" s="30"/>
      <c r="M238" s="30">
        <v>0</v>
      </c>
      <c r="N238" s="30">
        <v>14009088.380000001</v>
      </c>
      <c r="O238" s="30">
        <v>0</v>
      </c>
      <c r="P238" s="30">
        <v>0</v>
      </c>
      <c r="Q238" s="30">
        <v>0</v>
      </c>
      <c r="R238" s="30">
        <v>339099.7</v>
      </c>
      <c r="S238" s="30">
        <v>9600</v>
      </c>
      <c r="T238" s="156">
        <f>32899.63+106366.39</f>
        <v>139266.01999999999</v>
      </c>
      <c r="U238"/>
      <c r="V238" s="297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</row>
    <row r="239" spans="1:68" hidden="1">
      <c r="A239" s="295">
        <f t="shared" si="26"/>
        <v>223</v>
      </c>
      <c r="B239" s="12">
        <f t="shared" si="27"/>
        <v>35</v>
      </c>
      <c r="C239" s="101" t="s">
        <v>185</v>
      </c>
      <c r="D239" s="12" t="s">
        <v>498</v>
      </c>
      <c r="E239" s="146">
        <f t="shared" si="25"/>
        <v>0</v>
      </c>
      <c r="F239" s="30">
        <v>0</v>
      </c>
      <c r="G239" s="30">
        <v>0</v>
      </c>
      <c r="H239" s="30">
        <v>0</v>
      </c>
      <c r="I239" s="30">
        <v>0</v>
      </c>
      <c r="J239" s="30">
        <v>0</v>
      </c>
      <c r="K239" s="30"/>
      <c r="L239" s="30"/>
      <c r="M239" s="30">
        <v>0</v>
      </c>
      <c r="N239" s="30">
        <v>8882109.8399999999</v>
      </c>
      <c r="O239" s="30">
        <v>0</v>
      </c>
      <c r="P239" s="30">
        <v>0</v>
      </c>
      <c r="Q239" s="30">
        <v>0</v>
      </c>
      <c r="R239" s="30">
        <v>144246.84530748599</v>
      </c>
      <c r="S239" s="30">
        <v>24000</v>
      </c>
      <c r="T239" s="156"/>
      <c r="U239"/>
      <c r="V239" s="297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</row>
    <row r="240" spans="1:68" s="142" customFormat="1" hidden="1">
      <c r="A240" s="295">
        <f t="shared" si="26"/>
        <v>224</v>
      </c>
      <c r="B240" s="12">
        <f t="shared" si="27"/>
        <v>36</v>
      </c>
      <c r="C240" s="101" t="s">
        <v>185</v>
      </c>
      <c r="D240" s="12" t="s">
        <v>500</v>
      </c>
      <c r="E240" s="146">
        <f t="shared" si="25"/>
        <v>0</v>
      </c>
      <c r="F240" s="30">
        <v>3508963.12</v>
      </c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156"/>
      <c r="U240"/>
      <c r="V240" s="297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</row>
    <row r="241" spans="1:68" hidden="1">
      <c r="A241" s="295">
        <f t="shared" si="26"/>
        <v>225</v>
      </c>
      <c r="B241" s="12">
        <f t="shared" si="27"/>
        <v>37</v>
      </c>
      <c r="C241" s="101" t="s">
        <v>185</v>
      </c>
      <c r="D241" s="12" t="s">
        <v>223</v>
      </c>
      <c r="E241" s="177">
        <f t="shared" si="25"/>
        <v>0</v>
      </c>
      <c r="F241" s="30">
        <v>4434982.51</v>
      </c>
      <c r="G241" s="30"/>
      <c r="H241" s="30"/>
      <c r="I241" s="30"/>
      <c r="J241" s="30"/>
      <c r="K241" s="30"/>
      <c r="L241" s="30"/>
      <c r="M241" s="30">
        <v>0</v>
      </c>
      <c r="N241" s="30">
        <v>9355781.2799999993</v>
      </c>
      <c r="O241" s="30">
        <v>0</v>
      </c>
      <c r="P241" s="30">
        <v>0</v>
      </c>
      <c r="Q241" s="30">
        <v>0</v>
      </c>
      <c r="R241" s="30"/>
      <c r="S241" s="30"/>
      <c r="T241" s="156"/>
      <c r="U241"/>
      <c r="V241" s="297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</row>
    <row r="242" spans="1:68" hidden="1">
      <c r="A242" s="295">
        <f t="shared" si="26"/>
        <v>226</v>
      </c>
      <c r="B242" s="12">
        <f t="shared" si="27"/>
        <v>38</v>
      </c>
      <c r="C242" s="101" t="s">
        <v>185</v>
      </c>
      <c r="D242" s="12" t="s">
        <v>226</v>
      </c>
      <c r="E242" s="146">
        <f t="shared" si="25"/>
        <v>0</v>
      </c>
      <c r="F242" s="30"/>
      <c r="G242" s="30"/>
      <c r="H242" s="30"/>
      <c r="I242" s="30"/>
      <c r="J242" s="30">
        <v>869774.96</v>
      </c>
      <c r="K242" s="30"/>
      <c r="L242" s="30"/>
      <c r="M242" s="30">
        <v>0</v>
      </c>
      <c r="N242" s="30">
        <v>0</v>
      </c>
      <c r="O242" s="30">
        <v>0</v>
      </c>
      <c r="P242" s="30">
        <v>0</v>
      </c>
      <c r="Q242" s="30">
        <v>0</v>
      </c>
      <c r="R242" s="30"/>
      <c r="S242" s="30"/>
      <c r="T242" s="156"/>
      <c r="U242"/>
      <c r="V242" s="297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</row>
    <row r="243" spans="1:68" hidden="1">
      <c r="A243" s="295">
        <f t="shared" si="26"/>
        <v>227</v>
      </c>
      <c r="B243" s="12">
        <f t="shared" si="27"/>
        <v>39</v>
      </c>
      <c r="C243" s="101" t="s">
        <v>185</v>
      </c>
      <c r="D243" s="12" t="s">
        <v>211</v>
      </c>
      <c r="E243" s="146">
        <f t="shared" si="25"/>
        <v>0</v>
      </c>
      <c r="F243" s="30"/>
      <c r="G243" s="30"/>
      <c r="H243" s="30">
        <v>1620199.79</v>
      </c>
      <c r="I243" s="30"/>
      <c r="J243" s="30"/>
      <c r="K243" s="30"/>
      <c r="L243" s="30"/>
      <c r="M243" s="30">
        <v>0</v>
      </c>
      <c r="N243" s="30"/>
      <c r="O243" s="30"/>
      <c r="P243" s="30"/>
      <c r="Q243" s="30"/>
      <c r="R243" s="30"/>
      <c r="S243" s="30"/>
      <c r="T243" s="156">
        <v>14282.07</v>
      </c>
      <c r="U243"/>
      <c r="V243" s="297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</row>
    <row r="244" spans="1:68" hidden="1">
      <c r="A244" s="295">
        <f t="shared" si="26"/>
        <v>228</v>
      </c>
      <c r="B244" s="12">
        <f t="shared" si="27"/>
        <v>40</v>
      </c>
      <c r="C244" s="101" t="s">
        <v>185</v>
      </c>
      <c r="D244" s="12" t="s">
        <v>503</v>
      </c>
      <c r="E244" s="177">
        <f t="shared" si="25"/>
        <v>0</v>
      </c>
      <c r="F244" s="30"/>
      <c r="G244" s="30"/>
      <c r="H244" s="30">
        <v>1021002.86</v>
      </c>
      <c r="I244" s="30"/>
      <c r="J244" s="30">
        <v>0</v>
      </c>
      <c r="K244" s="30"/>
      <c r="L244" s="30"/>
      <c r="M244" s="30">
        <v>0</v>
      </c>
      <c r="N244" s="30"/>
      <c r="O244" s="30">
        <v>0</v>
      </c>
      <c r="P244" s="30">
        <v>3268741.67</v>
      </c>
      <c r="Q244" s="30"/>
      <c r="R244" s="30"/>
      <c r="S244" s="30"/>
      <c r="T244" s="156"/>
      <c r="U244"/>
      <c r="V244" s="297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</row>
    <row r="245" spans="1:68" hidden="1">
      <c r="A245" s="295">
        <f t="shared" si="26"/>
        <v>229</v>
      </c>
      <c r="B245" s="12">
        <f t="shared" si="27"/>
        <v>41</v>
      </c>
      <c r="C245" s="101" t="s">
        <v>185</v>
      </c>
      <c r="D245" s="12" t="s">
        <v>227</v>
      </c>
      <c r="E245" s="146">
        <f t="shared" si="25"/>
        <v>0</v>
      </c>
      <c r="F245" s="30"/>
      <c r="G245" s="30">
        <v>0</v>
      </c>
      <c r="H245" s="30"/>
      <c r="I245" s="30"/>
      <c r="J245" s="30">
        <v>0</v>
      </c>
      <c r="K245" s="30"/>
      <c r="L245" s="30"/>
      <c r="M245" s="30">
        <v>0</v>
      </c>
      <c r="N245" s="30"/>
      <c r="O245" s="30">
        <v>0</v>
      </c>
      <c r="P245" s="30">
        <v>21288932.280000001</v>
      </c>
      <c r="Q245" s="30">
        <v>0</v>
      </c>
      <c r="R245" s="30"/>
      <c r="S245" s="30"/>
      <c r="T245" s="156">
        <v>105465.93</v>
      </c>
      <c r="U245"/>
      <c r="V245" s="297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</row>
    <row r="246" spans="1:68" hidden="1">
      <c r="A246" s="295">
        <f t="shared" si="26"/>
        <v>230</v>
      </c>
      <c r="B246" s="12">
        <f t="shared" si="27"/>
        <v>42</v>
      </c>
      <c r="C246" s="101" t="s">
        <v>185</v>
      </c>
      <c r="D246" s="12" t="s">
        <v>229</v>
      </c>
      <c r="E246" s="146">
        <f t="shared" si="25"/>
        <v>0</v>
      </c>
      <c r="F246" s="30">
        <v>3795804.42</v>
      </c>
      <c r="G246" s="30">
        <v>0</v>
      </c>
      <c r="H246" s="30"/>
      <c r="I246" s="30">
        <v>2422165.88</v>
      </c>
      <c r="J246" s="30">
        <v>0</v>
      </c>
      <c r="K246" s="30"/>
      <c r="L246" s="30"/>
      <c r="M246" s="30">
        <v>0</v>
      </c>
      <c r="N246" s="30"/>
      <c r="O246" s="30">
        <v>0</v>
      </c>
      <c r="P246" s="30"/>
      <c r="Q246" s="30">
        <v>0</v>
      </c>
      <c r="R246" s="30"/>
      <c r="S246" s="30"/>
      <c r="T246" s="156"/>
      <c r="U246"/>
      <c r="V246" s="297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</row>
    <row r="247" spans="1:68" hidden="1">
      <c r="A247" s="295">
        <f t="shared" si="26"/>
        <v>231</v>
      </c>
      <c r="B247" s="12">
        <f t="shared" si="27"/>
        <v>43</v>
      </c>
      <c r="C247" s="101" t="s">
        <v>185</v>
      </c>
      <c r="D247" s="12" t="s">
        <v>757</v>
      </c>
      <c r="E247" s="146">
        <f t="shared" si="25"/>
        <v>0</v>
      </c>
      <c r="F247" s="30"/>
      <c r="G247" s="30">
        <v>0</v>
      </c>
      <c r="H247" s="30"/>
      <c r="I247" s="30">
        <v>2451411.64</v>
      </c>
      <c r="J247" s="30"/>
      <c r="K247" s="30"/>
      <c r="L247" s="30"/>
      <c r="M247" s="30">
        <v>0</v>
      </c>
      <c r="N247" s="30"/>
      <c r="O247" s="30">
        <v>0</v>
      </c>
      <c r="P247" s="30"/>
      <c r="Q247" s="30">
        <v>0</v>
      </c>
      <c r="R247" s="30">
        <v>96378.22</v>
      </c>
      <c r="S247" s="30">
        <v>6000</v>
      </c>
      <c r="T247" s="156"/>
      <c r="U247"/>
      <c r="V247" s="29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</row>
    <row r="248" spans="1:68" hidden="1">
      <c r="A248" s="295">
        <f t="shared" si="26"/>
        <v>232</v>
      </c>
      <c r="B248" s="12">
        <f t="shared" si="27"/>
        <v>44</v>
      </c>
      <c r="C248" s="101" t="s">
        <v>185</v>
      </c>
      <c r="D248" s="12" t="s">
        <v>233</v>
      </c>
      <c r="E248" s="146">
        <f t="shared" si="25"/>
        <v>0</v>
      </c>
      <c r="F248" s="30">
        <v>3308322.58</v>
      </c>
      <c r="G248" s="30">
        <v>2035764.2</v>
      </c>
      <c r="H248" s="30">
        <v>882116.62</v>
      </c>
      <c r="I248" s="30">
        <v>903642.16</v>
      </c>
      <c r="J248" s="30">
        <v>0</v>
      </c>
      <c r="K248" s="30"/>
      <c r="L248" s="30"/>
      <c r="M248" s="30">
        <v>0</v>
      </c>
      <c r="N248" s="30">
        <v>0</v>
      </c>
      <c r="O248" s="30">
        <v>0</v>
      </c>
      <c r="P248" s="30"/>
      <c r="Q248" s="30">
        <v>0</v>
      </c>
      <c r="R248" s="30"/>
      <c r="S248" s="30"/>
      <c r="T248" s="156"/>
      <c r="U248"/>
      <c r="V248" s="297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</row>
    <row r="249" spans="1:68" hidden="1">
      <c r="A249" s="295">
        <f t="shared" si="26"/>
        <v>233</v>
      </c>
      <c r="B249" s="12">
        <f t="shared" si="27"/>
        <v>45</v>
      </c>
      <c r="C249" s="101" t="s">
        <v>185</v>
      </c>
      <c r="D249" s="12" t="s">
        <v>362</v>
      </c>
      <c r="E249" s="177">
        <f t="shared" si="25"/>
        <v>0</v>
      </c>
      <c r="F249" s="30">
        <v>0</v>
      </c>
      <c r="G249" s="30">
        <v>0</v>
      </c>
      <c r="H249" s="30">
        <v>0</v>
      </c>
      <c r="I249" s="30"/>
      <c r="J249" s="30">
        <v>0</v>
      </c>
      <c r="K249" s="30"/>
      <c r="L249" s="30"/>
      <c r="M249" s="30"/>
      <c r="N249" s="30">
        <v>2182360.9</v>
      </c>
      <c r="O249" s="30">
        <v>0</v>
      </c>
      <c r="P249" s="30">
        <v>10009863.220000001</v>
      </c>
      <c r="Q249" s="30">
        <v>2520155.4500000002</v>
      </c>
      <c r="R249" s="30">
        <v>212190.76</v>
      </c>
      <c r="S249" s="30">
        <v>18000</v>
      </c>
      <c r="T249" s="156"/>
      <c r="U249"/>
      <c r="V249" s="297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</row>
    <row r="250" spans="1:68" hidden="1">
      <c r="A250" s="295">
        <f t="shared" si="26"/>
        <v>234</v>
      </c>
      <c r="B250" s="12">
        <f t="shared" si="27"/>
        <v>46</v>
      </c>
      <c r="C250" s="101" t="s">
        <v>185</v>
      </c>
      <c r="D250" s="12" t="s">
        <v>378</v>
      </c>
      <c r="E250" s="146">
        <f t="shared" si="25"/>
        <v>0</v>
      </c>
      <c r="F250" s="30">
        <v>0</v>
      </c>
      <c r="G250" s="30">
        <v>0</v>
      </c>
      <c r="H250" s="30">
        <v>0</v>
      </c>
      <c r="I250" s="30">
        <v>0</v>
      </c>
      <c r="J250" s="30">
        <v>950120</v>
      </c>
      <c r="K250" s="30"/>
      <c r="L250" s="30"/>
      <c r="M250" s="30">
        <v>0</v>
      </c>
      <c r="N250" s="30">
        <v>0</v>
      </c>
      <c r="O250" s="30">
        <v>0</v>
      </c>
      <c r="P250" s="30">
        <v>0</v>
      </c>
      <c r="Q250" s="30"/>
      <c r="R250" s="30"/>
      <c r="S250" s="30"/>
      <c r="T250" s="156"/>
      <c r="U250"/>
      <c r="V250" s="297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</row>
    <row r="251" spans="1:68" hidden="1">
      <c r="A251" s="295">
        <f t="shared" si="26"/>
        <v>235</v>
      </c>
      <c r="B251" s="12">
        <f t="shared" si="27"/>
        <v>47</v>
      </c>
      <c r="C251" s="101" t="s">
        <v>185</v>
      </c>
      <c r="D251" s="12" t="s">
        <v>380</v>
      </c>
      <c r="E251" s="177">
        <f t="shared" si="25"/>
        <v>0</v>
      </c>
      <c r="F251" s="30"/>
      <c r="G251" s="30"/>
      <c r="H251" s="30">
        <v>1355646.84</v>
      </c>
      <c r="I251" s="30"/>
      <c r="J251" s="30"/>
      <c r="K251" s="30"/>
      <c r="L251" s="30"/>
      <c r="M251" s="30">
        <v>0</v>
      </c>
      <c r="N251" s="30">
        <v>3865122</v>
      </c>
      <c r="O251" s="30">
        <v>0</v>
      </c>
      <c r="P251" s="30"/>
      <c r="Q251" s="30"/>
      <c r="R251" s="30"/>
      <c r="S251" s="30"/>
      <c r="T251" s="156"/>
      <c r="U251"/>
      <c r="V251" s="297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</row>
    <row r="252" spans="1:68" hidden="1">
      <c r="A252" s="295">
        <f t="shared" si="26"/>
        <v>236</v>
      </c>
      <c r="B252" s="12">
        <f t="shared" si="27"/>
        <v>48</v>
      </c>
      <c r="C252" s="101" t="s">
        <v>185</v>
      </c>
      <c r="D252" s="12" t="s">
        <v>510</v>
      </c>
      <c r="E252" s="146">
        <f t="shared" si="25"/>
        <v>0</v>
      </c>
      <c r="F252" s="30">
        <v>0</v>
      </c>
      <c r="G252" s="30">
        <v>0</v>
      </c>
      <c r="H252" s="30">
        <v>0</v>
      </c>
      <c r="I252" s="30">
        <v>0</v>
      </c>
      <c r="J252" s="30">
        <v>1554723.07</v>
      </c>
      <c r="K252" s="30"/>
      <c r="L252" s="30"/>
      <c r="M252" s="30">
        <v>0</v>
      </c>
      <c r="N252" s="30">
        <v>0</v>
      </c>
      <c r="O252" s="30">
        <v>0</v>
      </c>
      <c r="P252" s="30"/>
      <c r="Q252" s="30">
        <v>14843819.359999999</v>
      </c>
      <c r="R252" s="30"/>
      <c r="S252" s="30"/>
      <c r="T252" s="156"/>
      <c r="U252"/>
      <c r="V252" s="297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</row>
    <row r="253" spans="1:68" hidden="1">
      <c r="A253" s="295">
        <f t="shared" si="26"/>
        <v>237</v>
      </c>
      <c r="B253" s="12">
        <f t="shared" si="27"/>
        <v>49</v>
      </c>
      <c r="C253" s="101" t="s">
        <v>185</v>
      </c>
      <c r="D253" s="12" t="s">
        <v>512</v>
      </c>
      <c r="E253" s="177">
        <f t="shared" si="25"/>
        <v>0</v>
      </c>
      <c r="F253" s="30">
        <v>6875735.2199999997</v>
      </c>
      <c r="G253" s="30">
        <v>3918496.3</v>
      </c>
      <c r="H253" s="30">
        <v>3290123.15</v>
      </c>
      <c r="I253" s="30">
        <v>2154394.91</v>
      </c>
      <c r="J253" s="30">
        <v>0</v>
      </c>
      <c r="K253" s="30"/>
      <c r="L253" s="30"/>
      <c r="M253" s="30"/>
      <c r="N253" s="30">
        <v>9062303.3300000001</v>
      </c>
      <c r="O253" s="30">
        <v>0</v>
      </c>
      <c r="P253" s="30">
        <v>0</v>
      </c>
      <c r="Q253" s="30">
        <v>0</v>
      </c>
      <c r="R253" s="30">
        <v>218659.95</v>
      </c>
      <c r="S253" s="30">
        <v>24000</v>
      </c>
      <c r="T253" s="156"/>
      <c r="U253"/>
      <c r="V253" s="297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</row>
    <row r="254" spans="1:68" hidden="1">
      <c r="A254" s="295">
        <f t="shared" si="26"/>
        <v>238</v>
      </c>
      <c r="B254" s="12">
        <f t="shared" si="27"/>
        <v>50</v>
      </c>
      <c r="C254" s="101" t="s">
        <v>185</v>
      </c>
      <c r="D254" s="12" t="s">
        <v>387</v>
      </c>
      <c r="E254" s="177">
        <f t="shared" si="25"/>
        <v>0</v>
      </c>
      <c r="F254" s="30"/>
      <c r="G254" s="30"/>
      <c r="H254" s="30"/>
      <c r="I254" s="30"/>
      <c r="J254" s="30"/>
      <c r="K254" s="30"/>
      <c r="L254" s="30"/>
      <c r="M254" s="30"/>
      <c r="N254" s="30">
        <v>7724626.6900000004</v>
      </c>
      <c r="O254" s="30"/>
      <c r="P254" s="30"/>
      <c r="Q254" s="30"/>
      <c r="R254" s="30">
        <v>239779.37</v>
      </c>
      <c r="S254" s="30">
        <v>24000</v>
      </c>
      <c r="T254" s="156"/>
      <c r="U254"/>
      <c r="V254" s="297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</row>
    <row r="255" spans="1:68" hidden="1">
      <c r="A255" s="295">
        <f t="shared" si="26"/>
        <v>239</v>
      </c>
      <c r="B255" s="12">
        <f t="shared" si="27"/>
        <v>51</v>
      </c>
      <c r="C255" s="101" t="s">
        <v>185</v>
      </c>
      <c r="D255" s="12" t="s">
        <v>369</v>
      </c>
      <c r="E255" s="177">
        <f t="shared" si="25"/>
        <v>0</v>
      </c>
      <c r="F255" s="30"/>
      <c r="G255" s="30"/>
      <c r="H255" s="30">
        <v>1713863.8</v>
      </c>
      <c r="I255" s="30"/>
      <c r="J255" s="30"/>
      <c r="K255" s="30"/>
      <c r="L255" s="30"/>
      <c r="M255" s="30">
        <v>0</v>
      </c>
      <c r="N255" s="30">
        <v>8587544.4700000007</v>
      </c>
      <c r="O255" s="30">
        <v>0</v>
      </c>
      <c r="P255" s="30">
        <v>0</v>
      </c>
      <c r="Q255" s="30">
        <v>0</v>
      </c>
      <c r="R255" s="30">
        <v>384835.13</v>
      </c>
      <c r="S255" s="30">
        <v>8000</v>
      </c>
      <c r="T255" s="156"/>
      <c r="U255"/>
      <c r="V255" s="297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</row>
    <row r="256" spans="1:68" hidden="1">
      <c r="A256" s="295">
        <f t="shared" si="26"/>
        <v>240</v>
      </c>
      <c r="B256" s="12">
        <f t="shared" si="27"/>
        <v>52</v>
      </c>
      <c r="C256" s="101" t="s">
        <v>185</v>
      </c>
      <c r="D256" s="12" t="s">
        <v>516</v>
      </c>
      <c r="E256" s="146">
        <f t="shared" si="25"/>
        <v>0</v>
      </c>
      <c r="F256" s="30">
        <v>4390563.8399999999</v>
      </c>
      <c r="G256" s="30">
        <v>3052029.01</v>
      </c>
      <c r="H256" s="30">
        <v>1727150.4</v>
      </c>
      <c r="I256" s="30">
        <v>1510543.31</v>
      </c>
      <c r="J256" s="30"/>
      <c r="K256" s="30"/>
      <c r="L256" s="30"/>
      <c r="M256" s="30">
        <v>0</v>
      </c>
      <c r="N256" s="30">
        <v>0</v>
      </c>
      <c r="O256" s="30">
        <v>0</v>
      </c>
      <c r="P256" s="30">
        <v>0</v>
      </c>
      <c r="Q256" s="30">
        <v>9155754.3900000006</v>
      </c>
      <c r="R256" s="30">
        <v>1031786.49</v>
      </c>
      <c r="S256" s="30">
        <v>29200</v>
      </c>
      <c r="T256" s="156"/>
      <c r="U256"/>
      <c r="V256" s="297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</row>
    <row r="257" spans="1:68" hidden="1">
      <c r="A257" s="295">
        <f t="shared" si="26"/>
        <v>241</v>
      </c>
      <c r="B257" s="12">
        <f t="shared" si="27"/>
        <v>53</v>
      </c>
      <c r="C257" s="101" t="s">
        <v>185</v>
      </c>
      <c r="D257" s="12" t="s">
        <v>238</v>
      </c>
      <c r="E257" s="146">
        <f t="shared" si="25"/>
        <v>0</v>
      </c>
      <c r="F257" s="30"/>
      <c r="G257" s="30">
        <v>5603246.21</v>
      </c>
      <c r="H257" s="30">
        <v>2551720.8199999998</v>
      </c>
      <c r="I257" s="30">
        <v>3180773.21</v>
      </c>
      <c r="J257" s="30"/>
      <c r="K257" s="30"/>
      <c r="L257" s="30"/>
      <c r="M257" s="30">
        <v>0</v>
      </c>
      <c r="N257" s="30">
        <v>0</v>
      </c>
      <c r="O257" s="30">
        <v>0</v>
      </c>
      <c r="P257" s="30">
        <v>0</v>
      </c>
      <c r="Q257" s="30">
        <v>3870122.95</v>
      </c>
      <c r="R257" s="30"/>
      <c r="S257" s="30"/>
      <c r="T257" s="156"/>
      <c r="U257"/>
      <c r="V257" s="29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</row>
    <row r="258" spans="1:68" hidden="1">
      <c r="A258" s="295">
        <f t="shared" si="26"/>
        <v>242</v>
      </c>
      <c r="B258" s="12">
        <f t="shared" si="27"/>
        <v>54</v>
      </c>
      <c r="C258" s="101" t="s">
        <v>185</v>
      </c>
      <c r="D258" s="12" t="s">
        <v>519</v>
      </c>
      <c r="E258" s="146">
        <f t="shared" si="25"/>
        <v>0</v>
      </c>
      <c r="F258" s="30">
        <v>0</v>
      </c>
      <c r="G258" s="30">
        <v>0</v>
      </c>
      <c r="H258" s="30">
        <v>0</v>
      </c>
      <c r="I258" s="30">
        <v>0</v>
      </c>
      <c r="J258" s="30">
        <v>1990601.96</v>
      </c>
      <c r="K258" s="30"/>
      <c r="L258" s="30"/>
      <c r="M258" s="30">
        <v>0</v>
      </c>
      <c r="N258" s="30">
        <v>0</v>
      </c>
      <c r="O258" s="30">
        <v>0</v>
      </c>
      <c r="P258" s="30">
        <v>0</v>
      </c>
      <c r="Q258" s="30">
        <v>0</v>
      </c>
      <c r="R258" s="30"/>
      <c r="S258" s="30"/>
      <c r="T258" s="156"/>
      <c r="U258"/>
      <c r="V258" s="297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</row>
    <row r="259" spans="1:68" hidden="1">
      <c r="A259" s="295">
        <f t="shared" si="26"/>
        <v>243</v>
      </c>
      <c r="B259" s="12">
        <f t="shared" si="27"/>
        <v>55</v>
      </c>
      <c r="C259" s="101" t="s">
        <v>185</v>
      </c>
      <c r="D259" s="12" t="s">
        <v>520</v>
      </c>
      <c r="E259" s="177">
        <f t="shared" si="25"/>
        <v>0</v>
      </c>
      <c r="F259" s="30"/>
      <c r="G259" s="30"/>
      <c r="H259" s="30">
        <v>1749772.5</v>
      </c>
      <c r="I259" s="30"/>
      <c r="J259" s="30"/>
      <c r="K259" s="30"/>
      <c r="L259" s="30"/>
      <c r="M259" s="30">
        <v>0</v>
      </c>
      <c r="N259" s="30">
        <v>0</v>
      </c>
      <c r="O259" s="30">
        <v>0</v>
      </c>
      <c r="P259" s="30">
        <v>0</v>
      </c>
      <c r="Q259" s="30">
        <v>0</v>
      </c>
      <c r="R259" s="30">
        <v>40450.54</v>
      </c>
      <c r="S259" s="30">
        <v>6000</v>
      </c>
      <c r="T259" s="156">
        <v>11916.46</v>
      </c>
      <c r="U259"/>
      <c r="V259" s="297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</row>
    <row r="260" spans="1:68" hidden="1">
      <c r="A260" s="295">
        <f t="shared" si="26"/>
        <v>244</v>
      </c>
      <c r="B260" s="12">
        <f t="shared" si="27"/>
        <v>56</v>
      </c>
      <c r="C260" s="101" t="s">
        <v>185</v>
      </c>
      <c r="D260" s="12" t="s">
        <v>249</v>
      </c>
      <c r="E260" s="177">
        <f t="shared" si="25"/>
        <v>0</v>
      </c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>
        <v>15271354.73</v>
      </c>
      <c r="Q260" s="30">
        <v>0</v>
      </c>
      <c r="R260" s="30"/>
      <c r="S260" s="30"/>
      <c r="T260" s="156"/>
      <c r="U260"/>
      <c r="V260" s="297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</row>
    <row r="261" spans="1:68" hidden="1">
      <c r="A261" s="295">
        <f t="shared" si="26"/>
        <v>245</v>
      </c>
      <c r="B261" s="12">
        <f t="shared" si="27"/>
        <v>57</v>
      </c>
      <c r="C261" s="101" t="s">
        <v>185</v>
      </c>
      <c r="D261" s="12" t="s">
        <v>522</v>
      </c>
      <c r="E261" s="146">
        <f t="shared" si="25"/>
        <v>0</v>
      </c>
      <c r="F261" s="30">
        <v>4565506.96</v>
      </c>
      <c r="G261" s="30">
        <v>0</v>
      </c>
      <c r="H261" s="30">
        <v>0</v>
      </c>
      <c r="I261" s="30">
        <v>0</v>
      </c>
      <c r="J261" s="30"/>
      <c r="K261" s="30"/>
      <c r="L261" s="30"/>
      <c r="M261" s="30">
        <v>0</v>
      </c>
      <c r="N261" s="30">
        <v>0</v>
      </c>
      <c r="O261" s="30">
        <v>0</v>
      </c>
      <c r="P261" s="30">
        <v>0</v>
      </c>
      <c r="Q261" s="30">
        <v>0</v>
      </c>
      <c r="R261" s="30">
        <v>40300.92</v>
      </c>
      <c r="S261" s="30">
        <v>24000</v>
      </c>
      <c r="T261" s="156"/>
      <c r="U261"/>
      <c r="V261" s="297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</row>
    <row r="262" spans="1:68" hidden="1">
      <c r="A262" s="295">
        <f t="shared" si="26"/>
        <v>246</v>
      </c>
      <c r="B262" s="12">
        <f t="shared" si="27"/>
        <v>58</v>
      </c>
      <c r="C262" s="101" t="s">
        <v>185</v>
      </c>
      <c r="D262" s="12" t="s">
        <v>391</v>
      </c>
      <c r="E262" s="146">
        <f t="shared" si="25"/>
        <v>0</v>
      </c>
      <c r="F262" s="30">
        <v>0</v>
      </c>
      <c r="G262" s="30">
        <v>1100224.76</v>
      </c>
      <c r="H262" s="30"/>
      <c r="I262" s="30"/>
      <c r="J262" s="30"/>
      <c r="K262" s="30"/>
      <c r="L262" s="30"/>
      <c r="M262" s="30">
        <v>0</v>
      </c>
      <c r="N262" s="30">
        <v>0</v>
      </c>
      <c r="O262" s="30">
        <v>0</v>
      </c>
      <c r="P262" s="30"/>
      <c r="Q262" s="30">
        <v>0</v>
      </c>
      <c r="R262" s="30"/>
      <c r="S262" s="30"/>
      <c r="T262" s="156">
        <v>41874.43</v>
      </c>
      <c r="U262"/>
      <c r="V262" s="297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</row>
    <row r="263" spans="1:68" hidden="1">
      <c r="A263" s="295">
        <f t="shared" si="26"/>
        <v>247</v>
      </c>
      <c r="B263" s="12">
        <f t="shared" si="27"/>
        <v>59</v>
      </c>
      <c r="C263" s="101" t="s">
        <v>185</v>
      </c>
      <c r="D263" s="12" t="s">
        <v>252</v>
      </c>
      <c r="E263" s="177">
        <f t="shared" si="25"/>
        <v>0</v>
      </c>
      <c r="F263" s="30"/>
      <c r="G263" s="30"/>
      <c r="H263" s="30"/>
      <c r="I263" s="30"/>
      <c r="J263" s="30"/>
      <c r="K263" s="30"/>
      <c r="L263" s="30"/>
      <c r="M263" s="30">
        <v>0</v>
      </c>
      <c r="N263" s="30"/>
      <c r="O263" s="30">
        <v>0</v>
      </c>
      <c r="P263" s="30">
        <v>22799005.559999999</v>
      </c>
      <c r="Q263" s="30"/>
      <c r="R263" s="30"/>
      <c r="S263" s="30"/>
      <c r="T263" s="156"/>
      <c r="U263"/>
      <c r="V263" s="297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</row>
    <row r="264" spans="1:68" hidden="1">
      <c r="A264" s="295">
        <f t="shared" si="26"/>
        <v>248</v>
      </c>
      <c r="B264" s="12">
        <f t="shared" si="27"/>
        <v>60</v>
      </c>
      <c r="C264" s="101" t="s">
        <v>185</v>
      </c>
      <c r="D264" s="12" t="s">
        <v>253</v>
      </c>
      <c r="E264" s="146">
        <f t="shared" si="25"/>
        <v>0</v>
      </c>
      <c r="F264" s="30"/>
      <c r="G264" s="30"/>
      <c r="H264" s="30">
        <v>4113294.16</v>
      </c>
      <c r="I264" s="30"/>
      <c r="J264" s="30"/>
      <c r="K264" s="30"/>
      <c r="L264" s="30"/>
      <c r="M264" s="30">
        <v>0</v>
      </c>
      <c r="N264" s="30"/>
      <c r="O264" s="30">
        <v>0</v>
      </c>
      <c r="P264" s="30"/>
      <c r="Q264" s="30">
        <v>13661056.57</v>
      </c>
      <c r="R264" s="30"/>
      <c r="S264" s="30"/>
      <c r="T264" s="156"/>
      <c r="U264"/>
      <c r="V264" s="297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</row>
    <row r="265" spans="1:68" hidden="1">
      <c r="A265" s="295">
        <f t="shared" si="26"/>
        <v>249</v>
      </c>
      <c r="B265" s="12">
        <f t="shared" si="27"/>
        <v>61</v>
      </c>
      <c r="C265" s="101" t="s">
        <v>185</v>
      </c>
      <c r="D265" s="12" t="s">
        <v>527</v>
      </c>
      <c r="E265" s="146">
        <f t="shared" si="25"/>
        <v>0</v>
      </c>
      <c r="F265" s="30">
        <v>0</v>
      </c>
      <c r="G265" s="30">
        <v>0</v>
      </c>
      <c r="H265" s="30">
        <v>0</v>
      </c>
      <c r="I265" s="30">
        <v>0</v>
      </c>
      <c r="J265" s="30">
        <v>0</v>
      </c>
      <c r="K265" s="30"/>
      <c r="L265" s="30"/>
      <c r="M265" s="30">
        <v>0</v>
      </c>
      <c r="N265" s="30">
        <v>0</v>
      </c>
      <c r="O265" s="30">
        <v>0</v>
      </c>
      <c r="P265" s="30">
        <v>0</v>
      </c>
      <c r="Q265" s="30">
        <v>4977661</v>
      </c>
      <c r="R265" s="30">
        <v>193371.82</v>
      </c>
      <c r="S265" s="30">
        <v>24000</v>
      </c>
      <c r="T265" s="156"/>
      <c r="U265"/>
      <c r="V265" s="297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</row>
    <row r="266" spans="1:68" hidden="1">
      <c r="A266" s="295">
        <f t="shared" si="26"/>
        <v>250</v>
      </c>
      <c r="B266" s="12">
        <f t="shared" si="27"/>
        <v>62</v>
      </c>
      <c r="C266" s="101" t="s">
        <v>185</v>
      </c>
      <c r="D266" s="12" t="s">
        <v>528</v>
      </c>
      <c r="E266" s="177">
        <f t="shared" si="25"/>
        <v>0</v>
      </c>
      <c r="F266" s="30">
        <v>3333540.05</v>
      </c>
      <c r="G266" s="30">
        <v>0</v>
      </c>
      <c r="H266" s="30">
        <v>1549799.6</v>
      </c>
      <c r="I266" s="30">
        <v>0</v>
      </c>
      <c r="J266" s="30">
        <v>0</v>
      </c>
      <c r="K266" s="30"/>
      <c r="L266" s="30"/>
      <c r="M266" s="30">
        <v>0</v>
      </c>
      <c r="N266" s="30">
        <v>13493182.9250254</v>
      </c>
      <c r="O266" s="30">
        <v>0</v>
      </c>
      <c r="P266" s="30">
        <v>14103016.029999999</v>
      </c>
      <c r="Q266" s="30">
        <v>0</v>
      </c>
      <c r="R266" s="30">
        <v>456271.35999999999</v>
      </c>
      <c r="S266" s="30">
        <v>9557.99</v>
      </c>
      <c r="T266" s="156"/>
      <c r="U266"/>
      <c r="V266" s="297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</row>
    <row r="267" spans="1:68" hidden="1">
      <c r="A267" s="295">
        <f t="shared" si="26"/>
        <v>251</v>
      </c>
      <c r="B267" s="12">
        <f t="shared" si="27"/>
        <v>63</v>
      </c>
      <c r="C267" s="101" t="s">
        <v>185</v>
      </c>
      <c r="D267" s="12" t="s">
        <v>259</v>
      </c>
      <c r="E267" s="146">
        <f t="shared" si="25"/>
        <v>0</v>
      </c>
      <c r="F267" s="30"/>
      <c r="G267" s="30"/>
      <c r="H267" s="30"/>
      <c r="I267" s="30"/>
      <c r="J267" s="30"/>
      <c r="K267" s="30"/>
      <c r="L267" s="30"/>
      <c r="M267" s="30"/>
      <c r="N267" s="30">
        <v>5556548.1200000001</v>
      </c>
      <c r="O267" s="30">
        <v>0</v>
      </c>
      <c r="P267" s="30">
        <v>0</v>
      </c>
      <c r="Q267" s="30">
        <v>0</v>
      </c>
      <c r="R267" s="30"/>
      <c r="S267" s="30"/>
      <c r="T267" s="156">
        <v>65447.73</v>
      </c>
      <c r="U267"/>
      <c r="V267" s="29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</row>
    <row r="268" spans="1:68" hidden="1">
      <c r="A268" s="295">
        <f t="shared" si="26"/>
        <v>252</v>
      </c>
      <c r="B268" s="12">
        <f t="shared" si="27"/>
        <v>64</v>
      </c>
      <c r="C268" s="101" t="s">
        <v>185</v>
      </c>
      <c r="D268" s="12" t="s">
        <v>531</v>
      </c>
      <c r="E268" s="146">
        <f t="shared" si="25"/>
        <v>0</v>
      </c>
      <c r="F268" s="30">
        <v>8885029.4600000009</v>
      </c>
      <c r="G268" s="30"/>
      <c r="H268" s="30">
        <v>3892363.59</v>
      </c>
      <c r="I268" s="30">
        <v>4001179.24</v>
      </c>
      <c r="J268" s="30"/>
      <c r="K268" s="30"/>
      <c r="L268" s="30"/>
      <c r="M268" s="30"/>
      <c r="N268" s="30"/>
      <c r="O268" s="30"/>
      <c r="P268" s="30"/>
      <c r="Q268" s="30"/>
      <c r="R268" s="30">
        <v>123177.46</v>
      </c>
      <c r="S268" s="30">
        <v>18000</v>
      </c>
      <c r="T268" s="156">
        <f>88883.94+41863.41+41317.67</f>
        <v>172065.02000000002</v>
      </c>
      <c r="U268"/>
      <c r="V268" s="297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</row>
    <row r="269" spans="1:68" hidden="1">
      <c r="A269" s="295">
        <f t="shared" si="26"/>
        <v>253</v>
      </c>
      <c r="B269" s="12">
        <f t="shared" si="27"/>
        <v>65</v>
      </c>
      <c r="C269" s="101" t="s">
        <v>185</v>
      </c>
      <c r="D269" s="12" t="s">
        <v>532</v>
      </c>
      <c r="E269" s="146">
        <f t="shared" ref="E269:E300" si="28">SUBTOTAL(9, F269:T269)</f>
        <v>0</v>
      </c>
      <c r="F269" s="30"/>
      <c r="G269" s="30"/>
      <c r="H269" s="30"/>
      <c r="I269" s="30"/>
      <c r="J269" s="30"/>
      <c r="K269" s="30"/>
      <c r="L269" s="30"/>
      <c r="M269" s="30">
        <v>0</v>
      </c>
      <c r="N269" s="30">
        <v>9298128.9700000007</v>
      </c>
      <c r="O269" s="30">
        <v>0</v>
      </c>
      <c r="P269" s="30"/>
      <c r="Q269" s="30">
        <v>6906225.3700000001</v>
      </c>
      <c r="R269" s="30">
        <v>332847.40999999997</v>
      </c>
      <c r="S269" s="30">
        <v>24835</v>
      </c>
      <c r="T269" s="156">
        <v>855433.65795056196</v>
      </c>
      <c r="U269"/>
      <c r="V269" s="297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</row>
    <row r="270" spans="1:68" hidden="1">
      <c r="A270" s="295">
        <f t="shared" ref="A270:A301" si="29">+A269+1</f>
        <v>254</v>
      </c>
      <c r="B270" s="12">
        <f t="shared" ref="B270:B301" si="30">+B269+1</f>
        <v>66</v>
      </c>
      <c r="C270" s="101" t="s">
        <v>185</v>
      </c>
      <c r="D270" s="12" t="s">
        <v>534</v>
      </c>
      <c r="E270" s="146">
        <f t="shared" si="28"/>
        <v>0</v>
      </c>
      <c r="F270" s="30"/>
      <c r="G270" s="30"/>
      <c r="H270" s="30"/>
      <c r="I270" s="30"/>
      <c r="J270" s="30"/>
      <c r="K270" s="30"/>
      <c r="L270" s="30"/>
      <c r="M270" s="30">
        <v>0</v>
      </c>
      <c r="N270" s="30">
        <v>9298128.9700000007</v>
      </c>
      <c r="O270" s="30">
        <v>0</v>
      </c>
      <c r="P270" s="30"/>
      <c r="Q270" s="30">
        <v>6697684.2800000003</v>
      </c>
      <c r="R270" s="30">
        <v>328986.36</v>
      </c>
      <c r="S270" s="30">
        <v>24747</v>
      </c>
      <c r="T270" s="156">
        <v>848261.68484692299</v>
      </c>
      <c r="U270"/>
      <c r="V270" s="297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</row>
    <row r="271" spans="1:68" hidden="1">
      <c r="A271" s="295">
        <f t="shared" si="29"/>
        <v>255</v>
      </c>
      <c r="B271" s="12">
        <f t="shared" si="30"/>
        <v>67</v>
      </c>
      <c r="C271" s="101" t="s">
        <v>185</v>
      </c>
      <c r="D271" s="12" t="s">
        <v>536</v>
      </c>
      <c r="E271" s="146">
        <f t="shared" si="28"/>
        <v>0</v>
      </c>
      <c r="F271" s="30">
        <v>0</v>
      </c>
      <c r="G271" s="30">
        <v>0</v>
      </c>
      <c r="H271" s="30">
        <v>0</v>
      </c>
      <c r="I271" s="30">
        <v>0</v>
      </c>
      <c r="J271" s="30">
        <v>0</v>
      </c>
      <c r="K271" s="30"/>
      <c r="L271" s="30"/>
      <c r="M271" s="30">
        <v>0</v>
      </c>
      <c r="N271" s="30">
        <v>6718705.3799999999</v>
      </c>
      <c r="O271" s="30">
        <v>0</v>
      </c>
      <c r="P271" s="30">
        <v>0</v>
      </c>
      <c r="Q271" s="30">
        <v>0</v>
      </c>
      <c r="R271" s="30"/>
      <c r="S271" s="30"/>
      <c r="T271" s="156">
        <v>224046.46049940001</v>
      </c>
    </row>
    <row r="272" spans="1:68" hidden="1">
      <c r="A272" s="295">
        <f t="shared" si="29"/>
        <v>256</v>
      </c>
      <c r="B272" s="12">
        <f t="shared" si="30"/>
        <v>68</v>
      </c>
      <c r="C272" s="101" t="s">
        <v>185</v>
      </c>
      <c r="D272" s="12" t="s">
        <v>401</v>
      </c>
      <c r="E272" s="146">
        <f t="shared" si="28"/>
        <v>0</v>
      </c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>
        <v>5289247.08</v>
      </c>
      <c r="R272" s="30">
        <v>212316.76</v>
      </c>
      <c r="S272" s="30">
        <v>3428.57</v>
      </c>
      <c r="T272" s="156"/>
      <c r="U272"/>
      <c r="V272" s="297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</row>
    <row r="273" spans="1:68" hidden="1">
      <c r="A273" s="295">
        <f t="shared" si="29"/>
        <v>257</v>
      </c>
      <c r="B273" s="12">
        <f t="shared" si="30"/>
        <v>69</v>
      </c>
      <c r="C273" s="101" t="s">
        <v>185</v>
      </c>
      <c r="D273" s="12" t="s">
        <v>414</v>
      </c>
      <c r="E273" s="146">
        <f t="shared" si="28"/>
        <v>0</v>
      </c>
      <c r="F273" s="30">
        <v>7625174.9299999997</v>
      </c>
      <c r="G273" s="30"/>
      <c r="H273" s="30">
        <v>2990319.15</v>
      </c>
      <c r="I273" s="30">
        <v>3967819.86</v>
      </c>
      <c r="J273" s="30"/>
      <c r="K273" s="30"/>
      <c r="L273" s="30"/>
      <c r="M273" s="30">
        <v>0</v>
      </c>
      <c r="N273" s="30">
        <v>9797526</v>
      </c>
      <c r="O273" s="30">
        <v>0</v>
      </c>
      <c r="P273" s="30">
        <v>9608317.1999999993</v>
      </c>
      <c r="Q273" s="30">
        <v>10107495.6</v>
      </c>
      <c r="R273" s="30">
        <v>937678.84</v>
      </c>
      <c r="S273" s="30">
        <v>42000</v>
      </c>
      <c r="T273" s="156">
        <f>77529.37+24664.76+28553.86</f>
        <v>130747.98999999999</v>
      </c>
      <c r="U273"/>
      <c r="V273" s="297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</row>
    <row r="274" spans="1:68" hidden="1">
      <c r="A274" s="295">
        <f t="shared" si="29"/>
        <v>258</v>
      </c>
      <c r="B274" s="12">
        <f t="shared" si="30"/>
        <v>70</v>
      </c>
      <c r="C274" s="101" t="s">
        <v>185</v>
      </c>
      <c r="D274" s="12" t="s">
        <v>417</v>
      </c>
      <c r="E274" s="146">
        <f t="shared" si="28"/>
        <v>0</v>
      </c>
      <c r="F274" s="30"/>
      <c r="G274" s="30"/>
      <c r="H274" s="30">
        <v>0</v>
      </c>
      <c r="I274" s="30">
        <v>0</v>
      </c>
      <c r="J274" s="30">
        <v>974673.41</v>
      </c>
      <c r="K274" s="30"/>
      <c r="L274" s="30"/>
      <c r="M274" s="30">
        <v>0</v>
      </c>
      <c r="N274" s="30"/>
      <c r="O274" s="30">
        <v>0</v>
      </c>
      <c r="P274" s="30">
        <v>0</v>
      </c>
      <c r="Q274" s="30">
        <v>0</v>
      </c>
      <c r="R274" s="30"/>
      <c r="S274" s="30"/>
      <c r="T274" s="156"/>
      <c r="U274"/>
      <c r="V274" s="297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</row>
    <row r="275" spans="1:68" hidden="1">
      <c r="A275" s="295">
        <f t="shared" si="29"/>
        <v>259</v>
      </c>
      <c r="B275" s="12">
        <f t="shared" si="30"/>
        <v>71</v>
      </c>
      <c r="C275" s="101" t="s">
        <v>185</v>
      </c>
      <c r="D275" s="12" t="s">
        <v>540</v>
      </c>
      <c r="E275" s="146">
        <f t="shared" si="28"/>
        <v>0</v>
      </c>
      <c r="F275" s="30">
        <v>7567432.0800000001</v>
      </c>
      <c r="G275" s="30"/>
      <c r="H275" s="30">
        <v>3408090.02</v>
      </c>
      <c r="I275" s="30">
        <v>2646922.3199999998</v>
      </c>
      <c r="J275" s="30"/>
      <c r="K275" s="30"/>
      <c r="L275" s="30"/>
      <c r="M275" s="30">
        <v>0</v>
      </c>
      <c r="N275" s="30">
        <v>0</v>
      </c>
      <c r="O275" s="30">
        <v>0</v>
      </c>
      <c r="P275" s="30">
        <v>0</v>
      </c>
      <c r="Q275" s="30">
        <v>0</v>
      </c>
      <c r="R275" s="30">
        <v>89396.34</v>
      </c>
      <c r="S275" s="30"/>
      <c r="T275" s="156">
        <f>78680.24+30208.91+31323.39</f>
        <v>140212.54</v>
      </c>
      <c r="U275"/>
      <c r="V275" s="297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</row>
    <row r="276" spans="1:68" hidden="1">
      <c r="A276" s="295">
        <f t="shared" si="29"/>
        <v>260</v>
      </c>
      <c r="B276" s="12">
        <f t="shared" si="30"/>
        <v>72</v>
      </c>
      <c r="C276" s="101" t="s">
        <v>185</v>
      </c>
      <c r="D276" s="12" t="s">
        <v>272</v>
      </c>
      <c r="E276" s="146">
        <f t="shared" si="28"/>
        <v>0</v>
      </c>
      <c r="F276" s="30">
        <v>0</v>
      </c>
      <c r="G276" s="30"/>
      <c r="H276" s="30"/>
      <c r="I276" s="30"/>
      <c r="J276" s="30"/>
      <c r="K276" s="30"/>
      <c r="L276" s="30"/>
      <c r="M276" s="30">
        <v>0</v>
      </c>
      <c r="N276" s="30">
        <v>0</v>
      </c>
      <c r="O276" s="30">
        <v>0</v>
      </c>
      <c r="P276" s="30">
        <v>0</v>
      </c>
      <c r="Q276" s="30">
        <v>7219456.8700000001</v>
      </c>
      <c r="R276" s="30"/>
      <c r="S276" s="30"/>
      <c r="T276" s="156"/>
      <c r="U276"/>
      <c r="V276" s="297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</row>
    <row r="277" spans="1:68" hidden="1">
      <c r="A277" s="295">
        <f t="shared" si="29"/>
        <v>261</v>
      </c>
      <c r="B277" s="12">
        <f t="shared" si="30"/>
        <v>73</v>
      </c>
      <c r="C277" s="101" t="s">
        <v>185</v>
      </c>
      <c r="D277" s="12" t="s">
        <v>274</v>
      </c>
      <c r="E277" s="146">
        <f t="shared" si="28"/>
        <v>0</v>
      </c>
      <c r="F277" s="30"/>
      <c r="G277" s="30"/>
      <c r="H277" s="30">
        <v>942256.83</v>
      </c>
      <c r="I277" s="30"/>
      <c r="J277" s="30"/>
      <c r="K277" s="30"/>
      <c r="L277" s="30"/>
      <c r="M277" s="30">
        <v>0</v>
      </c>
      <c r="N277" s="30"/>
      <c r="O277" s="30">
        <v>0</v>
      </c>
      <c r="P277" s="30">
        <v>0</v>
      </c>
      <c r="Q277" s="30">
        <v>0</v>
      </c>
      <c r="R277" s="30"/>
      <c r="S277" s="30"/>
      <c r="T277" s="156"/>
      <c r="U277"/>
      <c r="V277" s="29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</row>
    <row r="278" spans="1:68" hidden="1">
      <c r="A278" s="295">
        <f t="shared" si="29"/>
        <v>262</v>
      </c>
      <c r="B278" s="12">
        <f t="shared" si="30"/>
        <v>74</v>
      </c>
      <c r="C278" s="101" t="s">
        <v>185</v>
      </c>
      <c r="D278" s="12" t="s">
        <v>426</v>
      </c>
      <c r="E278" s="177">
        <f t="shared" si="28"/>
        <v>0</v>
      </c>
      <c r="F278" s="30"/>
      <c r="G278" s="30"/>
      <c r="H278" s="30"/>
      <c r="I278" s="30"/>
      <c r="J278" s="30"/>
      <c r="K278" s="30"/>
      <c r="L278" s="30"/>
      <c r="M278" s="30">
        <v>0</v>
      </c>
      <c r="N278" s="30">
        <v>4009059.65</v>
      </c>
      <c r="O278" s="30">
        <v>0</v>
      </c>
      <c r="P278" s="30">
        <v>0</v>
      </c>
      <c r="Q278" s="30">
        <v>0</v>
      </c>
      <c r="R278" s="30">
        <v>39270.71</v>
      </c>
      <c r="S278" s="30">
        <v>4800</v>
      </c>
      <c r="T278" s="156"/>
      <c r="U278"/>
      <c r="V278" s="297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</row>
    <row r="279" spans="1:68" hidden="1">
      <c r="A279" s="295">
        <f t="shared" si="29"/>
        <v>263</v>
      </c>
      <c r="B279" s="12">
        <f t="shared" si="30"/>
        <v>75</v>
      </c>
      <c r="C279" s="101" t="s">
        <v>185</v>
      </c>
      <c r="D279" s="12" t="s">
        <v>543</v>
      </c>
      <c r="E279" s="177">
        <f t="shared" si="28"/>
        <v>0</v>
      </c>
      <c r="F279" s="30"/>
      <c r="G279" s="30"/>
      <c r="H279" s="30"/>
      <c r="I279" s="30"/>
      <c r="J279" s="30"/>
      <c r="K279" s="30"/>
      <c r="L279" s="30"/>
      <c r="M279" s="30">
        <v>13862649.6</v>
      </c>
      <c r="N279" s="30"/>
      <c r="O279" s="30"/>
      <c r="P279" s="30"/>
      <c r="Q279" s="30"/>
      <c r="R279" s="30">
        <v>203887.58</v>
      </c>
      <c r="S279" s="30">
        <v>23160</v>
      </c>
      <c r="T279" s="156"/>
      <c r="U279"/>
      <c r="V279" s="297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</row>
    <row r="280" spans="1:68" hidden="1">
      <c r="A280" s="295">
        <f t="shared" si="29"/>
        <v>264</v>
      </c>
      <c r="B280" s="12">
        <f t="shared" si="30"/>
        <v>76</v>
      </c>
      <c r="C280" s="101" t="s">
        <v>185</v>
      </c>
      <c r="D280" s="12" t="s">
        <v>280</v>
      </c>
      <c r="E280" s="146">
        <f t="shared" si="28"/>
        <v>0</v>
      </c>
      <c r="F280" s="30"/>
      <c r="G280" s="30"/>
      <c r="H280" s="30">
        <v>1824432.9</v>
      </c>
      <c r="I280" s="30"/>
      <c r="J280" s="30"/>
      <c r="K280" s="30"/>
      <c r="L280" s="30"/>
      <c r="M280" s="30">
        <v>0</v>
      </c>
      <c r="N280" s="30">
        <v>0</v>
      </c>
      <c r="O280" s="30">
        <v>0</v>
      </c>
      <c r="P280" s="30">
        <v>0</v>
      </c>
      <c r="Q280" s="30">
        <v>0</v>
      </c>
      <c r="R280" s="30"/>
      <c r="S280" s="30"/>
      <c r="T280" s="156">
        <v>19257.27</v>
      </c>
      <c r="U280"/>
      <c r="V280" s="297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</row>
    <row r="281" spans="1:68" hidden="1">
      <c r="A281" s="295">
        <f t="shared" si="29"/>
        <v>265</v>
      </c>
      <c r="B281" s="12">
        <f t="shared" si="30"/>
        <v>77</v>
      </c>
      <c r="C281" s="101" t="s">
        <v>185</v>
      </c>
      <c r="D281" s="12" t="s">
        <v>440</v>
      </c>
      <c r="E281" s="146">
        <f t="shared" si="28"/>
        <v>0</v>
      </c>
      <c r="F281" s="30"/>
      <c r="G281" s="30">
        <v>343509.18</v>
      </c>
      <c r="H281" s="30">
        <v>1218249.92</v>
      </c>
      <c r="I281" s="30">
        <v>605983.06000000006</v>
      </c>
      <c r="J281" s="30"/>
      <c r="K281" s="30"/>
      <c r="L281" s="30"/>
      <c r="M281" s="30"/>
      <c r="N281" s="30">
        <v>4289726.93</v>
      </c>
      <c r="O281" s="30"/>
      <c r="P281" s="30"/>
      <c r="Q281" s="30"/>
      <c r="R281" s="30">
        <v>555193.42000000004</v>
      </c>
      <c r="S281" s="30">
        <v>13714.29</v>
      </c>
      <c r="T281" s="156"/>
      <c r="U281"/>
      <c r="V281" s="297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</row>
    <row r="282" spans="1:68" hidden="1">
      <c r="A282" s="295">
        <f t="shared" si="29"/>
        <v>266</v>
      </c>
      <c r="B282" s="12">
        <f t="shared" si="30"/>
        <v>78</v>
      </c>
      <c r="C282" s="101" t="s">
        <v>185</v>
      </c>
      <c r="D282" s="12" t="s">
        <v>287</v>
      </c>
      <c r="E282" s="146">
        <f t="shared" si="28"/>
        <v>0</v>
      </c>
      <c r="F282" s="30"/>
      <c r="G282" s="30"/>
      <c r="H282" s="30">
        <v>271883.74</v>
      </c>
      <c r="I282" s="30">
        <v>1331235.81</v>
      </c>
      <c r="J282" s="30"/>
      <c r="K282" s="30"/>
      <c r="L282" s="30"/>
      <c r="M282" s="30"/>
      <c r="N282" s="30"/>
      <c r="O282" s="30"/>
      <c r="P282" s="30"/>
      <c r="Q282" s="30">
        <v>6391541.46</v>
      </c>
      <c r="R282" s="30">
        <v>124035.9</v>
      </c>
      <c r="S282" s="30">
        <v>12000</v>
      </c>
      <c r="T282" s="156"/>
      <c r="U282"/>
      <c r="V282" s="297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</row>
    <row r="283" spans="1:68" hidden="1">
      <c r="A283" s="295">
        <f t="shared" si="29"/>
        <v>267</v>
      </c>
      <c r="B283" s="12">
        <f t="shared" si="30"/>
        <v>79</v>
      </c>
      <c r="C283" s="101" t="s">
        <v>185</v>
      </c>
      <c r="D283" s="12" t="s">
        <v>436</v>
      </c>
      <c r="E283" s="177">
        <f t="shared" si="28"/>
        <v>0</v>
      </c>
      <c r="F283" s="30">
        <v>2848325.83</v>
      </c>
      <c r="G283" s="30"/>
      <c r="H283" s="30"/>
      <c r="I283" s="30"/>
      <c r="J283" s="30"/>
      <c r="K283" s="30"/>
      <c r="L283" s="30"/>
      <c r="M283" s="30">
        <v>0</v>
      </c>
      <c r="N283" s="30">
        <v>3676704.18</v>
      </c>
      <c r="O283" s="30">
        <v>0</v>
      </c>
      <c r="P283" s="30"/>
      <c r="Q283" s="30"/>
      <c r="R283" s="30">
        <v>133934.73000000001</v>
      </c>
      <c r="S283" s="30">
        <v>6857.14</v>
      </c>
      <c r="T283" s="156"/>
      <c r="U283"/>
      <c r="V283" s="297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</row>
    <row r="284" spans="1:68" hidden="1">
      <c r="A284" s="295">
        <f t="shared" si="29"/>
        <v>268</v>
      </c>
      <c r="B284" s="12">
        <f t="shared" si="30"/>
        <v>80</v>
      </c>
      <c r="C284" s="101" t="s">
        <v>185</v>
      </c>
      <c r="D284" s="12" t="s">
        <v>547</v>
      </c>
      <c r="E284" s="146">
        <f t="shared" si="28"/>
        <v>0</v>
      </c>
      <c r="F284" s="30">
        <v>0</v>
      </c>
      <c r="G284" s="30">
        <v>0</v>
      </c>
      <c r="H284" s="30">
        <v>0</v>
      </c>
      <c r="I284" s="30">
        <v>0</v>
      </c>
      <c r="J284" s="30">
        <v>1421417.84</v>
      </c>
      <c r="K284" s="30"/>
      <c r="L284" s="30"/>
      <c r="M284" s="30">
        <v>0</v>
      </c>
      <c r="N284" s="30">
        <v>0</v>
      </c>
      <c r="O284" s="30">
        <v>0</v>
      </c>
      <c r="P284" s="30">
        <v>0</v>
      </c>
      <c r="Q284" s="30"/>
      <c r="R284" s="30"/>
      <c r="S284" s="30"/>
      <c r="T284" s="156"/>
      <c r="U284"/>
      <c r="V284" s="297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</row>
    <row r="285" spans="1:68" hidden="1">
      <c r="A285" s="295">
        <f t="shared" si="29"/>
        <v>269</v>
      </c>
      <c r="B285" s="12">
        <f t="shared" si="30"/>
        <v>81</v>
      </c>
      <c r="C285" s="101" t="s">
        <v>185</v>
      </c>
      <c r="D285" s="12" t="s">
        <v>549</v>
      </c>
      <c r="E285" s="146">
        <f t="shared" si="28"/>
        <v>0</v>
      </c>
      <c r="F285" s="30">
        <v>0</v>
      </c>
      <c r="G285" s="30">
        <v>0</v>
      </c>
      <c r="H285" s="30">
        <v>0</v>
      </c>
      <c r="I285" s="30">
        <v>0</v>
      </c>
      <c r="J285" s="30">
        <v>1405107.53</v>
      </c>
      <c r="K285" s="30"/>
      <c r="L285" s="30"/>
      <c r="M285" s="30">
        <v>0</v>
      </c>
      <c r="N285" s="30">
        <v>0</v>
      </c>
      <c r="O285" s="30">
        <v>0</v>
      </c>
      <c r="P285" s="30">
        <v>0</v>
      </c>
      <c r="Q285" s="30"/>
      <c r="R285" s="30"/>
      <c r="S285" s="30"/>
      <c r="T285" s="156"/>
      <c r="U285"/>
      <c r="V285" s="297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</row>
    <row r="286" spans="1:68" hidden="1">
      <c r="A286" s="295">
        <f t="shared" si="29"/>
        <v>270</v>
      </c>
      <c r="B286" s="12">
        <f t="shared" si="30"/>
        <v>82</v>
      </c>
      <c r="C286" s="101" t="s">
        <v>185</v>
      </c>
      <c r="D286" s="12" t="s">
        <v>551</v>
      </c>
      <c r="E286" s="146">
        <f t="shared" si="28"/>
        <v>0</v>
      </c>
      <c r="F286" s="30">
        <v>0</v>
      </c>
      <c r="G286" s="30">
        <v>0</v>
      </c>
      <c r="H286" s="30">
        <v>0</v>
      </c>
      <c r="I286" s="30">
        <v>0</v>
      </c>
      <c r="J286" s="30">
        <v>1413665.12</v>
      </c>
      <c r="K286" s="30"/>
      <c r="L286" s="30"/>
      <c r="M286" s="30">
        <v>0</v>
      </c>
      <c r="N286" s="30">
        <v>0</v>
      </c>
      <c r="O286" s="30">
        <v>0</v>
      </c>
      <c r="P286" s="30">
        <v>0</v>
      </c>
      <c r="Q286" s="30"/>
      <c r="R286" s="30"/>
      <c r="S286" s="30"/>
      <c r="T286" s="156"/>
      <c r="U286"/>
      <c r="V286" s="297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</row>
    <row r="287" spans="1:68" hidden="1">
      <c r="A287" s="295">
        <f t="shared" si="29"/>
        <v>271</v>
      </c>
      <c r="B287" s="12">
        <f t="shared" si="30"/>
        <v>83</v>
      </c>
      <c r="C287" s="101" t="s">
        <v>185</v>
      </c>
      <c r="D287" s="12" t="s">
        <v>553</v>
      </c>
      <c r="E287" s="146">
        <f t="shared" si="28"/>
        <v>0</v>
      </c>
      <c r="F287" s="30">
        <v>5599699.5999999996</v>
      </c>
      <c r="G287" s="30"/>
      <c r="H287" s="30">
        <v>2421941.33</v>
      </c>
      <c r="I287" s="30">
        <v>1626971.98</v>
      </c>
      <c r="J287" s="30"/>
      <c r="K287" s="30"/>
      <c r="L287" s="30"/>
      <c r="M287" s="30">
        <v>0</v>
      </c>
      <c r="N287" s="30">
        <v>7300062.8200000003</v>
      </c>
      <c r="O287" s="30">
        <v>0</v>
      </c>
      <c r="P287" s="30">
        <v>0</v>
      </c>
      <c r="Q287" s="30"/>
      <c r="R287" s="30">
        <v>143064.9</v>
      </c>
      <c r="S287" s="30">
        <v>19200</v>
      </c>
      <c r="T287" s="156"/>
      <c r="U287"/>
      <c r="V287" s="29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</row>
    <row r="288" spans="1:68" hidden="1">
      <c r="A288" s="295">
        <f t="shared" si="29"/>
        <v>272</v>
      </c>
      <c r="B288" s="12">
        <f t="shared" si="30"/>
        <v>84</v>
      </c>
      <c r="C288" s="101" t="s">
        <v>185</v>
      </c>
      <c r="D288" s="12" t="s">
        <v>554</v>
      </c>
      <c r="E288" s="146">
        <f t="shared" si="28"/>
        <v>0</v>
      </c>
      <c r="F288" s="30">
        <v>5635685.2699999996</v>
      </c>
      <c r="G288" s="30"/>
      <c r="H288" s="30">
        <v>2462247.36</v>
      </c>
      <c r="I288" s="30">
        <v>1533694.94</v>
      </c>
      <c r="J288" s="30"/>
      <c r="K288" s="30"/>
      <c r="L288" s="30"/>
      <c r="M288" s="30">
        <v>0</v>
      </c>
      <c r="N288" s="30">
        <v>6654965.2300000004</v>
      </c>
      <c r="O288" s="30">
        <v>0</v>
      </c>
      <c r="P288" s="30">
        <v>0</v>
      </c>
      <c r="Q288" s="30">
        <v>0</v>
      </c>
      <c r="R288" s="30">
        <v>141236.04999999999</v>
      </c>
      <c r="S288" s="30">
        <v>19200</v>
      </c>
      <c r="T288" s="156"/>
      <c r="U288"/>
      <c r="V288" s="297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</row>
    <row r="289" spans="1:68" hidden="1">
      <c r="A289" s="295">
        <f t="shared" si="29"/>
        <v>273</v>
      </c>
      <c r="B289" s="12">
        <f t="shared" si="30"/>
        <v>85</v>
      </c>
      <c r="C289" s="101" t="s">
        <v>185</v>
      </c>
      <c r="D289" s="12" t="s">
        <v>555</v>
      </c>
      <c r="E289" s="146">
        <f t="shared" si="28"/>
        <v>0</v>
      </c>
      <c r="F289" s="30"/>
      <c r="G289" s="30"/>
      <c r="H289" s="30">
        <v>1704018.34</v>
      </c>
      <c r="I289" s="30">
        <v>1334515.24</v>
      </c>
      <c r="J289" s="30"/>
      <c r="K289" s="30"/>
      <c r="L289" s="30"/>
      <c r="M289" s="30">
        <v>0</v>
      </c>
      <c r="N289" s="30">
        <v>6866520.9800000004</v>
      </c>
      <c r="O289" s="30">
        <v>0</v>
      </c>
      <c r="P289" s="30">
        <v>0</v>
      </c>
      <c r="Q289" s="30">
        <v>5952987.4199999999</v>
      </c>
      <c r="R289" s="30"/>
      <c r="S289" s="30"/>
      <c r="T289" s="156"/>
      <c r="U289"/>
      <c r="V289" s="297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</row>
    <row r="290" spans="1:68" hidden="1">
      <c r="A290" s="295">
        <f t="shared" si="29"/>
        <v>274</v>
      </c>
      <c r="B290" s="12">
        <f t="shared" si="30"/>
        <v>86</v>
      </c>
      <c r="C290" s="101" t="s">
        <v>185</v>
      </c>
      <c r="D290" s="12" t="s">
        <v>556</v>
      </c>
      <c r="E290" s="146">
        <f t="shared" si="28"/>
        <v>0</v>
      </c>
      <c r="F290" s="30">
        <v>0</v>
      </c>
      <c r="G290" s="30">
        <v>0</v>
      </c>
      <c r="H290" s="30">
        <v>0</v>
      </c>
      <c r="I290" s="30">
        <v>0</v>
      </c>
      <c r="J290" s="30">
        <v>1512746.4</v>
      </c>
      <c r="K290" s="30"/>
      <c r="L290" s="30"/>
      <c r="M290" s="30">
        <v>0</v>
      </c>
      <c r="N290" s="30">
        <v>0</v>
      </c>
      <c r="O290" s="30">
        <v>0</v>
      </c>
      <c r="P290" s="30">
        <v>0</v>
      </c>
      <c r="Q290" s="30">
        <v>0</v>
      </c>
      <c r="R290" s="30"/>
      <c r="S290" s="30"/>
      <c r="T290" s="156"/>
      <c r="U290"/>
      <c r="V290" s="297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</row>
    <row r="291" spans="1:68" hidden="1">
      <c r="A291" s="295">
        <f t="shared" si="29"/>
        <v>275</v>
      </c>
      <c r="B291" s="12">
        <f t="shared" si="30"/>
        <v>87</v>
      </c>
      <c r="C291" s="101" t="s">
        <v>185</v>
      </c>
      <c r="D291" s="12" t="s">
        <v>294</v>
      </c>
      <c r="E291" s="146">
        <f t="shared" si="28"/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1512746.4</v>
      </c>
      <c r="K291" s="30"/>
      <c r="L291" s="30"/>
      <c r="M291" s="30">
        <v>0</v>
      </c>
      <c r="N291" s="30">
        <v>0</v>
      </c>
      <c r="O291" s="30">
        <v>0</v>
      </c>
      <c r="P291" s="30">
        <v>0</v>
      </c>
      <c r="Q291" s="30"/>
      <c r="R291" s="30"/>
      <c r="S291" s="30"/>
      <c r="T291" s="156"/>
      <c r="U291"/>
      <c r="V291" s="297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</row>
    <row r="292" spans="1:68" hidden="1">
      <c r="A292" s="295">
        <f t="shared" si="29"/>
        <v>276</v>
      </c>
      <c r="B292" s="12">
        <f t="shared" si="30"/>
        <v>88</v>
      </c>
      <c r="C292" s="101" t="s">
        <v>185</v>
      </c>
      <c r="D292" s="12" t="s">
        <v>289</v>
      </c>
      <c r="E292" s="146">
        <f t="shared" si="28"/>
        <v>0</v>
      </c>
      <c r="F292" s="30">
        <v>5508552.4900000002</v>
      </c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156"/>
      <c r="U292"/>
      <c r="V292" s="297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</row>
    <row r="293" spans="1:68" hidden="1">
      <c r="A293" s="295">
        <f t="shared" si="29"/>
        <v>277</v>
      </c>
      <c r="B293" s="12">
        <f t="shared" si="30"/>
        <v>89</v>
      </c>
      <c r="C293" s="101" t="s">
        <v>185</v>
      </c>
      <c r="D293" s="12" t="s">
        <v>290</v>
      </c>
      <c r="E293" s="146">
        <f t="shared" si="28"/>
        <v>0</v>
      </c>
      <c r="F293" s="30"/>
      <c r="G293" s="30">
        <v>2875942.18</v>
      </c>
      <c r="H293" s="30"/>
      <c r="I293" s="30">
        <v>1546747.33</v>
      </c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156"/>
      <c r="U293"/>
      <c r="V293" s="297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</row>
    <row r="294" spans="1:68" hidden="1">
      <c r="A294" s="295">
        <f t="shared" si="29"/>
        <v>278</v>
      </c>
      <c r="B294" s="12">
        <f t="shared" si="30"/>
        <v>90</v>
      </c>
      <c r="C294" s="101" t="s">
        <v>185</v>
      </c>
      <c r="D294" s="12" t="s">
        <v>298</v>
      </c>
      <c r="E294" s="146">
        <f t="shared" si="28"/>
        <v>0</v>
      </c>
      <c r="F294" s="30">
        <v>7864219.1399999997</v>
      </c>
      <c r="G294" s="30"/>
      <c r="H294" s="30">
        <v>2874656.38</v>
      </c>
      <c r="I294" s="30">
        <v>1502641.16</v>
      </c>
      <c r="J294" s="30"/>
      <c r="K294" s="30"/>
      <c r="L294" s="30"/>
      <c r="M294" s="30"/>
      <c r="N294" s="30"/>
      <c r="O294" s="30"/>
      <c r="P294" s="30"/>
      <c r="Q294" s="30"/>
      <c r="R294" s="30">
        <v>112877.92</v>
      </c>
      <c r="S294" s="30">
        <v>12000</v>
      </c>
      <c r="T294" s="156">
        <f>84308.92+34015.04+35566.08</f>
        <v>153890.03999999998</v>
      </c>
      <c r="U294"/>
      <c r="V294" s="297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</row>
    <row r="295" spans="1:68" hidden="1">
      <c r="A295" s="295">
        <f t="shared" si="29"/>
        <v>279</v>
      </c>
      <c r="B295" s="12">
        <f t="shared" si="30"/>
        <v>91</v>
      </c>
      <c r="C295" s="101" t="s">
        <v>185</v>
      </c>
      <c r="D295" s="12" t="s">
        <v>454</v>
      </c>
      <c r="E295" s="146">
        <f t="shared" si="28"/>
        <v>0</v>
      </c>
      <c r="F295" s="30"/>
      <c r="G295" s="30"/>
      <c r="H295" s="30">
        <v>3294191.61</v>
      </c>
      <c r="I295" s="30"/>
      <c r="J295" s="30"/>
      <c r="K295" s="30"/>
      <c r="L295" s="30"/>
      <c r="M295" s="30"/>
      <c r="N295" s="30"/>
      <c r="O295" s="30"/>
      <c r="P295" s="30"/>
      <c r="Q295" s="30"/>
      <c r="R295" s="30">
        <v>125749.67</v>
      </c>
      <c r="S295" s="30">
        <v>4000</v>
      </c>
      <c r="T295" s="156"/>
      <c r="U295"/>
      <c r="V295" s="297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</row>
    <row r="296" spans="1:68" hidden="1">
      <c r="A296" s="295">
        <f t="shared" si="29"/>
        <v>280</v>
      </c>
      <c r="B296" s="12">
        <f t="shared" si="30"/>
        <v>92</v>
      </c>
      <c r="C296" s="101" t="s">
        <v>185</v>
      </c>
      <c r="D296" s="12" t="s">
        <v>304</v>
      </c>
      <c r="E296" s="146">
        <f t="shared" si="28"/>
        <v>0</v>
      </c>
      <c r="F296" s="30"/>
      <c r="G296" s="30">
        <v>0</v>
      </c>
      <c r="H296" s="30">
        <v>0</v>
      </c>
      <c r="I296" s="30">
        <v>0</v>
      </c>
      <c r="J296" s="30"/>
      <c r="K296" s="30"/>
      <c r="L296" s="30"/>
      <c r="M296" s="30">
        <v>0</v>
      </c>
      <c r="N296" s="30">
        <v>7369291.1200000001</v>
      </c>
      <c r="O296" s="30">
        <v>0</v>
      </c>
      <c r="P296" s="30">
        <v>0</v>
      </c>
      <c r="Q296" s="30">
        <v>4050617</v>
      </c>
      <c r="R296" s="30"/>
      <c r="S296" s="30"/>
      <c r="T296" s="156"/>
      <c r="U296"/>
      <c r="V296" s="297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</row>
    <row r="297" spans="1:68" hidden="1">
      <c r="A297" s="295">
        <f t="shared" si="29"/>
        <v>281</v>
      </c>
      <c r="B297" s="12">
        <f t="shared" si="30"/>
        <v>93</v>
      </c>
      <c r="C297" s="101" t="s">
        <v>185</v>
      </c>
      <c r="D297" s="12" t="s">
        <v>563</v>
      </c>
      <c r="E297" s="177">
        <f t="shared" si="28"/>
        <v>0</v>
      </c>
      <c r="F297" s="30">
        <v>0</v>
      </c>
      <c r="G297" s="30">
        <v>0</v>
      </c>
      <c r="H297" s="30">
        <v>1566527.86</v>
      </c>
      <c r="I297" s="30">
        <v>0</v>
      </c>
      <c r="J297" s="30">
        <v>0</v>
      </c>
      <c r="K297" s="30"/>
      <c r="L297" s="30"/>
      <c r="M297" s="30">
        <v>0</v>
      </c>
      <c r="N297" s="30">
        <v>0</v>
      </c>
      <c r="O297" s="30">
        <v>0</v>
      </c>
      <c r="P297" s="30"/>
      <c r="Q297" s="30">
        <v>0</v>
      </c>
      <c r="R297" s="30"/>
      <c r="S297" s="30"/>
      <c r="T297" s="156"/>
      <c r="U297"/>
      <c r="V297" s="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</row>
    <row r="298" spans="1:68" hidden="1">
      <c r="A298" s="295">
        <f t="shared" si="29"/>
        <v>282</v>
      </c>
      <c r="B298" s="12">
        <f t="shared" si="30"/>
        <v>94</v>
      </c>
      <c r="C298" s="101" t="s">
        <v>185</v>
      </c>
      <c r="D298" s="12" t="s">
        <v>305</v>
      </c>
      <c r="E298" s="177">
        <f t="shared" si="28"/>
        <v>0</v>
      </c>
      <c r="F298" s="30">
        <v>2910825.57</v>
      </c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156"/>
      <c r="U298"/>
      <c r="V298" s="297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</row>
    <row r="299" spans="1:68" hidden="1">
      <c r="A299" s="295">
        <f t="shared" si="29"/>
        <v>283</v>
      </c>
      <c r="B299" s="12">
        <f t="shared" si="30"/>
        <v>95</v>
      </c>
      <c r="C299" s="101" t="s">
        <v>185</v>
      </c>
      <c r="D299" s="12" t="s">
        <v>566</v>
      </c>
      <c r="E299" s="146">
        <f t="shared" si="28"/>
        <v>0</v>
      </c>
      <c r="F299" s="30">
        <v>0</v>
      </c>
      <c r="G299" s="30">
        <v>0</v>
      </c>
      <c r="H299" s="30">
        <v>0</v>
      </c>
      <c r="I299" s="30">
        <v>0</v>
      </c>
      <c r="J299" s="30">
        <v>491444.9</v>
      </c>
      <c r="K299" s="30"/>
      <c r="L299" s="30"/>
      <c r="M299" s="30">
        <v>0</v>
      </c>
      <c r="N299" s="30">
        <v>0</v>
      </c>
      <c r="O299" s="30">
        <v>0</v>
      </c>
      <c r="P299" s="30"/>
      <c r="Q299" s="30"/>
      <c r="R299" s="30"/>
      <c r="S299" s="30"/>
      <c r="T299" s="156"/>
      <c r="U299"/>
      <c r="V299" s="297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</row>
    <row r="300" spans="1:68" hidden="1">
      <c r="A300" s="295">
        <f t="shared" si="29"/>
        <v>284</v>
      </c>
      <c r="B300" s="12">
        <f t="shared" si="30"/>
        <v>96</v>
      </c>
      <c r="C300" s="101" t="s">
        <v>185</v>
      </c>
      <c r="D300" s="12" t="s">
        <v>568</v>
      </c>
      <c r="E300" s="146">
        <f t="shared" si="28"/>
        <v>0</v>
      </c>
      <c r="F300" s="30">
        <v>0</v>
      </c>
      <c r="G300" s="30">
        <v>0</v>
      </c>
      <c r="H300" s="30"/>
      <c r="I300" s="30">
        <v>0</v>
      </c>
      <c r="J300" s="30">
        <v>0</v>
      </c>
      <c r="K300" s="30"/>
      <c r="L300" s="30"/>
      <c r="M300" s="30">
        <v>0</v>
      </c>
      <c r="N300" s="30">
        <v>12925050.76</v>
      </c>
      <c r="O300" s="30">
        <v>0</v>
      </c>
      <c r="P300" s="30"/>
      <c r="Q300" s="30">
        <v>0</v>
      </c>
      <c r="R300" s="30"/>
      <c r="S300" s="30"/>
      <c r="T300" s="156"/>
      <c r="U300"/>
      <c r="V300" s="297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</row>
    <row r="301" spans="1:68" hidden="1">
      <c r="A301" s="295">
        <f t="shared" si="29"/>
        <v>285</v>
      </c>
      <c r="B301" s="12">
        <f t="shared" si="30"/>
        <v>97</v>
      </c>
      <c r="C301" s="101" t="s">
        <v>185</v>
      </c>
      <c r="D301" s="12" t="s">
        <v>570</v>
      </c>
      <c r="E301" s="146">
        <f t="shared" ref="E301:E319" si="31">SUBTOTAL(9, F301:T301)</f>
        <v>0</v>
      </c>
      <c r="F301" s="30"/>
      <c r="G301" s="30"/>
      <c r="H301" s="30"/>
      <c r="I301" s="30">
        <v>0</v>
      </c>
      <c r="J301" s="30">
        <v>1014819.95</v>
      </c>
      <c r="K301" s="30"/>
      <c r="L301" s="30"/>
      <c r="M301" s="30"/>
      <c r="N301" s="30"/>
      <c r="O301" s="30"/>
      <c r="P301" s="30"/>
      <c r="Q301" s="30">
        <v>6995292.4800000004</v>
      </c>
      <c r="R301" s="30"/>
      <c r="S301" s="30"/>
      <c r="T301" s="156"/>
      <c r="U301"/>
      <c r="V301" s="297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</row>
    <row r="302" spans="1:68" hidden="1">
      <c r="A302" s="295">
        <f t="shared" ref="A302:A333" si="32">+A301+1</f>
        <v>286</v>
      </c>
      <c r="B302" s="12">
        <f t="shared" ref="B302:B333" si="33">+B301+1</f>
        <v>98</v>
      </c>
      <c r="C302" s="101" t="s">
        <v>185</v>
      </c>
      <c r="D302" s="12" t="s">
        <v>572</v>
      </c>
      <c r="E302" s="177">
        <f t="shared" si="31"/>
        <v>0</v>
      </c>
      <c r="F302" s="30"/>
      <c r="G302" s="30"/>
      <c r="H302" s="30">
        <v>1394976.29</v>
      </c>
      <c r="I302" s="30"/>
      <c r="J302" s="30"/>
      <c r="K302" s="30"/>
      <c r="L302" s="30"/>
      <c r="M302" s="30">
        <v>0</v>
      </c>
      <c r="N302" s="30">
        <v>0</v>
      </c>
      <c r="O302" s="30">
        <v>0</v>
      </c>
      <c r="P302" s="30"/>
      <c r="Q302" s="30">
        <v>397050</v>
      </c>
      <c r="R302" s="30">
        <v>266163.33</v>
      </c>
      <c r="S302" s="30">
        <v>6857.14</v>
      </c>
      <c r="T302" s="156"/>
      <c r="U302"/>
      <c r="V302" s="297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</row>
    <row r="303" spans="1:68" hidden="1">
      <c r="A303" s="295">
        <f t="shared" si="32"/>
        <v>287</v>
      </c>
      <c r="B303" s="12">
        <f t="shared" si="33"/>
        <v>99</v>
      </c>
      <c r="C303" s="101" t="s">
        <v>185</v>
      </c>
      <c r="D303" s="12" t="s">
        <v>459</v>
      </c>
      <c r="E303" s="177">
        <f t="shared" si="31"/>
        <v>0</v>
      </c>
      <c r="F303" s="30"/>
      <c r="G303" s="30"/>
      <c r="H303" s="30"/>
      <c r="I303" s="30"/>
      <c r="J303" s="30"/>
      <c r="K303" s="30"/>
      <c r="L303" s="30"/>
      <c r="M303" s="30"/>
      <c r="N303" s="30">
        <v>16572168.380000001</v>
      </c>
      <c r="O303" s="30"/>
      <c r="P303" s="30"/>
      <c r="Q303" s="30">
        <v>7332571.2599999998</v>
      </c>
      <c r="R303" s="30">
        <v>557738.81000000006</v>
      </c>
      <c r="S303" s="30">
        <v>6000</v>
      </c>
      <c r="T303" s="156"/>
      <c r="U303"/>
      <c r="V303" s="297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</row>
    <row r="304" spans="1:68" hidden="1">
      <c r="A304" s="295">
        <f t="shared" si="32"/>
        <v>288</v>
      </c>
      <c r="B304" s="12">
        <f t="shared" si="33"/>
        <v>100</v>
      </c>
      <c r="C304" s="101" t="s">
        <v>185</v>
      </c>
      <c r="D304" s="12" t="s">
        <v>307</v>
      </c>
      <c r="E304" s="177">
        <f t="shared" si="31"/>
        <v>0</v>
      </c>
      <c r="F304" s="30"/>
      <c r="G304" s="30"/>
      <c r="H304" s="30"/>
      <c r="I304" s="30"/>
      <c r="J304" s="30"/>
      <c r="K304" s="30"/>
      <c r="L304" s="30"/>
      <c r="M304" s="30"/>
      <c r="N304" s="30">
        <v>11436125.949999999</v>
      </c>
      <c r="O304" s="30">
        <v>0</v>
      </c>
      <c r="P304" s="30"/>
      <c r="Q304" s="30"/>
      <c r="R304" s="30">
        <v>459249.81</v>
      </c>
      <c r="S304" s="30">
        <v>16000</v>
      </c>
      <c r="T304" s="156"/>
      <c r="U304"/>
      <c r="V304" s="297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</row>
    <row r="305" spans="1:68" hidden="1">
      <c r="A305" s="295">
        <f t="shared" si="32"/>
        <v>289</v>
      </c>
      <c r="B305" s="12">
        <f t="shared" si="33"/>
        <v>101</v>
      </c>
      <c r="C305" s="101" t="s">
        <v>185</v>
      </c>
      <c r="D305" s="12" t="s">
        <v>463</v>
      </c>
      <c r="E305" s="177">
        <f t="shared" si="31"/>
        <v>0</v>
      </c>
      <c r="F305" s="30"/>
      <c r="G305" s="30"/>
      <c r="H305" s="30"/>
      <c r="I305" s="30"/>
      <c r="J305" s="30"/>
      <c r="K305" s="30"/>
      <c r="L305" s="30"/>
      <c r="M305" s="30">
        <v>0</v>
      </c>
      <c r="N305" s="30">
        <v>12001166</v>
      </c>
      <c r="O305" s="30">
        <v>0</v>
      </c>
      <c r="P305" s="30">
        <v>21351135</v>
      </c>
      <c r="Q305" s="30"/>
      <c r="R305" s="30">
        <v>544304.54</v>
      </c>
      <c r="S305" s="30">
        <v>3428.57</v>
      </c>
      <c r="T305" s="156"/>
      <c r="U305"/>
      <c r="V305" s="297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</row>
    <row r="306" spans="1:68" hidden="1">
      <c r="A306" s="295">
        <f t="shared" si="32"/>
        <v>290</v>
      </c>
      <c r="B306" s="12">
        <f t="shared" si="33"/>
        <v>102</v>
      </c>
      <c r="C306" s="101" t="s">
        <v>185</v>
      </c>
      <c r="D306" s="12" t="s">
        <v>311</v>
      </c>
      <c r="E306" s="146">
        <f t="shared" si="31"/>
        <v>0</v>
      </c>
      <c r="F306" s="30"/>
      <c r="G306" s="30"/>
      <c r="H306" s="30"/>
      <c r="I306" s="30">
        <v>754929.79</v>
      </c>
      <c r="J306" s="30">
        <v>0</v>
      </c>
      <c r="K306" s="30"/>
      <c r="L306" s="30"/>
      <c r="M306" s="30">
        <v>0</v>
      </c>
      <c r="N306" s="30"/>
      <c r="O306" s="30">
        <v>0</v>
      </c>
      <c r="P306" s="30">
        <v>0</v>
      </c>
      <c r="Q306" s="30"/>
      <c r="R306" s="30">
        <v>27925.62</v>
      </c>
      <c r="S306" s="30">
        <v>4000</v>
      </c>
      <c r="T306" s="156"/>
      <c r="U306"/>
      <c r="V306" s="297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</row>
    <row r="307" spans="1:68" hidden="1">
      <c r="A307" s="295">
        <f t="shared" si="32"/>
        <v>291</v>
      </c>
      <c r="B307" s="12">
        <f t="shared" si="33"/>
        <v>103</v>
      </c>
      <c r="C307" s="101" t="s">
        <v>185</v>
      </c>
      <c r="D307" s="12" t="s">
        <v>579</v>
      </c>
      <c r="E307" s="146">
        <f t="shared" si="31"/>
        <v>0</v>
      </c>
      <c r="F307" s="30"/>
      <c r="G307" s="30"/>
      <c r="H307" s="30"/>
      <c r="I307" s="30"/>
      <c r="J307" s="30">
        <v>982262</v>
      </c>
      <c r="K307" s="30"/>
      <c r="L307" s="30"/>
      <c r="M307" s="30"/>
      <c r="N307" s="30"/>
      <c r="O307" s="30"/>
      <c r="P307" s="30"/>
      <c r="Q307" s="30">
        <v>0</v>
      </c>
      <c r="R307" s="30"/>
      <c r="S307" s="30"/>
      <c r="T307" s="156"/>
      <c r="U307"/>
      <c r="V307" s="29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</row>
    <row r="308" spans="1:68" s="316" customFormat="1" hidden="1">
      <c r="A308" s="295">
        <f t="shared" si="32"/>
        <v>292</v>
      </c>
      <c r="B308" s="12">
        <f t="shared" si="33"/>
        <v>104</v>
      </c>
      <c r="C308" s="101" t="s">
        <v>185</v>
      </c>
      <c r="D308" s="12" t="s">
        <v>319</v>
      </c>
      <c r="E308" s="146">
        <f t="shared" si="31"/>
        <v>0</v>
      </c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>
        <v>31442611.48</v>
      </c>
      <c r="Q308" s="30">
        <v>5699540.9800000004</v>
      </c>
      <c r="R308" s="30">
        <v>607375.97</v>
      </c>
      <c r="S308" s="30">
        <v>6857.14</v>
      </c>
      <c r="T308" s="156"/>
      <c r="U308"/>
      <c r="V308" s="297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</row>
    <row r="309" spans="1:68" s="316" customFormat="1" hidden="1">
      <c r="A309" s="295">
        <f t="shared" si="32"/>
        <v>293</v>
      </c>
      <c r="B309" s="12">
        <f t="shared" si="33"/>
        <v>105</v>
      </c>
      <c r="C309" s="101" t="s">
        <v>185</v>
      </c>
      <c r="D309" s="12" t="s">
        <v>470</v>
      </c>
      <c r="E309" s="146">
        <f t="shared" si="31"/>
        <v>0</v>
      </c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>
        <v>6215148.2999999998</v>
      </c>
      <c r="R309" s="30">
        <v>253598.29</v>
      </c>
      <c r="S309" s="30">
        <v>3428.57</v>
      </c>
      <c r="T309" s="156"/>
      <c r="U309"/>
      <c r="V309" s="297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</row>
    <row r="310" spans="1:68" hidden="1">
      <c r="A310" s="295">
        <f t="shared" si="32"/>
        <v>294</v>
      </c>
      <c r="B310" s="12">
        <f t="shared" si="33"/>
        <v>106</v>
      </c>
      <c r="C310" s="101" t="s">
        <v>185</v>
      </c>
      <c r="D310" s="12" t="s">
        <v>471</v>
      </c>
      <c r="E310" s="177">
        <f t="shared" si="31"/>
        <v>0</v>
      </c>
      <c r="F310" s="30"/>
      <c r="G310" s="30"/>
      <c r="H310" s="30"/>
      <c r="I310" s="30"/>
      <c r="J310" s="30"/>
      <c r="K310" s="30"/>
      <c r="L310" s="30"/>
      <c r="M310" s="30"/>
      <c r="N310" s="30">
        <v>11858145.5</v>
      </c>
      <c r="O310" s="30">
        <v>0</v>
      </c>
      <c r="P310" s="30"/>
      <c r="Q310" s="30">
        <v>10159720.210000001</v>
      </c>
      <c r="R310" s="30">
        <v>524401.06999999995</v>
      </c>
      <c r="S310" s="30">
        <v>9600</v>
      </c>
      <c r="T310" s="156"/>
      <c r="U310"/>
      <c r="V310" s="297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</row>
    <row r="311" spans="1:68" s="316" customFormat="1" hidden="1">
      <c r="A311" s="295">
        <f t="shared" si="32"/>
        <v>295</v>
      </c>
      <c r="B311" s="12">
        <f t="shared" si="33"/>
        <v>107</v>
      </c>
      <c r="C311" s="101" t="s">
        <v>185</v>
      </c>
      <c r="D311" s="12" t="s">
        <v>584</v>
      </c>
      <c r="E311" s="146">
        <f t="shared" si="31"/>
        <v>0</v>
      </c>
      <c r="F311" s="30">
        <v>9193389.0299999993</v>
      </c>
      <c r="G311" s="30">
        <v>2924499.67</v>
      </c>
      <c r="H311" s="30">
        <v>3230753.86</v>
      </c>
      <c r="I311" s="30">
        <v>3708442.52</v>
      </c>
      <c r="J311" s="30"/>
      <c r="K311" s="30"/>
      <c r="L311" s="30"/>
      <c r="M311" s="30"/>
      <c r="N311" s="30"/>
      <c r="O311" s="30"/>
      <c r="P311" s="30"/>
      <c r="Q311" s="30"/>
      <c r="R311" s="30">
        <v>226850.47</v>
      </c>
      <c r="S311" s="30">
        <v>38345.71</v>
      </c>
      <c r="T311" s="156"/>
      <c r="U311"/>
      <c r="V311" s="297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</row>
    <row r="312" spans="1:68" hidden="1">
      <c r="A312" s="295">
        <f t="shared" si="32"/>
        <v>296</v>
      </c>
      <c r="B312" s="12">
        <f t="shared" si="33"/>
        <v>108</v>
      </c>
      <c r="C312" s="101" t="s">
        <v>185</v>
      </c>
      <c r="D312" s="12" t="s">
        <v>472</v>
      </c>
      <c r="E312" s="146">
        <f t="shared" si="31"/>
        <v>0</v>
      </c>
      <c r="F312" s="30">
        <v>0</v>
      </c>
      <c r="G312" s="30"/>
      <c r="H312" s="30">
        <v>0</v>
      </c>
      <c r="I312" s="30"/>
      <c r="J312" s="30"/>
      <c r="K312" s="30"/>
      <c r="L312" s="30"/>
      <c r="M312" s="30">
        <v>0</v>
      </c>
      <c r="N312" s="30">
        <v>0</v>
      </c>
      <c r="O312" s="30">
        <v>0</v>
      </c>
      <c r="P312" s="30">
        <v>0</v>
      </c>
      <c r="Q312" s="30">
        <v>5650467.8200000003</v>
      </c>
      <c r="R312" s="30">
        <v>202915.28</v>
      </c>
      <c r="S312" s="30">
        <v>12000</v>
      </c>
      <c r="T312" s="156"/>
      <c r="U312"/>
      <c r="V312" s="297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</row>
    <row r="313" spans="1:68" s="316" customFormat="1" hidden="1">
      <c r="A313" s="295">
        <f t="shared" si="32"/>
        <v>297</v>
      </c>
      <c r="B313" s="12">
        <f t="shared" si="33"/>
        <v>109</v>
      </c>
      <c r="C313" s="101" t="s">
        <v>185</v>
      </c>
      <c r="D313" s="12" t="s">
        <v>476</v>
      </c>
      <c r="E313" s="146">
        <f t="shared" si="31"/>
        <v>0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>
        <v>3781253.22</v>
      </c>
      <c r="R313" s="30">
        <v>188942.07999999999</v>
      </c>
      <c r="S313" s="30">
        <v>6000</v>
      </c>
      <c r="T313" s="156"/>
      <c r="U313"/>
      <c r="V313" s="297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</row>
    <row r="314" spans="1:68" hidden="1">
      <c r="A314" s="295">
        <f t="shared" si="32"/>
        <v>298</v>
      </c>
      <c r="B314" s="12">
        <f t="shared" si="33"/>
        <v>110</v>
      </c>
      <c r="C314" s="101" t="s">
        <v>185</v>
      </c>
      <c r="D314" s="12" t="s">
        <v>331</v>
      </c>
      <c r="E314" s="146">
        <f t="shared" si="31"/>
        <v>0</v>
      </c>
      <c r="F314" s="30"/>
      <c r="G314" s="30"/>
      <c r="H314" s="30">
        <v>3542032.19</v>
      </c>
      <c r="I314" s="30"/>
      <c r="J314" s="30"/>
      <c r="K314" s="30"/>
      <c r="L314" s="30"/>
      <c r="M314" s="30">
        <v>0</v>
      </c>
      <c r="N314" s="30">
        <v>10714681.140000001</v>
      </c>
      <c r="O314" s="30">
        <v>0</v>
      </c>
      <c r="P314" s="30"/>
      <c r="Q314" s="30"/>
      <c r="R314" s="30"/>
      <c r="S314" s="30"/>
      <c r="T314" s="156">
        <f>39596.34+114695.17</f>
        <v>154291.51</v>
      </c>
      <c r="U314"/>
      <c r="V314" s="297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</row>
    <row r="315" spans="1:68" hidden="1">
      <c r="A315" s="295">
        <f t="shared" si="32"/>
        <v>299</v>
      </c>
      <c r="B315" s="12">
        <f t="shared" si="33"/>
        <v>111</v>
      </c>
      <c r="C315" s="101" t="s">
        <v>185</v>
      </c>
      <c r="D315" s="12" t="s">
        <v>589</v>
      </c>
      <c r="E315" s="177">
        <f t="shared" si="31"/>
        <v>0</v>
      </c>
      <c r="F315" s="30">
        <v>10074980.949999999</v>
      </c>
      <c r="G315" s="30">
        <v>4483956.54</v>
      </c>
      <c r="H315" s="30">
        <v>3411282.04</v>
      </c>
      <c r="I315" s="30">
        <v>5243801.6900000004</v>
      </c>
      <c r="J315" s="30"/>
      <c r="K315" s="30"/>
      <c r="L315" s="30"/>
      <c r="M315" s="30">
        <v>0</v>
      </c>
      <c r="N315" s="30">
        <v>9153591.6999999993</v>
      </c>
      <c r="O315" s="30">
        <v>0</v>
      </c>
      <c r="P315" s="30"/>
      <c r="Q315" s="30">
        <v>8863513.9399999995</v>
      </c>
      <c r="R315" s="30"/>
      <c r="S315" s="30"/>
      <c r="T315" s="156"/>
      <c r="U315"/>
      <c r="V315" s="297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</row>
    <row r="316" spans="1:68" hidden="1">
      <c r="A316" s="295">
        <f t="shared" si="32"/>
        <v>300</v>
      </c>
      <c r="B316" s="12">
        <f t="shared" si="33"/>
        <v>112</v>
      </c>
      <c r="C316" s="101" t="s">
        <v>185</v>
      </c>
      <c r="D316" s="12" t="s">
        <v>325</v>
      </c>
      <c r="E316" s="146">
        <f t="shared" si="31"/>
        <v>0</v>
      </c>
      <c r="F316" s="30">
        <v>2721466.55</v>
      </c>
      <c r="G316" s="30"/>
      <c r="H316" s="30">
        <v>0</v>
      </c>
      <c r="I316" s="30"/>
      <c r="J316" s="30"/>
      <c r="K316" s="30"/>
      <c r="L316" s="30"/>
      <c r="M316" s="30">
        <v>0</v>
      </c>
      <c r="N316" s="30">
        <v>0</v>
      </c>
      <c r="O316" s="30">
        <v>0</v>
      </c>
      <c r="P316" s="30"/>
      <c r="Q316" s="30">
        <v>0</v>
      </c>
      <c r="R316" s="30"/>
      <c r="S316" s="30"/>
      <c r="T316" s="156"/>
      <c r="U316"/>
      <c r="V316" s="297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</row>
    <row r="317" spans="1:68" hidden="1">
      <c r="A317" s="295">
        <f t="shared" si="32"/>
        <v>301</v>
      </c>
      <c r="B317" s="12">
        <f t="shared" si="33"/>
        <v>113</v>
      </c>
      <c r="C317" s="101" t="s">
        <v>185</v>
      </c>
      <c r="D317" s="12" t="s">
        <v>479</v>
      </c>
      <c r="E317" s="146">
        <f t="shared" si="31"/>
        <v>0</v>
      </c>
      <c r="F317" s="30"/>
      <c r="G317" s="30"/>
      <c r="H317" s="30">
        <v>740900.59</v>
      </c>
      <c r="I317" s="30"/>
      <c r="J317" s="30"/>
      <c r="K317" s="30"/>
      <c r="L317" s="30"/>
      <c r="M317" s="30">
        <v>0</v>
      </c>
      <c r="N317" s="30">
        <v>0</v>
      </c>
      <c r="O317" s="30">
        <v>0</v>
      </c>
      <c r="P317" s="30"/>
      <c r="Q317" s="30">
        <v>0</v>
      </c>
      <c r="R317" s="30"/>
      <c r="S317" s="30"/>
      <c r="T317" s="156"/>
      <c r="U317"/>
      <c r="V317" s="29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</row>
    <row r="318" spans="1:68" hidden="1">
      <c r="A318" s="295">
        <f t="shared" si="32"/>
        <v>302</v>
      </c>
      <c r="B318" s="12">
        <f t="shared" si="33"/>
        <v>114</v>
      </c>
      <c r="C318" s="101" t="s">
        <v>185</v>
      </c>
      <c r="D318" s="12" t="s">
        <v>592</v>
      </c>
      <c r="E318" s="177">
        <f t="shared" si="31"/>
        <v>0</v>
      </c>
      <c r="F318" s="30"/>
      <c r="G318" s="30"/>
      <c r="H318" s="30">
        <v>691534.88</v>
      </c>
      <c r="I318" s="30"/>
      <c r="J318" s="30"/>
      <c r="K318" s="30"/>
      <c r="L318" s="30"/>
      <c r="M318" s="30">
        <v>0</v>
      </c>
      <c r="N318" s="30">
        <v>4297021.2</v>
      </c>
      <c r="O318" s="30">
        <v>0</v>
      </c>
      <c r="P318" s="30">
        <v>4620135.5999999996</v>
      </c>
      <c r="Q318" s="30"/>
      <c r="R318" s="30"/>
      <c r="S318" s="30"/>
      <c r="T318" s="156"/>
      <c r="U318"/>
      <c r="V318" s="297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</row>
    <row r="319" spans="1:68" hidden="1">
      <c r="A319" s="295">
        <f t="shared" si="32"/>
        <v>303</v>
      </c>
      <c r="B319" s="12">
        <f t="shared" si="33"/>
        <v>115</v>
      </c>
      <c r="C319" s="101" t="s">
        <v>185</v>
      </c>
      <c r="D319" s="12" t="s">
        <v>594</v>
      </c>
      <c r="E319" s="177">
        <f t="shared" si="31"/>
        <v>0</v>
      </c>
      <c r="F319" s="30">
        <v>5602096.1600000001</v>
      </c>
      <c r="G319" s="30"/>
      <c r="H319" s="30">
        <v>2119328.04</v>
      </c>
      <c r="I319" s="30">
        <v>2021455.51</v>
      </c>
      <c r="J319" s="30"/>
      <c r="K319" s="30"/>
      <c r="L319" s="30"/>
      <c r="M319" s="30">
        <v>0</v>
      </c>
      <c r="N319" s="30">
        <v>0</v>
      </c>
      <c r="O319" s="30">
        <v>0</v>
      </c>
      <c r="P319" s="30">
        <v>0</v>
      </c>
      <c r="Q319" s="30">
        <v>0</v>
      </c>
      <c r="R319" s="30">
        <v>75973.289999999994</v>
      </c>
      <c r="S319" s="30">
        <v>18000</v>
      </c>
      <c r="T319" s="156">
        <f>57091.46+25343.66+23723.51</f>
        <v>106158.62999999999</v>
      </c>
      <c r="U319"/>
      <c r="V319" s="297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</row>
    <row r="320" spans="1:68" hidden="1">
      <c r="A320" s="295">
        <f t="shared" si="32"/>
        <v>304</v>
      </c>
      <c r="B320" s="12">
        <f t="shared" si="33"/>
        <v>116</v>
      </c>
      <c r="C320" s="101" t="s">
        <v>22</v>
      </c>
      <c r="D320" s="12" t="s">
        <v>596</v>
      </c>
      <c r="E320" s="146">
        <f>SUM(F320:T320)</f>
        <v>4371808.87</v>
      </c>
      <c r="F320" s="12"/>
      <c r="G320" s="30"/>
      <c r="H320" s="30"/>
      <c r="I320" s="30"/>
      <c r="J320" s="30"/>
      <c r="K320" s="30"/>
      <c r="L320" s="30"/>
      <c r="M320" s="30"/>
      <c r="N320" s="30"/>
      <c r="O320" s="30"/>
      <c r="P320" s="30">
        <v>4363808.87</v>
      </c>
      <c r="Q320" s="30"/>
      <c r="R320" s="30"/>
      <c r="S320" s="30">
        <v>8000</v>
      </c>
      <c r="T320" s="156"/>
      <c r="U320"/>
      <c r="V320" s="297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</row>
    <row r="321" spans="1:68" hidden="1">
      <c r="A321" s="295">
        <f t="shared" si="32"/>
        <v>305</v>
      </c>
      <c r="B321" s="12">
        <f t="shared" si="33"/>
        <v>117</v>
      </c>
      <c r="C321" s="101" t="s">
        <v>22</v>
      </c>
      <c r="D321" s="12" t="s">
        <v>597</v>
      </c>
      <c r="E321" s="146">
        <f>SUM(F321:T321)</f>
        <v>4868835.68</v>
      </c>
      <c r="F321" s="12"/>
      <c r="G321" s="30"/>
      <c r="H321" s="30"/>
      <c r="I321" s="30"/>
      <c r="J321" s="30"/>
      <c r="K321" s="30"/>
      <c r="L321" s="30"/>
      <c r="M321" s="30"/>
      <c r="N321" s="30"/>
      <c r="O321" s="30"/>
      <c r="P321" s="30">
        <v>4860835.68</v>
      </c>
      <c r="Q321" s="30"/>
      <c r="R321" s="30"/>
      <c r="S321" s="30">
        <v>8000</v>
      </c>
      <c r="T321" s="156"/>
      <c r="U321"/>
      <c r="V321" s="297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</row>
    <row r="322" spans="1:68" hidden="1">
      <c r="A322" s="295">
        <f t="shared" si="32"/>
        <v>306</v>
      </c>
      <c r="B322" s="12">
        <f t="shared" si="33"/>
        <v>118</v>
      </c>
      <c r="C322" s="101" t="s">
        <v>22</v>
      </c>
      <c r="D322" s="12" t="s">
        <v>600</v>
      </c>
      <c r="E322" s="146">
        <f>SUM(F322:T322)</f>
        <v>4279157.95</v>
      </c>
      <c r="F322" s="12"/>
      <c r="G322" s="30"/>
      <c r="H322" s="30"/>
      <c r="I322" s="30"/>
      <c r="J322" s="30"/>
      <c r="K322" s="30"/>
      <c r="L322" s="30"/>
      <c r="M322" s="30"/>
      <c r="N322" s="30"/>
      <c r="O322" s="30"/>
      <c r="P322" s="30">
        <v>4274357.95</v>
      </c>
      <c r="Q322" s="30"/>
      <c r="R322" s="30"/>
      <c r="S322" s="30">
        <v>4800</v>
      </c>
      <c r="T322" s="156"/>
      <c r="U322"/>
      <c r="V322" s="297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</row>
    <row r="323" spans="1:68" hidden="1">
      <c r="A323" s="295">
        <f t="shared" si="32"/>
        <v>307</v>
      </c>
      <c r="B323" s="12">
        <f t="shared" si="33"/>
        <v>119</v>
      </c>
      <c r="C323" s="101" t="s">
        <v>82</v>
      </c>
      <c r="D323" s="12" t="s">
        <v>602</v>
      </c>
      <c r="E323" s="146">
        <f t="shared" ref="E323:E354" si="34">SUBTOTAL(9, F323:T323)</f>
        <v>0</v>
      </c>
      <c r="F323" s="30">
        <v>0</v>
      </c>
      <c r="G323" s="30">
        <v>0</v>
      </c>
      <c r="H323" s="30">
        <v>0</v>
      </c>
      <c r="I323" s="30">
        <v>0</v>
      </c>
      <c r="J323" s="30">
        <v>0</v>
      </c>
      <c r="K323" s="30"/>
      <c r="L323" s="30"/>
      <c r="M323" s="30">
        <v>0</v>
      </c>
      <c r="N323" s="30">
        <v>0</v>
      </c>
      <c r="O323" s="30">
        <v>0</v>
      </c>
      <c r="P323" s="30">
        <v>3647660.37</v>
      </c>
      <c r="Q323" s="30">
        <v>0</v>
      </c>
      <c r="R323" s="30">
        <v>37720.83</v>
      </c>
      <c r="S323" s="30">
        <v>24000</v>
      </c>
      <c r="T323" s="156"/>
      <c r="U323"/>
      <c r="V323" s="297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</row>
    <row r="324" spans="1:68" hidden="1">
      <c r="A324" s="295">
        <f t="shared" si="32"/>
        <v>308</v>
      </c>
      <c r="B324" s="12">
        <f t="shared" si="33"/>
        <v>120</v>
      </c>
      <c r="C324" s="101" t="s">
        <v>87</v>
      </c>
      <c r="D324" s="12" t="s">
        <v>604</v>
      </c>
      <c r="E324" s="146">
        <f t="shared" si="34"/>
        <v>0</v>
      </c>
      <c r="F324" s="30">
        <v>0</v>
      </c>
      <c r="G324" s="30">
        <v>0</v>
      </c>
      <c r="H324" s="30">
        <v>0</v>
      </c>
      <c r="I324" s="30">
        <v>0</v>
      </c>
      <c r="J324" s="30">
        <v>0</v>
      </c>
      <c r="K324" s="30"/>
      <c r="L324" s="30"/>
      <c r="M324" s="30">
        <v>0</v>
      </c>
      <c r="N324" s="30">
        <v>8397877.9900000002</v>
      </c>
      <c r="O324" s="30">
        <v>0</v>
      </c>
      <c r="P324" s="30">
        <v>0</v>
      </c>
      <c r="Q324" s="30">
        <v>0</v>
      </c>
      <c r="R324" s="30">
        <v>44378.15</v>
      </c>
      <c r="S324" s="30">
        <v>24000</v>
      </c>
      <c r="T324" s="156"/>
      <c r="U324"/>
      <c r="V324" s="297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</row>
    <row r="325" spans="1:68" hidden="1">
      <c r="A325" s="295">
        <f t="shared" si="32"/>
        <v>309</v>
      </c>
      <c r="B325" s="12">
        <f t="shared" si="33"/>
        <v>121</v>
      </c>
      <c r="C325" s="101" t="s">
        <v>87</v>
      </c>
      <c r="D325" s="12" t="s">
        <v>606</v>
      </c>
      <c r="E325" s="146">
        <f t="shared" si="34"/>
        <v>0</v>
      </c>
      <c r="F325" s="30">
        <v>0</v>
      </c>
      <c r="G325" s="30">
        <v>0</v>
      </c>
      <c r="H325" s="30">
        <v>0</v>
      </c>
      <c r="I325" s="30">
        <v>0</v>
      </c>
      <c r="J325" s="30">
        <v>0</v>
      </c>
      <c r="K325" s="30"/>
      <c r="L325" s="30"/>
      <c r="M325" s="30">
        <v>0</v>
      </c>
      <c r="N325" s="30">
        <v>5277865.75</v>
      </c>
      <c r="O325" s="30">
        <v>0</v>
      </c>
      <c r="P325" s="30">
        <v>0</v>
      </c>
      <c r="Q325" s="30">
        <v>0</v>
      </c>
      <c r="R325" s="30">
        <v>45375.360000000001</v>
      </c>
      <c r="S325" s="30">
        <v>24000</v>
      </c>
      <c r="T325" s="156"/>
      <c r="U325"/>
      <c r="V325" s="297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idden="1">
      <c r="A326" s="295">
        <f t="shared" si="32"/>
        <v>310</v>
      </c>
      <c r="B326" s="12">
        <f t="shared" si="33"/>
        <v>122</v>
      </c>
      <c r="C326" s="101" t="s">
        <v>87</v>
      </c>
      <c r="D326" s="12" t="s">
        <v>97</v>
      </c>
      <c r="E326" s="146">
        <f t="shared" si="34"/>
        <v>0</v>
      </c>
      <c r="F326" s="30"/>
      <c r="G326" s="30"/>
      <c r="H326" s="30">
        <v>0</v>
      </c>
      <c r="I326" s="30"/>
      <c r="J326" s="30"/>
      <c r="K326" s="30"/>
      <c r="L326" s="30"/>
      <c r="M326" s="30">
        <v>0</v>
      </c>
      <c r="N326" s="30">
        <v>0</v>
      </c>
      <c r="O326" s="30">
        <v>2289454.4300000002</v>
      </c>
      <c r="P326" s="30">
        <v>0</v>
      </c>
      <c r="Q326" s="30"/>
      <c r="R326" s="30"/>
      <c r="S326" s="30"/>
      <c r="T326" s="156"/>
      <c r="U326"/>
      <c r="V326" s="297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</row>
    <row r="327" spans="1:68" ht="13.5" hidden="1" customHeight="1">
      <c r="A327" s="295">
        <f t="shared" si="32"/>
        <v>311</v>
      </c>
      <c r="B327" s="12">
        <f t="shared" si="33"/>
        <v>123</v>
      </c>
      <c r="C327" s="101" t="s">
        <v>87</v>
      </c>
      <c r="D327" s="12" t="s">
        <v>100</v>
      </c>
      <c r="E327" s="146">
        <f t="shared" si="34"/>
        <v>0</v>
      </c>
      <c r="F327" s="30"/>
      <c r="G327" s="30"/>
      <c r="H327" s="30">
        <v>0</v>
      </c>
      <c r="I327" s="30"/>
      <c r="J327" s="30"/>
      <c r="K327" s="30"/>
      <c r="L327" s="30"/>
      <c r="M327" s="30">
        <v>0</v>
      </c>
      <c r="N327" s="30">
        <v>0</v>
      </c>
      <c r="O327" s="30">
        <v>3010833.7</v>
      </c>
      <c r="P327" s="30">
        <v>0</v>
      </c>
      <c r="Q327" s="30"/>
      <c r="R327" s="30"/>
      <c r="S327" s="30"/>
      <c r="T327" s="156"/>
      <c r="U327"/>
      <c r="V327" s="29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</row>
    <row r="328" spans="1:68" hidden="1">
      <c r="A328" s="295">
        <f t="shared" si="32"/>
        <v>312</v>
      </c>
      <c r="B328" s="12">
        <f t="shared" si="33"/>
        <v>124</v>
      </c>
      <c r="C328" s="101" t="s">
        <v>104</v>
      </c>
      <c r="D328" s="12" t="s">
        <v>608</v>
      </c>
      <c r="E328" s="146">
        <f t="shared" si="34"/>
        <v>0</v>
      </c>
      <c r="F328" s="30">
        <v>0</v>
      </c>
      <c r="G328" s="30">
        <v>0</v>
      </c>
      <c r="H328" s="30">
        <v>1652498.41</v>
      </c>
      <c r="I328" s="30">
        <v>0</v>
      </c>
      <c r="J328" s="30">
        <v>0</v>
      </c>
      <c r="K328" s="30"/>
      <c r="L328" s="30"/>
      <c r="M328" s="30">
        <v>0</v>
      </c>
      <c r="N328" s="30">
        <v>0</v>
      </c>
      <c r="O328" s="30">
        <v>0</v>
      </c>
      <c r="P328" s="30">
        <v>0</v>
      </c>
      <c r="Q328" s="30">
        <v>0</v>
      </c>
      <c r="R328" s="30"/>
      <c r="S328" s="30"/>
      <c r="T328" s="156"/>
      <c r="U328"/>
      <c r="V328" s="297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</row>
    <row r="329" spans="1:68" hidden="1">
      <c r="A329" s="295">
        <f t="shared" si="32"/>
        <v>313</v>
      </c>
      <c r="B329" s="12">
        <f t="shared" si="33"/>
        <v>125</v>
      </c>
      <c r="C329" s="101" t="s">
        <v>104</v>
      </c>
      <c r="D329" s="12" t="s">
        <v>610</v>
      </c>
      <c r="E329" s="146">
        <f t="shared" si="34"/>
        <v>0</v>
      </c>
      <c r="F329" s="30">
        <v>0</v>
      </c>
      <c r="G329" s="30">
        <v>0</v>
      </c>
      <c r="H329" s="30">
        <v>1424229.18</v>
      </c>
      <c r="I329" s="30">
        <v>0</v>
      </c>
      <c r="J329" s="30">
        <v>0</v>
      </c>
      <c r="K329" s="30"/>
      <c r="L329" s="30"/>
      <c r="M329" s="30">
        <v>0</v>
      </c>
      <c r="N329" s="30">
        <v>0</v>
      </c>
      <c r="O329" s="30">
        <v>0</v>
      </c>
      <c r="P329" s="30">
        <v>0</v>
      </c>
      <c r="Q329" s="30">
        <v>0</v>
      </c>
      <c r="R329" s="30"/>
      <c r="S329" s="30"/>
      <c r="T329" s="156"/>
    </row>
    <row r="330" spans="1:68" hidden="1">
      <c r="A330" s="295">
        <f t="shared" si="32"/>
        <v>314</v>
      </c>
      <c r="B330" s="12">
        <f t="shared" si="33"/>
        <v>126</v>
      </c>
      <c r="C330" s="101" t="s">
        <v>350</v>
      </c>
      <c r="D330" s="12" t="s">
        <v>351</v>
      </c>
      <c r="E330" s="146">
        <f t="shared" si="34"/>
        <v>0</v>
      </c>
      <c r="F330" s="30">
        <v>5026597.2300000004</v>
      </c>
      <c r="G330" s="30">
        <v>1761810.43</v>
      </c>
      <c r="H330" s="30">
        <v>2190965.2999999998</v>
      </c>
      <c r="I330" s="30">
        <v>962343.08</v>
      </c>
      <c r="J330" s="30"/>
      <c r="K330" s="30"/>
      <c r="L330" s="30"/>
      <c r="M330" s="30"/>
      <c r="N330" s="30"/>
      <c r="O330" s="30">
        <v>0</v>
      </c>
      <c r="P330" s="30"/>
      <c r="Q330" s="30">
        <v>7229466.9100000001</v>
      </c>
      <c r="R330" s="30"/>
      <c r="S330" s="30"/>
      <c r="T330" s="156">
        <f>143369.99-37154.08</f>
        <v>106215.90999999999</v>
      </c>
    </row>
    <row r="331" spans="1:68" hidden="1">
      <c r="A331" s="295">
        <f t="shared" si="32"/>
        <v>315</v>
      </c>
      <c r="B331" s="12">
        <f t="shared" si="33"/>
        <v>127</v>
      </c>
      <c r="C331" s="101" t="s">
        <v>112</v>
      </c>
      <c r="D331" s="12" t="s">
        <v>352</v>
      </c>
      <c r="E331" s="146">
        <f t="shared" si="34"/>
        <v>0</v>
      </c>
      <c r="F331" s="30"/>
      <c r="G331" s="30"/>
      <c r="H331" s="30">
        <v>3897843.76</v>
      </c>
      <c r="I331" s="30"/>
      <c r="J331" s="30">
        <v>0</v>
      </c>
      <c r="K331" s="30"/>
      <c r="L331" s="30"/>
      <c r="M331" s="30">
        <v>0</v>
      </c>
      <c r="N331" s="30"/>
      <c r="O331" s="30">
        <v>0</v>
      </c>
      <c r="P331" s="30"/>
      <c r="Q331" s="30">
        <v>13397912.35</v>
      </c>
      <c r="R331" s="30"/>
      <c r="S331" s="30"/>
      <c r="T331" s="156">
        <v>91324.45</v>
      </c>
    </row>
    <row r="332" spans="1:68" hidden="1">
      <c r="A332" s="295">
        <f t="shared" si="32"/>
        <v>316</v>
      </c>
      <c r="B332" s="12">
        <f t="shared" si="33"/>
        <v>128</v>
      </c>
      <c r="C332" s="101" t="s">
        <v>355</v>
      </c>
      <c r="D332" s="12" t="s">
        <v>612</v>
      </c>
      <c r="E332" s="177">
        <f t="shared" si="34"/>
        <v>0</v>
      </c>
      <c r="F332" s="30">
        <v>0</v>
      </c>
      <c r="G332" s="30">
        <v>0</v>
      </c>
      <c r="H332" s="30"/>
      <c r="I332" s="30">
        <v>0</v>
      </c>
      <c r="J332" s="30">
        <v>0</v>
      </c>
      <c r="K332" s="30"/>
      <c r="L332" s="30"/>
      <c r="M332" s="30">
        <v>0</v>
      </c>
      <c r="N332" s="30">
        <v>0</v>
      </c>
      <c r="O332" s="30"/>
      <c r="P332" s="30">
        <v>0</v>
      </c>
      <c r="Q332" s="30">
        <v>723055.9</v>
      </c>
      <c r="R332" s="30"/>
      <c r="S332" s="30"/>
      <c r="T332" s="156"/>
    </row>
    <row r="333" spans="1:68" hidden="1">
      <c r="A333" s="295">
        <f t="shared" si="32"/>
        <v>317</v>
      </c>
      <c r="B333" s="12">
        <f t="shared" si="33"/>
        <v>129</v>
      </c>
      <c r="C333" s="101" t="s">
        <v>355</v>
      </c>
      <c r="D333" s="12" t="s">
        <v>614</v>
      </c>
      <c r="E333" s="177">
        <f t="shared" si="34"/>
        <v>0</v>
      </c>
      <c r="F333" s="30">
        <v>4702523.4800000004</v>
      </c>
      <c r="G333" s="30">
        <v>2022696.79</v>
      </c>
      <c r="H333" s="30">
        <v>1167206.26</v>
      </c>
      <c r="I333" s="30">
        <v>727220.9</v>
      </c>
      <c r="J333" s="30">
        <v>0</v>
      </c>
      <c r="K333" s="30"/>
      <c r="L333" s="30"/>
      <c r="M333" s="30">
        <v>0</v>
      </c>
      <c r="N333" s="30">
        <v>8051725.5099999998</v>
      </c>
      <c r="O333" s="30"/>
      <c r="P333" s="30"/>
      <c r="Q333" s="30">
        <v>499425.9</v>
      </c>
      <c r="R333" s="30"/>
      <c r="S333" s="30"/>
      <c r="T333" s="156"/>
    </row>
    <row r="334" spans="1:68" s="142" customFormat="1" hidden="1">
      <c r="A334" s="295">
        <f t="shared" ref="A334:A365" si="35">+A333+1</f>
        <v>318</v>
      </c>
      <c r="B334" s="12">
        <f t="shared" ref="B334:B365" si="36">+B333+1</f>
        <v>130</v>
      </c>
      <c r="C334" s="101" t="s">
        <v>355</v>
      </c>
      <c r="D334" s="12" t="s">
        <v>615</v>
      </c>
      <c r="E334" s="146">
        <f t="shared" si="34"/>
        <v>0</v>
      </c>
      <c r="F334" s="30">
        <v>7902876.3399999999</v>
      </c>
      <c r="G334" s="30">
        <v>4092711.1</v>
      </c>
      <c r="H334" s="30">
        <v>4295794.0999999996</v>
      </c>
      <c r="I334" s="30"/>
      <c r="J334" s="30"/>
      <c r="K334" s="30"/>
      <c r="L334" s="30"/>
      <c r="M334" s="30"/>
      <c r="N334" s="30">
        <v>28212794</v>
      </c>
      <c r="O334" s="30"/>
      <c r="P334" s="30"/>
      <c r="Q334" s="30">
        <v>2361500.36</v>
      </c>
      <c r="R334" s="30">
        <v>1221768.28</v>
      </c>
      <c r="S334" s="30">
        <v>17142.86</v>
      </c>
      <c r="T334" s="156"/>
      <c r="V334" s="285"/>
    </row>
    <row r="335" spans="1:68" hidden="1">
      <c r="A335" s="295">
        <f t="shared" si="35"/>
        <v>319</v>
      </c>
      <c r="B335" s="12">
        <f t="shared" si="36"/>
        <v>131</v>
      </c>
      <c r="C335" s="101" t="s">
        <v>355</v>
      </c>
      <c r="D335" s="12" t="s">
        <v>616</v>
      </c>
      <c r="E335" s="177">
        <f t="shared" si="34"/>
        <v>0</v>
      </c>
      <c r="F335" s="30">
        <v>2561264.63</v>
      </c>
      <c r="G335" s="30">
        <v>1831960.83</v>
      </c>
      <c r="H335" s="30">
        <v>1491883.2</v>
      </c>
      <c r="I335" s="30">
        <v>879028.5</v>
      </c>
      <c r="J335" s="30">
        <v>0</v>
      </c>
      <c r="K335" s="30"/>
      <c r="L335" s="30"/>
      <c r="M335" s="30"/>
      <c r="N335" s="30">
        <v>4643142.2300000004</v>
      </c>
      <c r="O335" s="30"/>
      <c r="P335" s="30">
        <v>0</v>
      </c>
      <c r="Q335" s="30">
        <v>780917.81</v>
      </c>
      <c r="R335" s="30"/>
      <c r="S335" s="30"/>
      <c r="T335" s="156"/>
    </row>
    <row r="336" spans="1:68" hidden="1">
      <c r="A336" s="295">
        <f t="shared" si="35"/>
        <v>320</v>
      </c>
      <c r="B336" s="12">
        <f t="shared" si="36"/>
        <v>132</v>
      </c>
      <c r="C336" s="101" t="s">
        <v>355</v>
      </c>
      <c r="D336" s="12" t="s">
        <v>526</v>
      </c>
      <c r="E336" s="177">
        <f t="shared" si="34"/>
        <v>0</v>
      </c>
      <c r="F336" s="30">
        <v>10796865.48</v>
      </c>
      <c r="G336" s="30"/>
      <c r="H336" s="30">
        <v>2146766.7400000002</v>
      </c>
      <c r="I336" s="30"/>
      <c r="J336" s="30">
        <v>0</v>
      </c>
      <c r="K336" s="30"/>
      <c r="L336" s="30"/>
      <c r="M336" s="30">
        <v>0</v>
      </c>
      <c r="N336" s="30"/>
      <c r="O336" s="30">
        <v>0</v>
      </c>
      <c r="P336" s="30"/>
      <c r="Q336" s="30">
        <v>560127.01</v>
      </c>
      <c r="R336" s="30"/>
      <c r="S336" s="30"/>
      <c r="T336" s="156"/>
    </row>
    <row r="337" spans="1:24" hidden="1">
      <c r="A337" s="295">
        <f t="shared" si="35"/>
        <v>321</v>
      </c>
      <c r="B337" s="12">
        <f t="shared" si="36"/>
        <v>133</v>
      </c>
      <c r="C337" s="101" t="s">
        <v>355</v>
      </c>
      <c r="D337" s="12" t="s">
        <v>618</v>
      </c>
      <c r="E337" s="146">
        <f t="shared" si="34"/>
        <v>0</v>
      </c>
      <c r="F337" s="188"/>
      <c r="G337" s="30"/>
      <c r="H337" s="30"/>
      <c r="I337" s="30"/>
      <c r="J337" s="30"/>
      <c r="K337" s="30"/>
      <c r="L337" s="30"/>
      <c r="M337" s="30">
        <v>5252854.22</v>
      </c>
      <c r="N337" s="30"/>
      <c r="O337" s="30"/>
      <c r="P337" s="30"/>
      <c r="Q337" s="30"/>
      <c r="R337" s="30">
        <v>103820.17</v>
      </c>
      <c r="S337" s="30">
        <v>18352.61</v>
      </c>
      <c r="T337" s="156"/>
    </row>
    <row r="338" spans="1:24" hidden="1">
      <c r="A338" s="295">
        <f t="shared" si="35"/>
        <v>322</v>
      </c>
      <c r="B338" s="12">
        <f t="shared" si="36"/>
        <v>134</v>
      </c>
      <c r="C338" s="101" t="s">
        <v>355</v>
      </c>
      <c r="D338" s="12" t="s">
        <v>529</v>
      </c>
      <c r="E338" s="177">
        <f t="shared" si="34"/>
        <v>0</v>
      </c>
      <c r="F338" s="30"/>
      <c r="G338" s="30"/>
      <c r="H338" s="30"/>
      <c r="I338" s="30"/>
      <c r="J338" s="30">
        <v>0</v>
      </c>
      <c r="K338" s="30"/>
      <c r="L338" s="30"/>
      <c r="M338" s="30">
        <v>0</v>
      </c>
      <c r="N338" s="30">
        <v>4053363.43</v>
      </c>
      <c r="O338" s="30">
        <v>0</v>
      </c>
      <c r="P338" s="30"/>
      <c r="Q338" s="30"/>
      <c r="R338" s="30"/>
      <c r="S338" s="30"/>
      <c r="T338" s="156"/>
    </row>
    <row r="339" spans="1:24" hidden="1">
      <c r="A339" s="295">
        <f t="shared" si="35"/>
        <v>323</v>
      </c>
      <c r="B339" s="12">
        <f t="shared" si="36"/>
        <v>135</v>
      </c>
      <c r="C339" s="101" t="s">
        <v>355</v>
      </c>
      <c r="D339" s="12" t="s">
        <v>530</v>
      </c>
      <c r="E339" s="177">
        <f t="shared" si="34"/>
        <v>0</v>
      </c>
      <c r="F339" s="30"/>
      <c r="G339" s="30"/>
      <c r="H339" s="30"/>
      <c r="I339" s="30"/>
      <c r="J339" s="30"/>
      <c r="K339" s="30"/>
      <c r="L339" s="30"/>
      <c r="M339" s="30">
        <v>0</v>
      </c>
      <c r="N339" s="30">
        <v>10962284.210000001</v>
      </c>
      <c r="O339" s="30">
        <v>0</v>
      </c>
      <c r="P339" s="30"/>
      <c r="Q339" s="30">
        <v>798146.76</v>
      </c>
      <c r="R339" s="30"/>
      <c r="S339" s="30"/>
      <c r="T339" s="156"/>
    </row>
    <row r="340" spans="1:24" hidden="1">
      <c r="A340" s="295">
        <f t="shared" si="35"/>
        <v>324</v>
      </c>
      <c r="B340" s="12">
        <f t="shared" si="36"/>
        <v>136</v>
      </c>
      <c r="C340" s="101" t="s">
        <v>355</v>
      </c>
      <c r="D340" s="12" t="s">
        <v>533</v>
      </c>
      <c r="E340" s="177">
        <f t="shared" si="34"/>
        <v>0</v>
      </c>
      <c r="F340" s="30"/>
      <c r="G340" s="30"/>
      <c r="H340" s="30"/>
      <c r="I340" s="30"/>
      <c r="J340" s="30"/>
      <c r="K340" s="30"/>
      <c r="L340" s="30"/>
      <c r="M340" s="30">
        <v>0</v>
      </c>
      <c r="N340" s="30">
        <v>4587330.62</v>
      </c>
      <c r="O340" s="30">
        <v>0</v>
      </c>
      <c r="P340" s="30"/>
      <c r="Q340" s="30">
        <v>841430.69</v>
      </c>
      <c r="R340" s="30"/>
      <c r="S340" s="30"/>
      <c r="T340" s="156"/>
    </row>
    <row r="341" spans="1:24" hidden="1">
      <c r="A341" s="295">
        <f t="shared" si="35"/>
        <v>325</v>
      </c>
      <c r="B341" s="12">
        <f t="shared" si="36"/>
        <v>137</v>
      </c>
      <c r="C341" s="101" t="s">
        <v>355</v>
      </c>
      <c r="D341" s="12" t="s">
        <v>620</v>
      </c>
      <c r="E341" s="177">
        <f t="shared" si="34"/>
        <v>0</v>
      </c>
      <c r="F341" s="30"/>
      <c r="G341" s="30"/>
      <c r="H341" s="30"/>
      <c r="I341" s="30"/>
      <c r="J341" s="30">
        <v>0</v>
      </c>
      <c r="K341" s="30"/>
      <c r="L341" s="30"/>
      <c r="M341" s="30">
        <v>0</v>
      </c>
      <c r="N341" s="30"/>
      <c r="O341" s="30"/>
      <c r="P341" s="30"/>
      <c r="Q341" s="30">
        <v>1345945.45</v>
      </c>
      <c r="R341" s="30"/>
      <c r="S341" s="30"/>
      <c r="T341" s="156"/>
    </row>
    <row r="342" spans="1:24" hidden="1">
      <c r="A342" s="295">
        <f t="shared" si="35"/>
        <v>326</v>
      </c>
      <c r="B342" s="12">
        <f t="shared" si="36"/>
        <v>138</v>
      </c>
      <c r="C342" s="101" t="s">
        <v>355</v>
      </c>
      <c r="D342" s="12" t="s">
        <v>538</v>
      </c>
      <c r="E342" s="146">
        <f t="shared" si="34"/>
        <v>0</v>
      </c>
      <c r="F342" s="30"/>
      <c r="G342" s="30"/>
      <c r="H342" s="30"/>
      <c r="I342" s="30"/>
      <c r="J342" s="30">
        <v>0</v>
      </c>
      <c r="K342" s="30"/>
      <c r="L342" s="30"/>
      <c r="M342" s="30">
        <v>0</v>
      </c>
      <c r="N342" s="30">
        <v>8787135.9700000007</v>
      </c>
      <c r="O342" s="30">
        <v>0</v>
      </c>
      <c r="P342" s="30">
        <v>8747101.7899999991</v>
      </c>
      <c r="Q342" s="30"/>
      <c r="R342" s="30"/>
      <c r="S342" s="30"/>
      <c r="T342" s="156"/>
      <c r="X342" s="316"/>
    </row>
    <row r="343" spans="1:24" hidden="1">
      <c r="A343" s="295">
        <f t="shared" si="35"/>
        <v>327</v>
      </c>
      <c r="B343" s="12">
        <f t="shared" si="36"/>
        <v>139</v>
      </c>
      <c r="C343" s="101" t="s">
        <v>355</v>
      </c>
      <c r="D343" s="12" t="s">
        <v>539</v>
      </c>
      <c r="E343" s="177">
        <f t="shared" si="34"/>
        <v>0</v>
      </c>
      <c r="F343" s="30"/>
      <c r="G343" s="30"/>
      <c r="H343" s="30"/>
      <c r="I343" s="30"/>
      <c r="J343" s="30">
        <v>0</v>
      </c>
      <c r="K343" s="30"/>
      <c r="L343" s="30"/>
      <c r="M343" s="30">
        <v>0</v>
      </c>
      <c r="N343" s="30">
        <v>11687466.91</v>
      </c>
      <c r="O343" s="30">
        <v>0</v>
      </c>
      <c r="P343" s="30"/>
      <c r="Q343" s="30">
        <v>938169.31</v>
      </c>
      <c r="R343" s="30"/>
      <c r="S343" s="30"/>
      <c r="T343" s="156"/>
    </row>
    <row r="344" spans="1:24" hidden="1">
      <c r="A344" s="295">
        <f t="shared" si="35"/>
        <v>328</v>
      </c>
      <c r="B344" s="12">
        <f t="shared" si="36"/>
        <v>140</v>
      </c>
      <c r="C344" s="101" t="s">
        <v>355</v>
      </c>
      <c r="D344" s="12" t="s">
        <v>621</v>
      </c>
      <c r="E344" s="177">
        <f t="shared" si="34"/>
        <v>0</v>
      </c>
      <c r="F344" s="30">
        <v>3850862.68</v>
      </c>
      <c r="G344" s="30">
        <v>1527090.45</v>
      </c>
      <c r="H344" s="30">
        <v>1632419.86</v>
      </c>
      <c r="I344" s="30">
        <v>1086100.56</v>
      </c>
      <c r="J344" s="30">
        <v>0</v>
      </c>
      <c r="K344" s="30"/>
      <c r="L344" s="30"/>
      <c r="M344" s="30">
        <v>0</v>
      </c>
      <c r="N344" s="30">
        <v>5722546.3200000003</v>
      </c>
      <c r="O344" s="30"/>
      <c r="P344" s="30"/>
      <c r="Q344" s="30">
        <v>1165992.1599999999</v>
      </c>
      <c r="R344" s="30"/>
      <c r="S344" s="30"/>
      <c r="T344" s="156"/>
    </row>
    <row r="345" spans="1:24" hidden="1">
      <c r="A345" s="295">
        <f t="shared" si="35"/>
        <v>329</v>
      </c>
      <c r="B345" s="12">
        <f t="shared" si="36"/>
        <v>141</v>
      </c>
      <c r="C345" s="101" t="s">
        <v>355</v>
      </c>
      <c r="D345" s="12" t="s">
        <v>360</v>
      </c>
      <c r="E345" s="146">
        <f t="shared" si="34"/>
        <v>0</v>
      </c>
      <c r="F345" s="30"/>
      <c r="G345" s="30"/>
      <c r="H345" s="30">
        <v>1203384.3999999999</v>
      </c>
      <c r="I345" s="30"/>
      <c r="J345" s="30">
        <v>0</v>
      </c>
      <c r="K345" s="30"/>
      <c r="L345" s="30"/>
      <c r="M345" s="30">
        <v>0</v>
      </c>
      <c r="N345" s="30"/>
      <c r="O345" s="30">
        <v>0</v>
      </c>
      <c r="P345" s="30">
        <v>8441987.2200000007</v>
      </c>
      <c r="Q345" s="30"/>
      <c r="R345" s="30"/>
      <c r="S345" s="30"/>
      <c r="T345" s="156"/>
    </row>
    <row r="346" spans="1:24" hidden="1">
      <c r="A346" s="295">
        <f t="shared" si="35"/>
        <v>330</v>
      </c>
      <c r="B346" s="12">
        <f t="shared" si="36"/>
        <v>142</v>
      </c>
      <c r="C346" s="101" t="s">
        <v>355</v>
      </c>
      <c r="D346" s="12" t="s">
        <v>622</v>
      </c>
      <c r="E346" s="177">
        <f t="shared" si="34"/>
        <v>0</v>
      </c>
      <c r="F346" s="30"/>
      <c r="G346" s="30"/>
      <c r="H346" s="30">
        <v>1619194.32</v>
      </c>
      <c r="I346" s="30"/>
      <c r="J346" s="30">
        <v>0</v>
      </c>
      <c r="K346" s="30"/>
      <c r="L346" s="30"/>
      <c r="M346" s="30">
        <v>0</v>
      </c>
      <c r="N346" s="30">
        <v>5914808.4800000004</v>
      </c>
      <c r="O346" s="30">
        <v>0</v>
      </c>
      <c r="P346" s="30">
        <v>0</v>
      </c>
      <c r="Q346" s="30">
        <v>843345.56</v>
      </c>
      <c r="R346" s="30"/>
      <c r="S346" s="30"/>
      <c r="T346" s="156"/>
    </row>
    <row r="347" spans="1:24" hidden="1">
      <c r="A347" s="295">
        <f t="shared" si="35"/>
        <v>331</v>
      </c>
      <c r="B347" s="12">
        <f t="shared" si="36"/>
        <v>143</v>
      </c>
      <c r="C347" s="101" t="s">
        <v>116</v>
      </c>
      <c r="D347" s="12" t="s">
        <v>117</v>
      </c>
      <c r="E347" s="177">
        <f t="shared" si="34"/>
        <v>0</v>
      </c>
      <c r="F347" s="30"/>
      <c r="G347" s="30"/>
      <c r="H347" s="30">
        <v>6760576.6399999997</v>
      </c>
      <c r="I347" s="30"/>
      <c r="J347" s="30">
        <v>0</v>
      </c>
      <c r="K347" s="30"/>
      <c r="L347" s="30"/>
      <c r="M347" s="30"/>
      <c r="N347" s="30">
        <v>0</v>
      </c>
      <c r="O347" s="30">
        <v>0</v>
      </c>
      <c r="P347" s="30"/>
      <c r="Q347" s="30">
        <v>0</v>
      </c>
      <c r="R347" s="30">
        <v>312485.83</v>
      </c>
      <c r="S347" s="30">
        <v>2857.14</v>
      </c>
      <c r="T347" s="156"/>
    </row>
    <row r="348" spans="1:24" hidden="1">
      <c r="A348" s="295">
        <f t="shared" si="35"/>
        <v>332</v>
      </c>
      <c r="B348" s="12">
        <f t="shared" si="36"/>
        <v>144</v>
      </c>
      <c r="C348" s="101" t="s">
        <v>116</v>
      </c>
      <c r="D348" s="12" t="s">
        <v>125</v>
      </c>
      <c r="E348" s="146">
        <f t="shared" si="34"/>
        <v>0</v>
      </c>
      <c r="F348" s="30"/>
      <c r="G348" s="30"/>
      <c r="H348" s="30"/>
      <c r="I348" s="30"/>
      <c r="J348" s="30">
        <v>0</v>
      </c>
      <c r="K348" s="30"/>
      <c r="L348" s="30"/>
      <c r="M348" s="30">
        <v>0</v>
      </c>
      <c r="N348" s="30"/>
      <c r="O348" s="30">
        <v>0</v>
      </c>
      <c r="P348" s="30">
        <v>0</v>
      </c>
      <c r="Q348" s="30">
        <v>2729687.92</v>
      </c>
      <c r="R348" s="30"/>
      <c r="S348" s="30"/>
      <c r="T348" s="156"/>
    </row>
    <row r="349" spans="1:24" hidden="1">
      <c r="A349" s="295">
        <f t="shared" si="35"/>
        <v>333</v>
      </c>
      <c r="B349" s="12">
        <f t="shared" si="36"/>
        <v>145</v>
      </c>
      <c r="C349" s="101" t="s">
        <v>116</v>
      </c>
      <c r="D349" s="12" t="s">
        <v>127</v>
      </c>
      <c r="E349" s="146">
        <f t="shared" si="34"/>
        <v>0</v>
      </c>
      <c r="F349" s="30"/>
      <c r="H349" s="30"/>
      <c r="I349" s="30"/>
      <c r="J349" s="30"/>
      <c r="K349" s="30"/>
      <c r="L349" s="30"/>
      <c r="M349" s="30">
        <v>0</v>
      </c>
      <c r="N349" s="30"/>
      <c r="O349" s="30">
        <v>0</v>
      </c>
      <c r="P349" s="30"/>
      <c r="Q349" s="30">
        <v>9222273.9900000002</v>
      </c>
      <c r="R349" s="30"/>
      <c r="S349" s="30"/>
      <c r="T349" s="156"/>
    </row>
    <row r="350" spans="1:24" hidden="1">
      <c r="A350" s="295">
        <f t="shared" si="35"/>
        <v>334</v>
      </c>
      <c r="B350" s="12">
        <f t="shared" si="36"/>
        <v>146</v>
      </c>
      <c r="C350" s="101" t="s">
        <v>116</v>
      </c>
      <c r="D350" s="12" t="s">
        <v>382</v>
      </c>
      <c r="E350" s="146">
        <f t="shared" si="34"/>
        <v>0</v>
      </c>
      <c r="F350" s="30">
        <v>7298871.8499999996</v>
      </c>
      <c r="G350" s="30"/>
      <c r="H350" s="30"/>
      <c r="I350" s="30"/>
      <c r="J350" s="30"/>
      <c r="K350" s="30"/>
      <c r="L350" s="30"/>
      <c r="M350" s="30">
        <v>0</v>
      </c>
      <c r="N350" s="30">
        <v>0</v>
      </c>
      <c r="O350" s="30">
        <v>0</v>
      </c>
      <c r="P350" s="30">
        <v>0</v>
      </c>
      <c r="Q350" s="30"/>
      <c r="R350" s="30"/>
      <c r="S350" s="30"/>
      <c r="T350" s="156">
        <v>77335.240000000005</v>
      </c>
    </row>
    <row r="351" spans="1:24" hidden="1">
      <c r="A351" s="295">
        <f t="shared" si="35"/>
        <v>335</v>
      </c>
      <c r="B351" s="12">
        <f t="shared" si="36"/>
        <v>147</v>
      </c>
      <c r="C351" s="101" t="s">
        <v>116</v>
      </c>
      <c r="D351" s="12" t="s">
        <v>379</v>
      </c>
      <c r="E351" s="146">
        <f t="shared" si="34"/>
        <v>0</v>
      </c>
      <c r="F351" s="30">
        <v>16253478.92</v>
      </c>
      <c r="G351" s="30"/>
      <c r="H351" s="30">
        <v>5982768.1600000001</v>
      </c>
      <c r="I351" s="30">
        <v>6173299.2699999996</v>
      </c>
      <c r="J351" s="30">
        <v>0</v>
      </c>
      <c r="K351" s="30"/>
      <c r="L351" s="30"/>
      <c r="M351" s="30">
        <v>0</v>
      </c>
      <c r="N351" s="30">
        <v>0</v>
      </c>
      <c r="O351" s="30">
        <v>0</v>
      </c>
      <c r="P351" s="30">
        <v>0</v>
      </c>
      <c r="Q351" s="30"/>
      <c r="R351" s="30"/>
      <c r="S351" s="30"/>
      <c r="T351" s="156"/>
    </row>
    <row r="352" spans="1:24" hidden="1">
      <c r="A352" s="295">
        <f t="shared" si="35"/>
        <v>336</v>
      </c>
      <c r="B352" s="12">
        <f t="shared" si="36"/>
        <v>148</v>
      </c>
      <c r="C352" s="101" t="s">
        <v>116</v>
      </c>
      <c r="D352" s="12" t="s">
        <v>133</v>
      </c>
      <c r="E352" s="146">
        <f t="shared" si="34"/>
        <v>0</v>
      </c>
      <c r="F352" s="30"/>
      <c r="G352" s="30"/>
      <c r="H352" s="30"/>
      <c r="I352" s="30"/>
      <c r="J352" s="30"/>
      <c r="K352" s="30"/>
      <c r="L352" s="30"/>
      <c r="M352" s="30">
        <v>0</v>
      </c>
      <c r="N352" s="30">
        <v>0</v>
      </c>
      <c r="O352" s="30">
        <v>0</v>
      </c>
      <c r="P352" s="30">
        <v>2120543.06</v>
      </c>
      <c r="Q352" s="30"/>
      <c r="R352" s="30"/>
      <c r="S352" s="30"/>
      <c r="T352" s="156"/>
    </row>
    <row r="353" spans="1:20" hidden="1">
      <c r="A353" s="295">
        <f t="shared" si="35"/>
        <v>337</v>
      </c>
      <c r="B353" s="12">
        <f t="shared" si="36"/>
        <v>149</v>
      </c>
      <c r="C353" s="101" t="s">
        <v>750</v>
      </c>
      <c r="D353" s="12" t="s">
        <v>136</v>
      </c>
      <c r="E353" s="146">
        <f t="shared" si="34"/>
        <v>0</v>
      </c>
      <c r="F353" s="30"/>
      <c r="G353" s="30"/>
      <c r="H353" s="30"/>
      <c r="I353" s="30"/>
      <c r="J353" s="30"/>
      <c r="K353" s="30"/>
      <c r="L353" s="30"/>
      <c r="M353" s="30">
        <v>0</v>
      </c>
      <c r="N353" s="30">
        <v>9484647.8699999992</v>
      </c>
      <c r="O353" s="30">
        <v>0</v>
      </c>
      <c r="P353" s="30">
        <v>0</v>
      </c>
      <c r="Q353" s="30">
        <v>0</v>
      </c>
      <c r="R353" s="30"/>
      <c r="S353" s="30"/>
      <c r="T353" s="156"/>
    </row>
    <row r="354" spans="1:20" hidden="1">
      <c r="A354" s="295">
        <f t="shared" si="35"/>
        <v>338</v>
      </c>
      <c r="B354" s="12">
        <f t="shared" si="36"/>
        <v>150</v>
      </c>
      <c r="C354" s="101" t="s">
        <v>154</v>
      </c>
      <c r="D354" s="12" t="s">
        <v>569</v>
      </c>
      <c r="E354" s="146">
        <f t="shared" si="34"/>
        <v>0</v>
      </c>
      <c r="F354" s="30"/>
      <c r="G354" s="30"/>
      <c r="H354" s="30">
        <v>1830078.26</v>
      </c>
      <c r="I354" s="30"/>
      <c r="J354" s="30">
        <v>0</v>
      </c>
      <c r="K354" s="30"/>
      <c r="L354" s="30"/>
      <c r="M354" s="30">
        <v>0</v>
      </c>
      <c r="N354" s="30">
        <v>0</v>
      </c>
      <c r="O354" s="30">
        <v>0</v>
      </c>
      <c r="P354" s="30"/>
      <c r="Q354" s="30">
        <v>0</v>
      </c>
      <c r="R354" s="30"/>
      <c r="S354" s="30"/>
      <c r="T354" s="156"/>
    </row>
    <row r="355" spans="1:20" hidden="1">
      <c r="A355" s="295">
        <f t="shared" si="35"/>
        <v>339</v>
      </c>
      <c r="B355" s="12">
        <f t="shared" si="36"/>
        <v>151</v>
      </c>
      <c r="C355" s="101" t="s">
        <v>574</v>
      </c>
      <c r="D355" s="12" t="s">
        <v>623</v>
      </c>
      <c r="E355" s="146">
        <f t="shared" ref="E355:E386" si="37">SUBTOTAL(9, F355:T355)</f>
        <v>0</v>
      </c>
      <c r="F355" s="30"/>
      <c r="G355" s="30">
        <v>751912.8</v>
      </c>
      <c r="H355" s="30">
        <v>1650658.8</v>
      </c>
      <c r="I355" s="30"/>
      <c r="J355" s="30">
        <v>0</v>
      </c>
      <c r="K355" s="30"/>
      <c r="L355" s="30"/>
      <c r="M355" s="30"/>
      <c r="N355" s="30"/>
      <c r="O355" s="30"/>
      <c r="P355" s="30"/>
      <c r="Q355" s="30"/>
      <c r="R355" s="30">
        <v>196427.58</v>
      </c>
      <c r="S355" s="30">
        <v>5000</v>
      </c>
      <c r="T355" s="156"/>
    </row>
    <row r="356" spans="1:20" hidden="1">
      <c r="A356" s="295">
        <f t="shared" si="35"/>
        <v>340</v>
      </c>
      <c r="B356" s="12">
        <f t="shared" si="36"/>
        <v>152</v>
      </c>
      <c r="C356" s="101" t="s">
        <v>574</v>
      </c>
      <c r="D356" s="12" t="s">
        <v>624</v>
      </c>
      <c r="E356" s="146">
        <f t="shared" si="37"/>
        <v>0</v>
      </c>
      <c r="F356" s="30">
        <v>3671016.16</v>
      </c>
      <c r="G356" s="30">
        <v>553302</v>
      </c>
      <c r="H356" s="30">
        <v>1993290</v>
      </c>
      <c r="I356" s="30"/>
      <c r="J356" s="30"/>
      <c r="K356" s="30"/>
      <c r="L356" s="30"/>
      <c r="M356" s="30"/>
      <c r="N356" s="30"/>
      <c r="O356" s="30"/>
      <c r="P356" s="30"/>
      <c r="Q356" s="30"/>
      <c r="R356" s="30">
        <v>390656.06</v>
      </c>
      <c r="S356" s="30">
        <v>7500</v>
      </c>
      <c r="T356" s="156"/>
    </row>
    <row r="357" spans="1:20" hidden="1">
      <c r="A357" s="295">
        <f t="shared" si="35"/>
        <v>341</v>
      </c>
      <c r="B357" s="12">
        <f t="shared" si="36"/>
        <v>153</v>
      </c>
      <c r="C357" s="101" t="s">
        <v>574</v>
      </c>
      <c r="D357" s="12" t="s">
        <v>626</v>
      </c>
      <c r="E357" s="146">
        <f t="shared" si="37"/>
        <v>0</v>
      </c>
      <c r="F357" s="30">
        <v>4837764.1900000004</v>
      </c>
      <c r="G357" s="30">
        <v>1918622.4</v>
      </c>
      <c r="H357" s="30">
        <v>1933540.8</v>
      </c>
      <c r="I357" s="30"/>
      <c r="J357" s="30"/>
      <c r="K357" s="30"/>
      <c r="L357" s="30"/>
      <c r="M357" s="30"/>
      <c r="N357" s="30"/>
      <c r="O357" s="30"/>
      <c r="P357" s="30"/>
      <c r="Q357" s="30">
        <v>8046351.5999999996</v>
      </c>
      <c r="R357" s="30">
        <v>582041.76</v>
      </c>
      <c r="S357" s="30">
        <v>10000</v>
      </c>
      <c r="T357" s="156"/>
    </row>
    <row r="358" spans="1:20" hidden="1">
      <c r="A358" s="295">
        <f t="shared" si="35"/>
        <v>342</v>
      </c>
      <c r="B358" s="12">
        <f t="shared" si="36"/>
        <v>154</v>
      </c>
      <c r="C358" s="101" t="s">
        <v>574</v>
      </c>
      <c r="D358" s="12" t="s">
        <v>575</v>
      </c>
      <c r="E358" s="146">
        <f t="shared" si="37"/>
        <v>0</v>
      </c>
      <c r="F358" s="30">
        <v>3853039.2</v>
      </c>
      <c r="G358" s="30">
        <v>1198699.2</v>
      </c>
      <c r="H358" s="30">
        <v>1829712</v>
      </c>
      <c r="I358" s="30"/>
      <c r="J358" s="30"/>
      <c r="K358" s="30"/>
      <c r="L358" s="30"/>
      <c r="M358" s="30"/>
      <c r="N358" s="30"/>
      <c r="O358" s="30"/>
      <c r="P358" s="30"/>
      <c r="Q358" s="30">
        <v>11256530.4</v>
      </c>
      <c r="R358" s="30">
        <v>751240.16</v>
      </c>
      <c r="S358" s="30">
        <v>9600</v>
      </c>
      <c r="T358" s="156"/>
    </row>
    <row r="359" spans="1:20" hidden="1">
      <c r="A359" s="295">
        <f t="shared" si="35"/>
        <v>343</v>
      </c>
      <c r="B359" s="12">
        <f t="shared" si="36"/>
        <v>155</v>
      </c>
      <c r="C359" s="101" t="s">
        <v>574</v>
      </c>
      <c r="D359" s="12" t="s">
        <v>628</v>
      </c>
      <c r="E359" s="146">
        <f t="shared" si="37"/>
        <v>0</v>
      </c>
      <c r="F359" s="30"/>
      <c r="G359" s="30"/>
      <c r="H359" s="30"/>
      <c r="I359" s="30"/>
      <c r="J359" s="30"/>
      <c r="K359" s="30"/>
      <c r="L359" s="30"/>
      <c r="M359" s="30"/>
      <c r="N359" s="30">
        <v>7901132.4000000004</v>
      </c>
      <c r="O359" s="30"/>
      <c r="P359" s="30"/>
      <c r="Q359" s="30"/>
      <c r="R359" s="30">
        <v>231619.76</v>
      </c>
      <c r="S359" s="30">
        <v>8000</v>
      </c>
      <c r="T359" s="156"/>
    </row>
    <row r="360" spans="1:20" hidden="1">
      <c r="A360" s="295">
        <f t="shared" si="35"/>
        <v>344</v>
      </c>
      <c r="B360" s="12">
        <f t="shared" si="36"/>
        <v>156</v>
      </c>
      <c r="C360" s="101" t="s">
        <v>574</v>
      </c>
      <c r="D360" s="12" t="s">
        <v>576</v>
      </c>
      <c r="E360" s="146">
        <f t="shared" si="37"/>
        <v>0</v>
      </c>
      <c r="F360" s="30">
        <v>2354587.2000000002</v>
      </c>
      <c r="G360" s="30">
        <v>1865384.4</v>
      </c>
      <c r="H360" s="30">
        <v>2468315.46</v>
      </c>
      <c r="I360" s="30"/>
      <c r="J360" s="30"/>
      <c r="K360" s="30"/>
      <c r="L360" s="30"/>
      <c r="M360" s="30"/>
      <c r="N360" s="30">
        <v>6202495.2000000002</v>
      </c>
      <c r="O360" s="30"/>
      <c r="P360" s="30">
        <v>11009160.289999999</v>
      </c>
      <c r="Q360" s="30"/>
      <c r="R360" s="30">
        <v>1007016.71</v>
      </c>
      <c r="S360" s="30">
        <v>10000</v>
      </c>
      <c r="T360" s="156"/>
    </row>
    <row r="361" spans="1:20" hidden="1">
      <c r="A361" s="295">
        <f t="shared" si="35"/>
        <v>345</v>
      </c>
      <c r="B361" s="12">
        <f t="shared" si="36"/>
        <v>157</v>
      </c>
      <c r="C361" s="101" t="s">
        <v>760</v>
      </c>
      <c r="D361" s="12" t="s">
        <v>629</v>
      </c>
      <c r="E361" s="177">
        <f t="shared" si="37"/>
        <v>0</v>
      </c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>
        <v>7460881.2000000002</v>
      </c>
      <c r="R361" s="30">
        <v>265042.31</v>
      </c>
      <c r="S361" s="30">
        <v>24000</v>
      </c>
      <c r="T361" s="156"/>
    </row>
    <row r="362" spans="1:20" hidden="1">
      <c r="A362" s="295">
        <f t="shared" si="35"/>
        <v>346</v>
      </c>
      <c r="B362" s="12">
        <f t="shared" si="36"/>
        <v>158</v>
      </c>
      <c r="C362" s="101" t="s">
        <v>760</v>
      </c>
      <c r="D362" s="12" t="s">
        <v>631</v>
      </c>
      <c r="E362" s="177">
        <f t="shared" si="37"/>
        <v>0</v>
      </c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>
        <v>5755369.2000000002</v>
      </c>
      <c r="R362" s="30">
        <v>255390.65</v>
      </c>
      <c r="S362" s="30">
        <v>24000</v>
      </c>
      <c r="T362" s="156"/>
    </row>
    <row r="363" spans="1:20" hidden="1">
      <c r="A363" s="295">
        <f t="shared" si="35"/>
        <v>347</v>
      </c>
      <c r="B363" s="12">
        <f t="shared" si="36"/>
        <v>159</v>
      </c>
      <c r="C363" s="101" t="s">
        <v>399</v>
      </c>
      <c r="D363" s="12" t="s">
        <v>578</v>
      </c>
      <c r="E363" s="146">
        <f t="shared" si="37"/>
        <v>0</v>
      </c>
      <c r="F363" s="30"/>
      <c r="G363" s="30"/>
      <c r="H363" s="30">
        <v>1019979.61</v>
      </c>
      <c r="I363" s="30"/>
      <c r="J363" s="30">
        <v>0</v>
      </c>
      <c r="K363" s="30"/>
      <c r="L363" s="30"/>
      <c r="M363" s="30">
        <v>0</v>
      </c>
      <c r="N363" s="30">
        <v>6953406.8499999996</v>
      </c>
      <c r="O363" s="30">
        <v>0</v>
      </c>
      <c r="P363" s="30">
        <v>0</v>
      </c>
      <c r="Q363" s="30">
        <v>0</v>
      </c>
      <c r="R363" s="30">
        <v>200943.02</v>
      </c>
      <c r="S363" s="30">
        <v>29842</v>
      </c>
      <c r="T363" s="156"/>
    </row>
    <row r="364" spans="1:20" hidden="1">
      <c r="A364" s="295">
        <f t="shared" si="35"/>
        <v>348</v>
      </c>
      <c r="B364" s="12">
        <f t="shared" si="36"/>
        <v>160</v>
      </c>
      <c r="C364" s="101" t="s">
        <v>582</v>
      </c>
      <c r="D364" s="101" t="s">
        <v>587</v>
      </c>
      <c r="E364" s="177">
        <f t="shared" si="37"/>
        <v>0</v>
      </c>
      <c r="F364" s="30"/>
      <c r="G364" s="30">
        <v>0</v>
      </c>
      <c r="H364" s="30"/>
      <c r="I364" s="30"/>
      <c r="J364" s="30">
        <v>0</v>
      </c>
      <c r="K364" s="30"/>
      <c r="L364" s="30"/>
      <c r="M364" s="30">
        <v>0</v>
      </c>
      <c r="N364" s="30">
        <v>2212764.58</v>
      </c>
      <c r="O364" s="30">
        <v>0</v>
      </c>
      <c r="P364" s="30"/>
      <c r="Q364" s="30"/>
      <c r="R364" s="30"/>
      <c r="S364" s="30"/>
      <c r="T364" s="156"/>
    </row>
    <row r="365" spans="1:20" hidden="1">
      <c r="A365" s="295">
        <f t="shared" si="35"/>
        <v>349</v>
      </c>
      <c r="B365" s="12">
        <f t="shared" si="36"/>
        <v>161</v>
      </c>
      <c r="C365" s="101" t="s">
        <v>159</v>
      </c>
      <c r="D365" s="12" t="s">
        <v>635</v>
      </c>
      <c r="E365" s="177">
        <f t="shared" si="37"/>
        <v>0</v>
      </c>
      <c r="F365" s="30">
        <v>0</v>
      </c>
      <c r="G365" s="30">
        <v>0</v>
      </c>
      <c r="H365" s="30"/>
      <c r="I365" s="30"/>
      <c r="J365" s="30"/>
      <c r="K365" s="30"/>
      <c r="L365" s="30"/>
      <c r="M365" s="30">
        <v>0</v>
      </c>
      <c r="N365" s="30">
        <v>0</v>
      </c>
      <c r="O365" s="30">
        <v>0</v>
      </c>
      <c r="P365" s="30">
        <v>0</v>
      </c>
      <c r="Q365" s="30">
        <v>2719951.1</v>
      </c>
      <c r="R365" s="30">
        <v>103749.32</v>
      </c>
      <c r="S365" s="30">
        <v>24000</v>
      </c>
      <c r="T365" s="156"/>
    </row>
    <row r="366" spans="1:20" hidden="1">
      <c r="A366" s="295">
        <f t="shared" ref="A366:A376" si="38">+A365+1</f>
        <v>350</v>
      </c>
      <c r="B366" s="12">
        <f t="shared" ref="B366:B376" si="39">+B365+1</f>
        <v>162</v>
      </c>
      <c r="C366" s="101" t="s">
        <v>159</v>
      </c>
      <c r="D366" s="12" t="s">
        <v>637</v>
      </c>
      <c r="E366" s="177">
        <f t="shared" si="37"/>
        <v>0</v>
      </c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>
        <v>9759955.2699999996</v>
      </c>
      <c r="R366" s="30">
        <v>269194.34000000003</v>
      </c>
      <c r="S366" s="30">
        <v>24000</v>
      </c>
      <c r="T366" s="156"/>
    </row>
    <row r="367" spans="1:20" hidden="1">
      <c r="A367" s="295">
        <f t="shared" si="38"/>
        <v>351</v>
      </c>
      <c r="B367" s="12">
        <f t="shared" si="39"/>
        <v>163</v>
      </c>
      <c r="C367" s="101" t="s">
        <v>159</v>
      </c>
      <c r="D367" s="12" t="s">
        <v>638</v>
      </c>
      <c r="E367" s="146">
        <f t="shared" si="37"/>
        <v>0</v>
      </c>
      <c r="F367" s="30">
        <v>0</v>
      </c>
      <c r="G367" s="30">
        <v>0</v>
      </c>
      <c r="H367" s="30">
        <v>0</v>
      </c>
      <c r="I367" s="30">
        <v>0</v>
      </c>
      <c r="J367" s="30">
        <v>1611028.9</v>
      </c>
      <c r="K367" s="30"/>
      <c r="L367" s="30"/>
      <c r="M367" s="30">
        <v>0</v>
      </c>
      <c r="N367" s="30">
        <v>0</v>
      </c>
      <c r="O367" s="30">
        <v>0</v>
      </c>
      <c r="P367" s="30">
        <v>0</v>
      </c>
      <c r="Q367" s="30">
        <v>0</v>
      </c>
      <c r="R367" s="30"/>
      <c r="S367" s="30"/>
      <c r="T367" s="156"/>
    </row>
    <row r="368" spans="1:20" hidden="1">
      <c r="A368" s="295">
        <f t="shared" si="38"/>
        <v>352</v>
      </c>
      <c r="B368" s="12">
        <f t="shared" si="39"/>
        <v>164</v>
      </c>
      <c r="C368" s="101" t="s">
        <v>159</v>
      </c>
      <c r="D368" s="12" t="s">
        <v>639</v>
      </c>
      <c r="E368" s="146">
        <f t="shared" si="37"/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316916.15000000002</v>
      </c>
      <c r="K368" s="30"/>
      <c r="L368" s="30"/>
      <c r="M368" s="30">
        <v>0</v>
      </c>
      <c r="N368" s="30">
        <v>0</v>
      </c>
      <c r="O368" s="30">
        <v>0</v>
      </c>
      <c r="P368" s="30">
        <v>0</v>
      </c>
      <c r="Q368" s="30">
        <v>2536183.5</v>
      </c>
      <c r="R368" s="30"/>
      <c r="S368" s="30"/>
      <c r="T368" s="156"/>
    </row>
    <row r="369" spans="1:68" hidden="1">
      <c r="A369" s="295">
        <f t="shared" si="38"/>
        <v>353</v>
      </c>
      <c r="B369" s="12">
        <f t="shared" si="39"/>
        <v>165</v>
      </c>
      <c r="C369" s="101" t="s">
        <v>159</v>
      </c>
      <c r="D369" s="12" t="s">
        <v>641</v>
      </c>
      <c r="E369" s="146">
        <f t="shared" si="37"/>
        <v>0</v>
      </c>
      <c r="F369" s="30">
        <v>0</v>
      </c>
      <c r="G369" s="30">
        <v>0</v>
      </c>
      <c r="H369" s="30">
        <v>0</v>
      </c>
      <c r="I369" s="30">
        <v>0</v>
      </c>
      <c r="J369" s="30">
        <v>375448.21</v>
      </c>
      <c r="K369" s="30"/>
      <c r="L369" s="30"/>
      <c r="M369" s="30">
        <v>0</v>
      </c>
      <c r="N369" s="30">
        <v>0</v>
      </c>
      <c r="O369" s="30">
        <v>0</v>
      </c>
      <c r="P369" s="30">
        <v>0</v>
      </c>
      <c r="Q369" s="30">
        <v>2403415.69</v>
      </c>
      <c r="R369" s="30"/>
      <c r="S369" s="30"/>
      <c r="T369" s="156"/>
    </row>
    <row r="370" spans="1:68" hidden="1">
      <c r="A370" s="295">
        <f t="shared" si="38"/>
        <v>354</v>
      </c>
      <c r="B370" s="12">
        <f t="shared" si="39"/>
        <v>166</v>
      </c>
      <c r="C370" s="101" t="s">
        <v>162</v>
      </c>
      <c r="D370" s="12" t="s">
        <v>643</v>
      </c>
      <c r="E370" s="146">
        <f t="shared" si="37"/>
        <v>0</v>
      </c>
      <c r="F370" s="30">
        <v>0</v>
      </c>
      <c r="G370" s="30">
        <v>0</v>
      </c>
      <c r="H370" s="30">
        <v>0</v>
      </c>
      <c r="I370" s="30">
        <v>0</v>
      </c>
      <c r="J370" s="30"/>
      <c r="K370" s="30"/>
      <c r="L370" s="30"/>
      <c r="M370" s="30">
        <v>0</v>
      </c>
      <c r="N370" s="30">
        <v>0</v>
      </c>
      <c r="O370" s="30">
        <v>0</v>
      </c>
      <c r="P370" s="30">
        <v>0</v>
      </c>
      <c r="Q370" s="30">
        <v>1097350.6499999999</v>
      </c>
      <c r="R370" s="30"/>
      <c r="S370" s="30"/>
      <c r="T370" s="156"/>
    </row>
    <row r="371" spans="1:68" hidden="1">
      <c r="A371" s="295">
        <f t="shared" si="38"/>
        <v>355</v>
      </c>
      <c r="B371" s="12">
        <f t="shared" si="39"/>
        <v>167</v>
      </c>
      <c r="C371" s="101" t="s">
        <v>162</v>
      </c>
      <c r="D371" s="12" t="s">
        <v>442</v>
      </c>
      <c r="E371" s="146">
        <f t="shared" si="37"/>
        <v>0</v>
      </c>
      <c r="F371" s="30">
        <v>0</v>
      </c>
      <c r="G371" s="30">
        <v>0</v>
      </c>
      <c r="H371" s="30">
        <v>0</v>
      </c>
      <c r="I371" s="30">
        <v>0</v>
      </c>
      <c r="J371" s="30"/>
      <c r="K371" s="30"/>
      <c r="L371" s="30"/>
      <c r="M371" s="30">
        <v>0</v>
      </c>
      <c r="N371" s="30">
        <v>0</v>
      </c>
      <c r="O371" s="30">
        <v>0</v>
      </c>
      <c r="P371" s="30"/>
      <c r="Q371" s="30">
        <v>6360000</v>
      </c>
      <c r="R371" s="30"/>
      <c r="S371" s="30"/>
      <c r="T371" s="156"/>
    </row>
    <row r="372" spans="1:68" hidden="1">
      <c r="A372" s="295">
        <f t="shared" si="38"/>
        <v>356</v>
      </c>
      <c r="B372" s="12">
        <f t="shared" si="39"/>
        <v>168</v>
      </c>
      <c r="C372" s="101" t="s">
        <v>162</v>
      </c>
      <c r="D372" s="12" t="s">
        <v>438</v>
      </c>
      <c r="E372" s="146">
        <f t="shared" si="37"/>
        <v>0</v>
      </c>
      <c r="F372" s="30"/>
      <c r="G372" s="30"/>
      <c r="H372" s="30"/>
      <c r="I372" s="30"/>
      <c r="J372" s="30">
        <v>530082.84</v>
      </c>
      <c r="K372" s="30"/>
      <c r="L372" s="30"/>
      <c r="M372" s="30">
        <v>0</v>
      </c>
      <c r="N372" s="30">
        <v>0</v>
      </c>
      <c r="O372" s="30">
        <v>0</v>
      </c>
      <c r="P372" s="30">
        <v>0</v>
      </c>
      <c r="Q372" s="30">
        <v>0</v>
      </c>
      <c r="R372" s="30"/>
      <c r="S372" s="30"/>
      <c r="T372" s="156"/>
    </row>
    <row r="373" spans="1:68" hidden="1">
      <c r="A373" s="295">
        <f t="shared" si="38"/>
        <v>357</v>
      </c>
      <c r="B373" s="12">
        <f t="shared" si="39"/>
        <v>169</v>
      </c>
      <c r="C373" s="101" t="s">
        <v>645</v>
      </c>
      <c r="D373" s="12" t="s">
        <v>646</v>
      </c>
      <c r="E373" s="177">
        <f t="shared" si="37"/>
        <v>0</v>
      </c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>
        <v>1885957.2</v>
      </c>
      <c r="R373" s="30">
        <v>107868.54</v>
      </c>
      <c r="S373" s="30">
        <v>24000</v>
      </c>
      <c r="T373" s="156"/>
    </row>
    <row r="374" spans="1:68" hidden="1">
      <c r="A374" s="295">
        <f t="shared" si="38"/>
        <v>358</v>
      </c>
      <c r="B374" s="12">
        <f t="shared" si="39"/>
        <v>170</v>
      </c>
      <c r="C374" s="101" t="s">
        <v>185</v>
      </c>
      <c r="D374" s="12" t="s">
        <v>647</v>
      </c>
      <c r="E374" s="146">
        <f t="shared" si="37"/>
        <v>0</v>
      </c>
      <c r="F374" s="30">
        <v>0</v>
      </c>
      <c r="G374" s="30">
        <v>0</v>
      </c>
      <c r="H374" s="30">
        <v>0</v>
      </c>
      <c r="I374" s="30">
        <v>0</v>
      </c>
      <c r="J374" s="30">
        <v>0</v>
      </c>
      <c r="K374" s="30"/>
      <c r="L374" s="30"/>
      <c r="M374" s="30">
        <v>0</v>
      </c>
      <c r="N374" s="30">
        <v>19396547.59</v>
      </c>
      <c r="O374" s="30">
        <v>0</v>
      </c>
      <c r="P374" s="30">
        <v>0</v>
      </c>
      <c r="Q374" s="30">
        <v>0</v>
      </c>
      <c r="R374" s="30"/>
      <c r="S374" s="30"/>
      <c r="T374" s="156"/>
      <c r="U374"/>
      <c r="V374" s="297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</row>
    <row r="375" spans="1:68" hidden="1">
      <c r="A375" s="295">
        <f t="shared" si="38"/>
        <v>359</v>
      </c>
      <c r="B375" s="12">
        <f t="shared" si="39"/>
        <v>171</v>
      </c>
      <c r="C375" s="101" t="s">
        <v>185</v>
      </c>
      <c r="D375" s="12" t="s">
        <v>649</v>
      </c>
      <c r="E375" s="146">
        <f t="shared" si="37"/>
        <v>0</v>
      </c>
      <c r="F375" s="30">
        <v>0</v>
      </c>
      <c r="G375" s="30">
        <v>0</v>
      </c>
      <c r="H375" s="30">
        <v>0</v>
      </c>
      <c r="I375" s="30">
        <v>0</v>
      </c>
      <c r="J375" s="30">
        <v>0</v>
      </c>
      <c r="K375" s="30"/>
      <c r="L375" s="30"/>
      <c r="M375" s="30">
        <v>0</v>
      </c>
      <c r="N375" s="30">
        <v>2963117.94</v>
      </c>
      <c r="O375" s="30">
        <v>0</v>
      </c>
      <c r="P375" s="30">
        <v>24060712.850000001</v>
      </c>
      <c r="Q375" s="30">
        <v>0</v>
      </c>
      <c r="R375" s="30"/>
      <c r="S375" s="30"/>
      <c r="T375" s="156"/>
      <c r="U375"/>
      <c r="V375" s="297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</row>
    <row r="376" spans="1:68" hidden="1">
      <c r="A376" s="295">
        <f t="shared" si="38"/>
        <v>360</v>
      </c>
      <c r="B376" s="12">
        <f t="shared" si="39"/>
        <v>172</v>
      </c>
      <c r="C376" s="101" t="s">
        <v>185</v>
      </c>
      <c r="D376" s="12" t="s">
        <v>651</v>
      </c>
      <c r="E376" s="146">
        <f t="shared" si="37"/>
        <v>0</v>
      </c>
      <c r="F376" s="30"/>
      <c r="G376" s="30">
        <v>893135.77</v>
      </c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156"/>
      <c r="U376"/>
      <c r="V376" s="297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</row>
    <row r="377" spans="1:68" hidden="1">
      <c r="A377" s="295">
        <v>361</v>
      </c>
      <c r="B377" s="12" t="s">
        <v>96</v>
      </c>
      <c r="C377" s="101" t="s">
        <v>90</v>
      </c>
      <c r="D377" s="12" t="s">
        <v>91</v>
      </c>
      <c r="E377" s="146">
        <f t="shared" si="37"/>
        <v>0</v>
      </c>
      <c r="F377" s="30"/>
      <c r="G377" s="30"/>
      <c r="H377" s="30"/>
      <c r="I377" s="30">
        <v>0</v>
      </c>
      <c r="J377" s="30">
        <v>0</v>
      </c>
      <c r="K377" s="30"/>
      <c r="L377" s="30">
        <v>0</v>
      </c>
      <c r="M377" s="30">
        <v>0</v>
      </c>
      <c r="N377" s="30">
        <v>0</v>
      </c>
      <c r="O377" s="30">
        <v>0</v>
      </c>
      <c r="P377" s="30">
        <v>24877323.600000001</v>
      </c>
      <c r="Q377" s="30"/>
      <c r="R377" s="30">
        <v>451063.85</v>
      </c>
      <c r="S377" s="30">
        <v>12000</v>
      </c>
      <c r="T377" s="156"/>
      <c r="U377"/>
      <c r="V377" s="29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</row>
    <row r="378" spans="1:68" hidden="1">
      <c r="A378" s="295">
        <f t="shared" ref="A378:A409" si="40">+A377+1</f>
        <v>362</v>
      </c>
      <c r="B378" s="12">
        <v>173</v>
      </c>
      <c r="C378" s="101" t="s">
        <v>106</v>
      </c>
      <c r="D378" s="12" t="s">
        <v>198</v>
      </c>
      <c r="E378" s="177">
        <f t="shared" si="37"/>
        <v>0</v>
      </c>
      <c r="F378" s="30"/>
      <c r="G378" s="30"/>
      <c r="H378" s="30">
        <v>2070922.4</v>
      </c>
      <c r="I378" s="30"/>
      <c r="J378" s="30">
        <v>0</v>
      </c>
      <c r="K378" s="30"/>
      <c r="L378" s="30"/>
      <c r="M378" s="30">
        <v>0</v>
      </c>
      <c r="N378" s="30">
        <v>0</v>
      </c>
      <c r="O378" s="30">
        <v>0</v>
      </c>
      <c r="P378" s="30">
        <v>0</v>
      </c>
      <c r="Q378" s="30">
        <v>0</v>
      </c>
      <c r="R378" s="30"/>
      <c r="S378" s="30"/>
      <c r="T378" s="156">
        <v>33501.9</v>
      </c>
      <c r="U378"/>
      <c r="V378" s="297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</row>
    <row r="379" spans="1:68" hidden="1">
      <c r="A379" s="295">
        <f t="shared" si="40"/>
        <v>363</v>
      </c>
      <c r="B379" s="12">
        <f t="shared" ref="B379:B393" si="41">+B378+1</f>
        <v>174</v>
      </c>
      <c r="C379" s="101" t="s">
        <v>106</v>
      </c>
      <c r="D379" s="12" t="s">
        <v>107</v>
      </c>
      <c r="E379" s="177">
        <f t="shared" si="37"/>
        <v>0</v>
      </c>
      <c r="F379" s="30">
        <v>0</v>
      </c>
      <c r="G379" s="30">
        <v>0</v>
      </c>
      <c r="H379" s="30">
        <v>681874</v>
      </c>
      <c r="I379" s="30"/>
      <c r="J379" s="30">
        <v>0</v>
      </c>
      <c r="K379" s="30"/>
      <c r="L379" s="30"/>
      <c r="M379" s="30">
        <v>0</v>
      </c>
      <c r="N379" s="30">
        <v>0</v>
      </c>
      <c r="O379" s="30">
        <v>0</v>
      </c>
      <c r="P379" s="30">
        <v>0</v>
      </c>
      <c r="Q379" s="30">
        <v>0</v>
      </c>
      <c r="R379" s="30"/>
      <c r="S379" s="30"/>
      <c r="T379" s="156">
        <v>5663.26</v>
      </c>
      <c r="U379"/>
      <c r="V379" s="297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</row>
    <row r="380" spans="1:68" hidden="1">
      <c r="A380" s="295">
        <f t="shared" si="40"/>
        <v>364</v>
      </c>
      <c r="B380" s="12">
        <f t="shared" si="41"/>
        <v>175</v>
      </c>
      <c r="C380" s="101" t="s">
        <v>106</v>
      </c>
      <c r="D380" s="12" t="s">
        <v>200</v>
      </c>
      <c r="E380" s="177">
        <f t="shared" si="37"/>
        <v>0</v>
      </c>
      <c r="G380" s="30">
        <v>4606470.12</v>
      </c>
      <c r="H380" s="30"/>
      <c r="I380" s="30">
        <v>2236444.67</v>
      </c>
      <c r="J380" s="30">
        <v>0</v>
      </c>
      <c r="K380" s="30"/>
      <c r="L380" s="30"/>
      <c r="M380" s="30">
        <v>0</v>
      </c>
      <c r="N380" s="30">
        <v>0</v>
      </c>
      <c r="O380" s="30">
        <v>0</v>
      </c>
      <c r="P380" s="30">
        <v>0</v>
      </c>
      <c r="Q380" s="30">
        <v>0</v>
      </c>
      <c r="R380" s="30"/>
      <c r="S380" s="30"/>
      <c r="T380" s="156">
        <f>28896.64+15528.48</f>
        <v>44425.119999999995</v>
      </c>
      <c r="U380"/>
      <c r="V380" s="297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</row>
    <row r="381" spans="1:68" hidden="1">
      <c r="A381" s="295">
        <f t="shared" si="40"/>
        <v>365</v>
      </c>
      <c r="B381" s="12">
        <f t="shared" si="41"/>
        <v>176</v>
      </c>
      <c r="C381" s="101" t="s">
        <v>114</v>
      </c>
      <c r="D381" s="101" t="s">
        <v>237</v>
      </c>
      <c r="E381" s="146">
        <f t="shared" si="37"/>
        <v>0</v>
      </c>
      <c r="F381" s="62">
        <v>6359997.5800000001</v>
      </c>
      <c r="G381" s="30">
        <v>0</v>
      </c>
      <c r="H381" s="30"/>
      <c r="I381" s="30">
        <v>0</v>
      </c>
      <c r="J381" s="30">
        <v>0</v>
      </c>
      <c r="K381" s="30"/>
      <c r="L381" s="30"/>
      <c r="M381" s="30">
        <v>0</v>
      </c>
      <c r="N381" s="30">
        <v>0</v>
      </c>
      <c r="O381" s="30">
        <v>0</v>
      </c>
      <c r="P381" s="30">
        <v>0</v>
      </c>
      <c r="Q381" s="30">
        <v>0</v>
      </c>
      <c r="R381" s="30"/>
      <c r="S381" s="30"/>
      <c r="T381" s="156">
        <v>113256.95</v>
      </c>
    </row>
    <row r="382" spans="1:68" hidden="1">
      <c r="A382" s="295">
        <f t="shared" si="40"/>
        <v>366</v>
      </c>
      <c r="B382" s="12">
        <f t="shared" si="41"/>
        <v>177</v>
      </c>
      <c r="C382" s="101" t="s">
        <v>114</v>
      </c>
      <c r="D382" s="12" t="s">
        <v>653</v>
      </c>
      <c r="E382" s="177">
        <f t="shared" si="37"/>
        <v>0</v>
      </c>
      <c r="F382" s="30">
        <v>0</v>
      </c>
      <c r="G382" s="30">
        <v>0</v>
      </c>
      <c r="H382" s="30">
        <v>0</v>
      </c>
      <c r="I382" s="30">
        <v>0</v>
      </c>
      <c r="J382" s="30">
        <v>0</v>
      </c>
      <c r="K382" s="30"/>
      <c r="L382" s="30"/>
      <c r="M382" s="30">
        <v>0</v>
      </c>
      <c r="N382" s="30">
        <v>0</v>
      </c>
      <c r="O382" s="30">
        <v>17619090.899999999</v>
      </c>
      <c r="P382" s="30">
        <v>0</v>
      </c>
      <c r="Q382" s="30">
        <v>0</v>
      </c>
      <c r="R382" s="30"/>
      <c r="S382" s="30"/>
      <c r="T382" s="156">
        <v>133996.12</v>
      </c>
      <c r="U382"/>
      <c r="V382" s="297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</row>
    <row r="383" spans="1:68" hidden="1">
      <c r="A383" s="295">
        <f t="shared" si="40"/>
        <v>367</v>
      </c>
      <c r="B383" s="12">
        <f t="shared" si="41"/>
        <v>178</v>
      </c>
      <c r="C383" s="101" t="s">
        <v>114</v>
      </c>
      <c r="D383" s="12" t="s">
        <v>654</v>
      </c>
      <c r="E383" s="177">
        <f t="shared" si="37"/>
        <v>0</v>
      </c>
      <c r="F383" s="30"/>
      <c r="G383" s="30">
        <v>0</v>
      </c>
      <c r="H383" s="30">
        <v>0</v>
      </c>
      <c r="I383" s="30">
        <v>0</v>
      </c>
      <c r="J383" s="30">
        <v>0</v>
      </c>
      <c r="K383" s="30"/>
      <c r="L383" s="30"/>
      <c r="M383" s="30">
        <v>0</v>
      </c>
      <c r="N383" s="30">
        <v>0</v>
      </c>
      <c r="O383" s="30">
        <v>0</v>
      </c>
      <c r="P383" s="30">
        <v>3507510.73</v>
      </c>
      <c r="Q383" s="30">
        <v>0</v>
      </c>
      <c r="R383" s="30"/>
      <c r="S383" s="30"/>
      <c r="T383" s="156">
        <v>37138.620000000003</v>
      </c>
      <c r="U383"/>
      <c r="V383" s="297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</row>
    <row r="384" spans="1:68" hidden="1">
      <c r="A384" s="295">
        <f t="shared" si="40"/>
        <v>368</v>
      </c>
      <c r="B384" s="12">
        <f t="shared" si="41"/>
        <v>179</v>
      </c>
      <c r="C384" s="101" t="s">
        <v>114</v>
      </c>
      <c r="D384" s="12" t="s">
        <v>139</v>
      </c>
      <c r="E384" s="146">
        <f t="shared" si="37"/>
        <v>0</v>
      </c>
      <c r="F384" s="30"/>
      <c r="G384" s="30"/>
      <c r="H384" s="30">
        <v>938135.1</v>
      </c>
      <c r="I384" s="30"/>
      <c r="J384" s="30">
        <v>0</v>
      </c>
      <c r="K384" s="30"/>
      <c r="L384" s="30"/>
      <c r="M384" s="30">
        <v>0</v>
      </c>
      <c r="N384" s="30">
        <v>0</v>
      </c>
      <c r="O384" s="30"/>
      <c r="P384" s="30">
        <v>0</v>
      </c>
      <c r="Q384" s="30">
        <v>0</v>
      </c>
      <c r="R384" s="30"/>
      <c r="S384" s="30"/>
      <c r="T384" s="156"/>
      <c r="U384"/>
      <c r="V384" s="297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</row>
    <row r="385" spans="1:68" hidden="1">
      <c r="A385" s="295">
        <f t="shared" si="40"/>
        <v>369</v>
      </c>
      <c r="B385" s="12">
        <f t="shared" si="41"/>
        <v>180</v>
      </c>
      <c r="C385" s="101" t="s">
        <v>114</v>
      </c>
      <c r="D385" s="12" t="s">
        <v>284</v>
      </c>
      <c r="E385" s="177">
        <f t="shared" si="37"/>
        <v>0</v>
      </c>
      <c r="F385" s="30">
        <v>3743326.59</v>
      </c>
      <c r="G385" s="30"/>
      <c r="H385" s="30">
        <v>0</v>
      </c>
      <c r="I385" s="30"/>
      <c r="J385" s="30">
        <v>0</v>
      </c>
      <c r="K385" s="30"/>
      <c r="L385" s="30"/>
      <c r="M385" s="30">
        <v>0</v>
      </c>
      <c r="N385" s="30">
        <v>0</v>
      </c>
      <c r="O385" s="30">
        <v>0</v>
      </c>
      <c r="P385" s="30">
        <v>0</v>
      </c>
      <c r="Q385" s="30">
        <v>0</v>
      </c>
      <c r="R385" s="30"/>
      <c r="S385" s="30"/>
      <c r="T385" s="156"/>
      <c r="U385"/>
      <c r="V385" s="297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</row>
    <row r="386" spans="1:68" hidden="1">
      <c r="A386" s="295">
        <f t="shared" si="40"/>
        <v>370</v>
      </c>
      <c r="B386" s="12">
        <f t="shared" si="41"/>
        <v>181</v>
      </c>
      <c r="C386" s="101" t="s">
        <v>114</v>
      </c>
      <c r="D386" s="12" t="s">
        <v>658</v>
      </c>
      <c r="E386" s="177">
        <f t="shared" si="37"/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/>
      <c r="L386" s="30"/>
      <c r="M386" s="30">
        <v>0</v>
      </c>
      <c r="N386" s="30">
        <v>0</v>
      </c>
      <c r="O386" s="30">
        <v>0</v>
      </c>
      <c r="P386" s="30">
        <v>13745702.449999999</v>
      </c>
      <c r="Q386" s="30">
        <v>0</v>
      </c>
      <c r="R386" s="30"/>
      <c r="S386" s="30"/>
      <c r="T386" s="156">
        <v>170099.54</v>
      </c>
      <c r="U386"/>
      <c r="V386" s="297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</row>
    <row r="387" spans="1:68" ht="12.75" hidden="1" customHeight="1">
      <c r="A387" s="295">
        <f t="shared" si="40"/>
        <v>371</v>
      </c>
      <c r="B387" s="12">
        <f t="shared" si="41"/>
        <v>182</v>
      </c>
      <c r="C387" s="101" t="s">
        <v>114</v>
      </c>
      <c r="D387" s="12" t="s">
        <v>303</v>
      </c>
      <c r="E387" s="146">
        <f t="shared" ref="E387:E418" si="42">SUBTOTAL(9, F387:T387)</f>
        <v>0</v>
      </c>
      <c r="F387" s="30">
        <v>2095365.92</v>
      </c>
      <c r="G387" s="30">
        <v>0</v>
      </c>
      <c r="H387" s="30"/>
      <c r="I387" s="30">
        <v>0</v>
      </c>
      <c r="J387" s="30">
        <v>0</v>
      </c>
      <c r="K387" s="30"/>
      <c r="L387" s="30"/>
      <c r="M387" s="30">
        <v>0</v>
      </c>
      <c r="N387" s="30">
        <v>0</v>
      </c>
      <c r="O387" s="30">
        <v>0</v>
      </c>
      <c r="P387" s="30">
        <v>0</v>
      </c>
      <c r="Q387" s="30">
        <v>0</v>
      </c>
      <c r="R387" s="30"/>
      <c r="S387" s="30"/>
      <c r="T387" s="156"/>
      <c r="U387"/>
      <c r="V387" s="29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</row>
    <row r="388" spans="1:68" hidden="1">
      <c r="A388" s="295">
        <f t="shared" si="40"/>
        <v>372</v>
      </c>
      <c r="B388" s="12">
        <f t="shared" si="41"/>
        <v>183</v>
      </c>
      <c r="C388" s="101" t="s">
        <v>114</v>
      </c>
      <c r="D388" s="12" t="s">
        <v>306</v>
      </c>
      <c r="E388" s="177">
        <f t="shared" si="42"/>
        <v>0</v>
      </c>
      <c r="F388" s="30">
        <v>0</v>
      </c>
      <c r="G388" s="30">
        <v>0</v>
      </c>
      <c r="H388" s="30">
        <v>0</v>
      </c>
      <c r="I388" s="30"/>
      <c r="J388" s="30">
        <v>0</v>
      </c>
      <c r="K388" s="30"/>
      <c r="L388" s="30"/>
      <c r="M388" s="30">
        <v>0</v>
      </c>
      <c r="N388" s="30">
        <v>0</v>
      </c>
      <c r="O388" s="30">
        <v>0</v>
      </c>
      <c r="P388" s="30">
        <v>10799889.6</v>
      </c>
      <c r="Q388" s="30">
        <v>0</v>
      </c>
      <c r="R388" s="30"/>
      <c r="S388" s="30"/>
      <c r="T388" s="156">
        <v>96498.41</v>
      </c>
      <c r="U388"/>
      <c r="V388" s="297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</row>
    <row r="389" spans="1:68" hidden="1">
      <c r="A389" s="295">
        <f t="shared" si="40"/>
        <v>373</v>
      </c>
      <c r="B389" s="12">
        <f t="shared" si="41"/>
        <v>184</v>
      </c>
      <c r="C389" s="101" t="s">
        <v>114</v>
      </c>
      <c r="D389" s="101" t="s">
        <v>662</v>
      </c>
      <c r="E389" s="177">
        <f t="shared" si="42"/>
        <v>0</v>
      </c>
      <c r="F389" s="62">
        <v>7651462.9400000004</v>
      </c>
      <c r="G389" s="30">
        <v>0</v>
      </c>
      <c r="H389" s="30">
        <v>0</v>
      </c>
      <c r="I389" s="30">
        <v>0</v>
      </c>
      <c r="J389" s="30">
        <v>0</v>
      </c>
      <c r="K389" s="30"/>
      <c r="L389" s="30"/>
      <c r="M389" s="30">
        <v>0</v>
      </c>
      <c r="N389" s="30">
        <v>0</v>
      </c>
      <c r="O389" s="30">
        <v>0</v>
      </c>
      <c r="P389" s="30">
        <v>0</v>
      </c>
      <c r="Q389" s="30">
        <v>0</v>
      </c>
      <c r="R389" s="30"/>
      <c r="S389" s="30"/>
      <c r="T389" s="156"/>
    </row>
    <row r="390" spans="1:68" ht="15" hidden="1" customHeight="1">
      <c r="A390" s="295">
        <f t="shared" si="40"/>
        <v>374</v>
      </c>
      <c r="B390" s="12">
        <f t="shared" si="41"/>
        <v>185</v>
      </c>
      <c r="C390" s="101" t="s">
        <v>114</v>
      </c>
      <c r="D390" s="12" t="s">
        <v>664</v>
      </c>
      <c r="E390" s="177">
        <f t="shared" si="42"/>
        <v>0</v>
      </c>
      <c r="F390" s="30">
        <v>0</v>
      </c>
      <c r="G390" s="30">
        <v>0</v>
      </c>
      <c r="H390" s="30">
        <v>0</v>
      </c>
      <c r="I390" s="30">
        <v>0</v>
      </c>
      <c r="J390" s="30">
        <v>0</v>
      </c>
      <c r="K390" s="30"/>
      <c r="L390" s="30"/>
      <c r="M390" s="30">
        <v>0</v>
      </c>
      <c r="N390" s="30">
        <v>0</v>
      </c>
      <c r="O390" s="30">
        <v>0</v>
      </c>
      <c r="P390" s="30">
        <v>17491598.399999999</v>
      </c>
      <c r="Q390" s="30">
        <v>0</v>
      </c>
      <c r="R390" s="30"/>
      <c r="S390" s="30"/>
      <c r="T390" s="156">
        <v>171416.05</v>
      </c>
      <c r="U390"/>
      <c r="V390" s="297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</row>
    <row r="391" spans="1:68" hidden="1">
      <c r="A391" s="295">
        <f t="shared" si="40"/>
        <v>375</v>
      </c>
      <c r="B391" s="12">
        <f t="shared" si="41"/>
        <v>186</v>
      </c>
      <c r="C391" s="101" t="s">
        <v>114</v>
      </c>
      <c r="D391" s="12" t="s">
        <v>310</v>
      </c>
      <c r="E391" s="177">
        <f t="shared" si="42"/>
        <v>0</v>
      </c>
      <c r="F391" s="30">
        <v>1926147.5</v>
      </c>
      <c r="G391" s="30"/>
      <c r="H391" s="30"/>
      <c r="I391" s="30">
        <v>888374.4</v>
      </c>
      <c r="J391" s="30">
        <v>0</v>
      </c>
      <c r="K391" s="30"/>
      <c r="L391" s="30"/>
      <c r="M391" s="30">
        <v>0</v>
      </c>
      <c r="N391" s="30">
        <v>0</v>
      </c>
      <c r="O391" s="30"/>
      <c r="P391" s="30">
        <v>0</v>
      </c>
      <c r="Q391" s="30">
        <v>0</v>
      </c>
      <c r="R391" s="30"/>
      <c r="S391" s="30"/>
      <c r="T391" s="156">
        <f>25466.07+8353.06</f>
        <v>33819.129999999997</v>
      </c>
      <c r="U391"/>
      <c r="V391" s="297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</row>
    <row r="392" spans="1:68" hidden="1">
      <c r="A392" s="295">
        <f t="shared" si="40"/>
        <v>376</v>
      </c>
      <c r="B392" s="12">
        <f t="shared" si="41"/>
        <v>187</v>
      </c>
      <c r="C392" s="101" t="s">
        <v>114</v>
      </c>
      <c r="D392" s="12" t="s">
        <v>667</v>
      </c>
      <c r="E392" s="177">
        <f t="shared" si="42"/>
        <v>0</v>
      </c>
      <c r="F392" s="30">
        <v>0</v>
      </c>
      <c r="G392" s="30">
        <v>0</v>
      </c>
      <c r="H392" s="30">
        <v>0</v>
      </c>
      <c r="I392" s="30">
        <v>0</v>
      </c>
      <c r="J392" s="30">
        <v>0</v>
      </c>
      <c r="K392" s="30"/>
      <c r="L392" s="30"/>
      <c r="M392" s="30">
        <v>0</v>
      </c>
      <c r="N392" s="30">
        <v>7914683.0899999999</v>
      </c>
      <c r="O392" s="30">
        <v>0</v>
      </c>
      <c r="P392" s="30">
        <v>0</v>
      </c>
      <c r="Q392" s="30">
        <v>0</v>
      </c>
      <c r="R392" s="30"/>
      <c r="S392" s="30"/>
      <c r="T392" s="156">
        <v>61683.05</v>
      </c>
      <c r="U392"/>
      <c r="V392" s="297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</row>
    <row r="393" spans="1:68" hidden="1">
      <c r="A393" s="295">
        <f t="shared" si="40"/>
        <v>377</v>
      </c>
      <c r="B393" s="12">
        <f t="shared" si="41"/>
        <v>188</v>
      </c>
      <c r="C393" s="101" t="s">
        <v>114</v>
      </c>
      <c r="D393" s="12" t="s">
        <v>178</v>
      </c>
      <c r="E393" s="146">
        <f t="shared" si="42"/>
        <v>0</v>
      </c>
      <c r="F393" s="30">
        <v>2391153.64</v>
      </c>
      <c r="G393" s="30"/>
      <c r="H393" s="30">
        <v>0</v>
      </c>
      <c r="I393" s="30">
        <v>0</v>
      </c>
      <c r="J393" s="30">
        <v>0</v>
      </c>
      <c r="K393" s="30"/>
      <c r="L393" s="30"/>
      <c r="M393" s="30"/>
      <c r="N393" s="30"/>
      <c r="O393" s="30"/>
      <c r="P393" s="30"/>
      <c r="Q393" s="30">
        <v>0</v>
      </c>
      <c r="R393" s="30"/>
      <c r="S393" s="30"/>
      <c r="T393" s="156"/>
      <c r="U393"/>
      <c r="V393" s="297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</row>
    <row r="394" spans="1:68" hidden="1">
      <c r="A394" s="295">
        <f t="shared" si="40"/>
        <v>378</v>
      </c>
      <c r="B394" s="12" t="s">
        <v>96</v>
      </c>
      <c r="C394" s="101" t="s">
        <v>114</v>
      </c>
      <c r="D394" s="101" t="s">
        <v>321</v>
      </c>
      <c r="E394" s="177">
        <f t="shared" si="42"/>
        <v>0</v>
      </c>
      <c r="F394" s="30">
        <v>7614332.9400000004</v>
      </c>
      <c r="G394" s="30">
        <v>0</v>
      </c>
      <c r="H394" s="30">
        <v>0</v>
      </c>
      <c r="I394" s="30"/>
      <c r="J394" s="30">
        <v>0</v>
      </c>
      <c r="K394" s="30"/>
      <c r="L394" s="30"/>
      <c r="M394" s="30">
        <v>0</v>
      </c>
      <c r="N394" s="30"/>
      <c r="O394" s="30"/>
      <c r="P394" s="30">
        <v>0</v>
      </c>
      <c r="Q394" s="30">
        <v>0</v>
      </c>
      <c r="R394" s="30"/>
      <c r="S394" s="30"/>
      <c r="T394" s="156"/>
    </row>
    <row r="395" spans="1:68" hidden="1">
      <c r="A395" s="295">
        <f t="shared" si="40"/>
        <v>379</v>
      </c>
      <c r="B395" s="12">
        <v>189</v>
      </c>
      <c r="C395" s="101" t="s">
        <v>114</v>
      </c>
      <c r="D395" s="12" t="s">
        <v>671</v>
      </c>
      <c r="E395" s="177">
        <f t="shared" si="42"/>
        <v>0</v>
      </c>
      <c r="F395" s="30">
        <v>0</v>
      </c>
      <c r="G395" s="30">
        <v>0</v>
      </c>
      <c r="H395" s="30">
        <v>0</v>
      </c>
      <c r="I395" s="30">
        <v>0</v>
      </c>
      <c r="J395" s="30">
        <v>0</v>
      </c>
      <c r="K395" s="30"/>
      <c r="L395" s="30"/>
      <c r="M395" s="30">
        <v>0</v>
      </c>
      <c r="N395" s="30">
        <v>0</v>
      </c>
      <c r="O395" s="30">
        <v>0</v>
      </c>
      <c r="P395" s="30">
        <v>21876387</v>
      </c>
      <c r="Q395" s="30">
        <v>0</v>
      </c>
      <c r="R395" s="30"/>
      <c r="S395" s="30"/>
      <c r="T395" s="156"/>
      <c r="U395"/>
      <c r="V395" s="297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</row>
    <row r="396" spans="1:68" hidden="1">
      <c r="A396" s="295">
        <f t="shared" si="40"/>
        <v>380</v>
      </c>
      <c r="B396" s="12" t="s">
        <v>96</v>
      </c>
      <c r="C396" s="101" t="s">
        <v>114</v>
      </c>
      <c r="D396" s="12" t="s">
        <v>478</v>
      </c>
      <c r="E396" s="177">
        <f t="shared" si="42"/>
        <v>0</v>
      </c>
      <c r="F396" s="30">
        <v>2107839.7400000002</v>
      </c>
      <c r="G396" s="30"/>
      <c r="H396" s="30">
        <v>0</v>
      </c>
      <c r="I396" s="30"/>
      <c r="J396" s="30">
        <v>0</v>
      </c>
      <c r="K396" s="30"/>
      <c r="L396" s="30"/>
      <c r="M396" s="30">
        <v>0</v>
      </c>
      <c r="N396" s="30">
        <v>0</v>
      </c>
      <c r="O396" s="30">
        <v>0</v>
      </c>
      <c r="P396" s="30">
        <v>0</v>
      </c>
      <c r="Q396" s="30">
        <v>0</v>
      </c>
      <c r="R396" s="30"/>
      <c r="S396" s="30"/>
      <c r="T396" s="156"/>
      <c r="U396"/>
      <c r="V396" s="297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</row>
    <row r="397" spans="1:68" hidden="1">
      <c r="A397" s="295">
        <f t="shared" si="40"/>
        <v>381</v>
      </c>
      <c r="B397" s="12">
        <v>190</v>
      </c>
      <c r="C397" s="101" t="s">
        <v>114</v>
      </c>
      <c r="D397" s="101" t="s">
        <v>345</v>
      </c>
      <c r="E397" s="146">
        <f t="shared" si="42"/>
        <v>0</v>
      </c>
      <c r="F397" s="62"/>
      <c r="G397" s="30">
        <v>0</v>
      </c>
      <c r="H397" s="30">
        <v>1240683.24</v>
      </c>
      <c r="I397" s="30">
        <v>452701.66</v>
      </c>
      <c r="J397" s="30"/>
      <c r="K397" s="30"/>
      <c r="L397" s="30"/>
      <c r="M397" s="30"/>
      <c r="N397" s="30"/>
      <c r="O397" s="30"/>
      <c r="P397" s="30"/>
      <c r="Q397" s="30"/>
      <c r="R397" s="30">
        <v>388211.02</v>
      </c>
      <c r="S397" s="30">
        <v>16000</v>
      </c>
      <c r="T397" s="156"/>
    </row>
    <row r="398" spans="1:68" hidden="1">
      <c r="A398" s="295">
        <f t="shared" si="40"/>
        <v>382</v>
      </c>
      <c r="B398" s="12">
        <f>+B397+1</f>
        <v>191</v>
      </c>
      <c r="C398" s="101" t="s">
        <v>185</v>
      </c>
      <c r="D398" s="12" t="s">
        <v>674</v>
      </c>
      <c r="E398" s="146">
        <f t="shared" si="42"/>
        <v>0</v>
      </c>
      <c r="F398" s="30">
        <v>0</v>
      </c>
      <c r="G398" s="30">
        <v>0</v>
      </c>
      <c r="H398" s="30">
        <v>1696026.8</v>
      </c>
      <c r="I398" s="30">
        <v>0</v>
      </c>
      <c r="J398" s="30">
        <v>0</v>
      </c>
      <c r="K398" s="30"/>
      <c r="L398" s="30"/>
      <c r="M398" s="30">
        <v>0</v>
      </c>
      <c r="N398" s="30">
        <v>0</v>
      </c>
      <c r="O398" s="30">
        <v>0</v>
      </c>
      <c r="P398" s="30">
        <v>0</v>
      </c>
      <c r="Q398" s="30">
        <v>0</v>
      </c>
      <c r="R398" s="30"/>
      <c r="S398" s="30"/>
      <c r="T398" s="156"/>
      <c r="U398"/>
      <c r="V398" s="297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</row>
    <row r="399" spans="1:68" hidden="1">
      <c r="A399" s="295">
        <f t="shared" si="40"/>
        <v>383</v>
      </c>
      <c r="B399" s="12">
        <f>+B398+1</f>
        <v>192</v>
      </c>
      <c r="C399" s="101" t="s">
        <v>185</v>
      </c>
      <c r="D399" s="12" t="s">
        <v>197</v>
      </c>
      <c r="E399" s="146">
        <f t="shared" si="42"/>
        <v>0</v>
      </c>
      <c r="F399" s="188"/>
      <c r="G399" s="30">
        <v>2958323.74</v>
      </c>
      <c r="H399" s="30"/>
      <c r="I399" s="30"/>
      <c r="J399" s="30"/>
      <c r="K399" s="30"/>
      <c r="L399" s="30">
        <v>1515829.2</v>
      </c>
      <c r="M399" s="30">
        <v>0</v>
      </c>
      <c r="N399" s="30"/>
      <c r="O399" s="30"/>
      <c r="P399" s="30"/>
      <c r="Q399" s="30"/>
      <c r="R399" s="30"/>
      <c r="S399" s="30"/>
      <c r="T399" s="156">
        <v>33494.94</v>
      </c>
      <c r="U399"/>
      <c r="V399" s="297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</row>
    <row r="400" spans="1:68" hidden="1">
      <c r="A400" s="295">
        <f t="shared" si="40"/>
        <v>384</v>
      </c>
      <c r="B400" s="12">
        <f>+B399+1</f>
        <v>193</v>
      </c>
      <c r="C400" s="101" t="s">
        <v>185</v>
      </c>
      <c r="D400" s="12" t="s">
        <v>192</v>
      </c>
      <c r="E400" s="146">
        <f t="shared" si="42"/>
        <v>0</v>
      </c>
      <c r="F400" s="30"/>
      <c r="G400" s="30"/>
      <c r="H400" s="30">
        <v>2457074</v>
      </c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156"/>
      <c r="U400"/>
      <c r="V400" s="297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</row>
    <row r="401" spans="1:68" hidden="1">
      <c r="A401" s="295">
        <f t="shared" si="40"/>
        <v>385</v>
      </c>
      <c r="B401" s="12" t="s">
        <v>96</v>
      </c>
      <c r="C401" s="101" t="s">
        <v>185</v>
      </c>
      <c r="D401" s="12" t="s">
        <v>353</v>
      </c>
      <c r="E401" s="177">
        <f t="shared" si="42"/>
        <v>0</v>
      </c>
      <c r="F401" s="62">
        <v>8063310.0499999998</v>
      </c>
      <c r="G401" s="30"/>
      <c r="H401" s="30"/>
      <c r="I401" s="30"/>
      <c r="J401" s="30"/>
      <c r="K401" s="30"/>
      <c r="L401" s="30"/>
      <c r="M401" s="30">
        <v>0</v>
      </c>
      <c r="N401" s="30"/>
      <c r="O401" s="30">
        <v>0</v>
      </c>
      <c r="P401" s="30">
        <v>0</v>
      </c>
      <c r="Q401" s="30">
        <v>0</v>
      </c>
      <c r="R401" s="30">
        <v>87085.119999999995</v>
      </c>
      <c r="S401" s="30">
        <v>4800</v>
      </c>
      <c r="T401" s="156">
        <v>107082.97</v>
      </c>
      <c r="U401"/>
      <c r="V401" s="297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</row>
    <row r="402" spans="1:68" hidden="1">
      <c r="A402" s="295">
        <f t="shared" si="40"/>
        <v>386</v>
      </c>
      <c r="B402" s="12">
        <v>194</v>
      </c>
      <c r="C402" s="101" t="s">
        <v>185</v>
      </c>
      <c r="D402" s="12" t="s">
        <v>224</v>
      </c>
      <c r="E402" s="146">
        <f t="shared" si="42"/>
        <v>0</v>
      </c>
      <c r="F402" s="30">
        <v>2876336.82</v>
      </c>
      <c r="G402" s="30"/>
      <c r="H402" s="30"/>
      <c r="I402" s="30"/>
      <c r="J402" s="30"/>
      <c r="K402" s="30"/>
      <c r="L402" s="30"/>
      <c r="M402" s="30"/>
      <c r="N402" s="30"/>
      <c r="O402" s="30">
        <v>0</v>
      </c>
      <c r="P402" s="30">
        <v>0</v>
      </c>
      <c r="Q402" s="30">
        <v>0</v>
      </c>
      <c r="R402" s="30"/>
      <c r="S402" s="30"/>
      <c r="T402" s="156">
        <v>30592.31</v>
      </c>
      <c r="U402"/>
      <c r="V402" s="297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</row>
    <row r="403" spans="1:68" hidden="1">
      <c r="A403" s="295">
        <f t="shared" si="40"/>
        <v>387</v>
      </c>
      <c r="B403" s="12">
        <v>195</v>
      </c>
      <c r="C403" s="101" t="s">
        <v>185</v>
      </c>
      <c r="D403" s="101" t="s">
        <v>364</v>
      </c>
      <c r="E403" s="177">
        <f t="shared" si="42"/>
        <v>0</v>
      </c>
      <c r="F403" s="62">
        <v>0</v>
      </c>
      <c r="G403" s="30">
        <v>0</v>
      </c>
      <c r="H403" s="30">
        <v>0</v>
      </c>
      <c r="I403" s="30">
        <v>0</v>
      </c>
      <c r="J403" s="30">
        <v>0</v>
      </c>
      <c r="K403" s="30"/>
      <c r="L403" s="30"/>
      <c r="M403" s="30">
        <v>0</v>
      </c>
      <c r="N403" s="30">
        <v>0</v>
      </c>
      <c r="O403" s="30">
        <v>0</v>
      </c>
      <c r="P403" s="30">
        <v>7597723.9900000002</v>
      </c>
      <c r="Q403" s="30">
        <v>0</v>
      </c>
      <c r="R403" s="30"/>
      <c r="S403" s="30"/>
      <c r="T403" s="156"/>
    </row>
    <row r="404" spans="1:68" hidden="1">
      <c r="A404" s="295">
        <f t="shared" si="40"/>
        <v>388</v>
      </c>
      <c r="B404" s="12">
        <f>+B403+1</f>
        <v>196</v>
      </c>
      <c r="C404" s="101" t="s">
        <v>185</v>
      </c>
      <c r="D404" s="12" t="s">
        <v>680</v>
      </c>
      <c r="E404" s="177">
        <f t="shared" si="42"/>
        <v>0</v>
      </c>
      <c r="F404" s="30">
        <v>0</v>
      </c>
      <c r="G404" s="30"/>
      <c r="H404" s="30">
        <v>2328308.5299999998</v>
      </c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156"/>
      <c r="U404"/>
      <c r="V404" s="297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</row>
    <row r="405" spans="1:68" hidden="1">
      <c r="A405" s="295">
        <f t="shared" si="40"/>
        <v>389</v>
      </c>
      <c r="B405" s="12" t="s">
        <v>96</v>
      </c>
      <c r="C405" s="101" t="s">
        <v>185</v>
      </c>
      <c r="D405" s="12" t="s">
        <v>387</v>
      </c>
      <c r="E405" s="177">
        <f t="shared" si="42"/>
        <v>0</v>
      </c>
      <c r="F405" s="30"/>
      <c r="G405" s="30"/>
      <c r="H405" s="30">
        <v>1699976.02</v>
      </c>
      <c r="I405" s="30"/>
      <c r="J405" s="30"/>
      <c r="K405" s="30"/>
      <c r="L405" s="30"/>
      <c r="M405" s="30"/>
      <c r="N405" s="30"/>
      <c r="O405" s="30"/>
      <c r="P405" s="30">
        <v>21539537.780000001</v>
      </c>
      <c r="Q405" s="30">
        <v>5244019.0999999996</v>
      </c>
      <c r="R405" s="30">
        <v>580000.18999999994</v>
      </c>
      <c r="S405" s="30">
        <v>12000</v>
      </c>
      <c r="T405" s="156"/>
      <c r="U405"/>
      <c r="V405" s="297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</row>
    <row r="406" spans="1:68" hidden="1">
      <c r="A406" s="295">
        <f t="shared" si="40"/>
        <v>390</v>
      </c>
      <c r="B406" s="12">
        <v>197</v>
      </c>
      <c r="C406" s="101" t="s">
        <v>185</v>
      </c>
      <c r="D406" s="12" t="s">
        <v>240</v>
      </c>
      <c r="E406" s="146">
        <f t="shared" si="42"/>
        <v>0</v>
      </c>
      <c r="F406" s="30">
        <v>0</v>
      </c>
      <c r="G406" s="30">
        <v>0</v>
      </c>
      <c r="H406" s="30">
        <v>0</v>
      </c>
      <c r="I406" s="30">
        <v>0</v>
      </c>
      <c r="J406" s="30">
        <v>1292467.79</v>
      </c>
      <c r="K406" s="30"/>
      <c r="L406" s="30"/>
      <c r="M406" s="30">
        <v>0</v>
      </c>
      <c r="N406" s="30">
        <v>0</v>
      </c>
      <c r="O406" s="30">
        <v>0</v>
      </c>
      <c r="P406" s="30"/>
      <c r="Q406" s="30">
        <v>0</v>
      </c>
      <c r="R406" s="30"/>
      <c r="S406" s="30"/>
      <c r="T406" s="156"/>
      <c r="U406"/>
      <c r="V406" s="297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</row>
    <row r="407" spans="1:68" hidden="1">
      <c r="A407" s="295">
        <f t="shared" si="40"/>
        <v>391</v>
      </c>
      <c r="B407" s="12" t="s">
        <v>96</v>
      </c>
      <c r="C407" s="101" t="s">
        <v>185</v>
      </c>
      <c r="D407" s="12" t="s">
        <v>520</v>
      </c>
      <c r="E407" s="177">
        <f t="shared" si="42"/>
        <v>0</v>
      </c>
      <c r="F407" s="30">
        <v>6551161.5099999998</v>
      </c>
      <c r="G407" s="30">
        <v>3815348.46</v>
      </c>
      <c r="H407" s="30"/>
      <c r="I407" s="30">
        <v>2106297.9</v>
      </c>
      <c r="J407" s="30"/>
      <c r="K407" s="30"/>
      <c r="L407" s="30"/>
      <c r="M407" s="30">
        <v>0</v>
      </c>
      <c r="N407" s="30">
        <v>0</v>
      </c>
      <c r="O407" s="30">
        <v>0</v>
      </c>
      <c r="P407" s="30">
        <v>0</v>
      </c>
      <c r="Q407" s="30">
        <v>0</v>
      </c>
      <c r="R407" s="30">
        <v>196100.76</v>
      </c>
      <c r="S407" s="30">
        <v>18000</v>
      </c>
      <c r="T407" s="156"/>
      <c r="U407"/>
      <c r="V407" s="29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</row>
    <row r="408" spans="1:68" hidden="1">
      <c r="A408" s="295">
        <f t="shared" si="40"/>
        <v>392</v>
      </c>
      <c r="B408" s="12" t="s">
        <v>96</v>
      </c>
      <c r="C408" s="101" t="s">
        <v>185</v>
      </c>
      <c r="D408" s="12" t="s">
        <v>391</v>
      </c>
      <c r="E408" s="146">
        <f t="shared" si="42"/>
        <v>0</v>
      </c>
      <c r="F408" s="30">
        <v>0</v>
      </c>
      <c r="G408" s="30"/>
      <c r="H408" s="30"/>
      <c r="I408" s="30"/>
      <c r="J408" s="30">
        <v>1676807.21</v>
      </c>
      <c r="K408" s="30"/>
      <c r="L408" s="30"/>
      <c r="M408" s="30">
        <v>0</v>
      </c>
      <c r="N408" s="30">
        <v>0</v>
      </c>
      <c r="O408" s="30">
        <v>0</v>
      </c>
      <c r="P408" s="30"/>
      <c r="Q408" s="30">
        <v>0</v>
      </c>
      <c r="R408" s="30"/>
      <c r="S408" s="30"/>
      <c r="T408" s="156"/>
      <c r="U408"/>
      <c r="V408" s="297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</row>
    <row r="409" spans="1:68" hidden="1">
      <c r="A409" s="295">
        <f t="shared" si="40"/>
        <v>393</v>
      </c>
      <c r="B409" s="12">
        <v>198</v>
      </c>
      <c r="C409" s="101" t="s">
        <v>185</v>
      </c>
      <c r="D409" s="12" t="s">
        <v>257</v>
      </c>
      <c r="E409" s="177">
        <f t="shared" si="42"/>
        <v>0</v>
      </c>
      <c r="F409" s="30">
        <v>0</v>
      </c>
      <c r="G409" s="30">
        <v>0</v>
      </c>
      <c r="H409" s="30">
        <v>2612741.62</v>
      </c>
      <c r="I409" s="30">
        <v>0</v>
      </c>
      <c r="J409" s="30">
        <v>0</v>
      </c>
      <c r="K409" s="30"/>
      <c r="L409" s="30"/>
      <c r="M409" s="30">
        <v>0</v>
      </c>
      <c r="N409" s="30"/>
      <c r="O409" s="30"/>
      <c r="P409" s="30"/>
      <c r="Q409" s="30">
        <v>0</v>
      </c>
      <c r="R409" s="30"/>
      <c r="S409" s="30"/>
      <c r="T409" s="156"/>
      <c r="U409"/>
      <c r="V409" s="297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</row>
    <row r="410" spans="1:68" hidden="1">
      <c r="A410" s="295">
        <f t="shared" ref="A410:A429" si="43">+A409+1</f>
        <v>394</v>
      </c>
      <c r="B410" s="12" t="s">
        <v>96</v>
      </c>
      <c r="C410" s="101" t="s">
        <v>185</v>
      </c>
      <c r="D410" s="12" t="s">
        <v>259</v>
      </c>
      <c r="E410" s="146">
        <f t="shared" si="42"/>
        <v>0</v>
      </c>
      <c r="F410" s="30">
        <v>4647411.2300000004</v>
      </c>
      <c r="G410" s="30"/>
      <c r="H410" s="30"/>
      <c r="I410" s="30"/>
      <c r="J410" s="30"/>
      <c r="K410" s="30"/>
      <c r="L410" s="30"/>
      <c r="M410" s="30"/>
      <c r="N410" s="30"/>
      <c r="O410" s="30">
        <v>0</v>
      </c>
      <c r="P410" s="30">
        <v>0</v>
      </c>
      <c r="Q410" s="30">
        <v>0</v>
      </c>
      <c r="R410" s="30"/>
      <c r="S410" s="30"/>
      <c r="T410" s="156">
        <v>45188.75</v>
      </c>
      <c r="U410"/>
      <c r="V410" s="297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</row>
    <row r="411" spans="1:68" hidden="1">
      <c r="A411" s="295">
        <f t="shared" si="43"/>
        <v>395</v>
      </c>
      <c r="B411" s="12" t="s">
        <v>96</v>
      </c>
      <c r="C411" s="101" t="s">
        <v>185</v>
      </c>
      <c r="D411" s="12" t="s">
        <v>532</v>
      </c>
      <c r="E411" s="146">
        <f t="shared" si="42"/>
        <v>0</v>
      </c>
      <c r="F411" s="30"/>
      <c r="G411" s="30"/>
      <c r="H411" s="30"/>
      <c r="I411" s="30"/>
      <c r="J411" s="30"/>
      <c r="K411" s="30"/>
      <c r="L411" s="30"/>
      <c r="M411" s="30">
        <v>0</v>
      </c>
      <c r="N411" s="30"/>
      <c r="O411" s="30">
        <v>0</v>
      </c>
      <c r="P411" s="30">
        <v>13526268.880000001</v>
      </c>
      <c r="Q411" s="30"/>
      <c r="R411" s="30">
        <v>286758.17</v>
      </c>
      <c r="S411" s="30">
        <v>8000</v>
      </c>
      <c r="T411" s="156"/>
      <c r="U411"/>
      <c r="V411" s="297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</row>
    <row r="412" spans="1:68" hidden="1">
      <c r="A412" s="295">
        <f t="shared" si="43"/>
        <v>396</v>
      </c>
      <c r="B412" s="12" t="s">
        <v>96</v>
      </c>
      <c r="C412" s="101" t="s">
        <v>185</v>
      </c>
      <c r="D412" s="12" t="s">
        <v>534</v>
      </c>
      <c r="E412" s="146">
        <f t="shared" si="42"/>
        <v>0</v>
      </c>
      <c r="F412" s="30"/>
      <c r="G412" s="30"/>
      <c r="H412" s="30"/>
      <c r="I412" s="30"/>
      <c r="J412" s="30"/>
      <c r="K412" s="30"/>
      <c r="L412" s="30"/>
      <c r="M412" s="30">
        <v>0</v>
      </c>
      <c r="N412" s="30"/>
      <c r="O412" s="30">
        <v>0</v>
      </c>
      <c r="P412" s="30">
        <v>10548266.43</v>
      </c>
      <c r="Q412" s="30"/>
      <c r="R412" s="196">
        <v>284186.55</v>
      </c>
      <c r="S412" s="30">
        <v>8000</v>
      </c>
      <c r="T412" s="156"/>
      <c r="U412"/>
      <c r="V412" s="297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</row>
    <row r="413" spans="1:68" hidden="1">
      <c r="A413" s="295">
        <f t="shared" si="43"/>
        <v>397</v>
      </c>
      <c r="B413" s="12" t="s">
        <v>96</v>
      </c>
      <c r="C413" s="101" t="s">
        <v>185</v>
      </c>
      <c r="D413" s="12" t="s">
        <v>401</v>
      </c>
      <c r="E413" s="146">
        <f t="shared" si="42"/>
        <v>0</v>
      </c>
      <c r="F413" s="30"/>
      <c r="G413" s="30"/>
      <c r="H413" s="30">
        <v>1270077.8400000001</v>
      </c>
      <c r="I413" s="30">
        <v>1283887.8</v>
      </c>
      <c r="J413" s="30"/>
      <c r="K413" s="30"/>
      <c r="L413" s="30"/>
      <c r="M413" s="30"/>
      <c r="N413" s="30"/>
      <c r="O413" s="30"/>
      <c r="P413" s="30"/>
      <c r="Q413" s="195"/>
      <c r="R413" s="196">
        <v>227071.01</v>
      </c>
      <c r="S413" s="196">
        <v>6857.14</v>
      </c>
      <c r="T413" s="156"/>
      <c r="U413"/>
      <c r="V413" s="297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</row>
    <row r="414" spans="1:68" hidden="1">
      <c r="A414" s="295">
        <f t="shared" si="43"/>
        <v>398</v>
      </c>
      <c r="B414" s="12">
        <v>199</v>
      </c>
      <c r="C414" s="101" t="s">
        <v>185</v>
      </c>
      <c r="D414" s="12" t="s">
        <v>689</v>
      </c>
      <c r="E414" s="146">
        <f t="shared" si="42"/>
        <v>0</v>
      </c>
      <c r="F414" s="30">
        <v>0</v>
      </c>
      <c r="G414" s="30">
        <v>0</v>
      </c>
      <c r="H414" s="30">
        <v>0</v>
      </c>
      <c r="I414" s="30">
        <v>0</v>
      </c>
      <c r="J414" s="30">
        <v>1518027.61</v>
      </c>
      <c r="K414" s="30"/>
      <c r="L414" s="30"/>
      <c r="M414" s="30">
        <v>0</v>
      </c>
      <c r="N414" s="30">
        <v>0</v>
      </c>
      <c r="O414" s="30">
        <v>0</v>
      </c>
      <c r="P414" s="30">
        <v>0</v>
      </c>
      <c r="Q414" s="30">
        <v>0</v>
      </c>
      <c r="R414" s="173"/>
      <c r="S414" s="30"/>
      <c r="T414" s="156"/>
      <c r="U414"/>
      <c r="V414" s="297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</row>
    <row r="415" spans="1:68" hidden="1">
      <c r="A415" s="295">
        <f t="shared" si="43"/>
        <v>399</v>
      </c>
      <c r="B415" s="12">
        <v>200</v>
      </c>
      <c r="C415" s="101" t="s">
        <v>185</v>
      </c>
      <c r="D415" s="12" t="s">
        <v>281</v>
      </c>
      <c r="E415" s="146">
        <f t="shared" si="42"/>
        <v>0</v>
      </c>
      <c r="F415" s="30"/>
      <c r="G415" s="30">
        <v>937789.51</v>
      </c>
      <c r="H415" s="30"/>
      <c r="I415" s="30"/>
      <c r="J415" s="30"/>
      <c r="K415" s="30"/>
      <c r="L415" s="30"/>
      <c r="M415" s="30">
        <v>0</v>
      </c>
      <c r="N415" s="30">
        <v>0</v>
      </c>
      <c r="O415" s="30">
        <v>0</v>
      </c>
      <c r="P415" s="30">
        <v>0</v>
      </c>
      <c r="Q415" s="30">
        <v>0</v>
      </c>
      <c r="R415" s="30"/>
      <c r="S415" s="30"/>
      <c r="T415" s="156"/>
      <c r="U415"/>
      <c r="V415" s="297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</row>
    <row r="416" spans="1:68" hidden="1">
      <c r="A416" s="295">
        <f t="shared" si="43"/>
        <v>400</v>
      </c>
      <c r="B416" s="12">
        <f>+B415+1</f>
        <v>201</v>
      </c>
      <c r="C416" s="101" t="s">
        <v>185</v>
      </c>
      <c r="D416" s="12" t="s">
        <v>434</v>
      </c>
      <c r="E416" s="146">
        <f t="shared" si="42"/>
        <v>0</v>
      </c>
      <c r="F416" s="30"/>
      <c r="G416" s="30"/>
      <c r="H416" s="30">
        <v>1517607.49</v>
      </c>
      <c r="I416" s="30"/>
      <c r="J416" s="30"/>
      <c r="K416" s="30"/>
      <c r="L416" s="30"/>
      <c r="M416" s="30"/>
      <c r="N416" s="30"/>
      <c r="O416" s="30">
        <v>0</v>
      </c>
      <c r="P416" s="30"/>
      <c r="Q416" s="30"/>
      <c r="R416" s="196">
        <v>44088.15</v>
      </c>
      <c r="S416" s="196">
        <v>7680.17</v>
      </c>
      <c r="T416" s="156"/>
      <c r="U416"/>
      <c r="V416" s="297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</row>
    <row r="417" spans="1:68" hidden="1">
      <c r="A417" s="295">
        <f t="shared" si="43"/>
        <v>401</v>
      </c>
      <c r="B417" s="12">
        <f>+B416+1</f>
        <v>202</v>
      </c>
      <c r="C417" s="101" t="s">
        <v>185</v>
      </c>
      <c r="D417" s="12" t="s">
        <v>285</v>
      </c>
      <c r="E417" s="177">
        <f t="shared" si="42"/>
        <v>0</v>
      </c>
      <c r="F417" s="30">
        <v>4825175.6399999997</v>
      </c>
      <c r="G417" s="30"/>
      <c r="H417" s="30">
        <v>1641706.8</v>
      </c>
      <c r="I417" s="30"/>
      <c r="J417" s="30"/>
      <c r="K417" s="30"/>
      <c r="L417" s="30"/>
      <c r="M417" s="30">
        <v>0</v>
      </c>
      <c r="N417" s="30">
        <v>8211860.6200000001</v>
      </c>
      <c r="O417" s="30">
        <v>0</v>
      </c>
      <c r="P417" s="30"/>
      <c r="Q417" s="30">
        <v>6291723.5999999996</v>
      </c>
      <c r="R417" s="196">
        <v>318677.42</v>
      </c>
      <c r="S417" s="196">
        <v>12800</v>
      </c>
      <c r="T417" s="156"/>
      <c r="U417"/>
      <c r="V417" s="29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</row>
    <row r="418" spans="1:68" hidden="1">
      <c r="A418" s="295">
        <f t="shared" si="43"/>
        <v>402</v>
      </c>
      <c r="B418" s="12">
        <f>+B417+1</f>
        <v>203</v>
      </c>
      <c r="C418" s="101" t="s">
        <v>185</v>
      </c>
      <c r="D418" s="12" t="s">
        <v>692</v>
      </c>
      <c r="E418" s="177">
        <f t="shared" si="42"/>
        <v>0</v>
      </c>
      <c r="F418" s="30">
        <v>6577590.9199999999</v>
      </c>
      <c r="G418" s="30">
        <v>0</v>
      </c>
      <c r="H418" s="30">
        <v>0</v>
      </c>
      <c r="I418" s="30">
        <v>0</v>
      </c>
      <c r="J418" s="30">
        <v>0</v>
      </c>
      <c r="K418" s="30"/>
      <c r="L418" s="30"/>
      <c r="M418" s="30">
        <v>0</v>
      </c>
      <c r="N418" s="30">
        <v>0</v>
      </c>
      <c r="O418" s="30">
        <v>0</v>
      </c>
      <c r="P418" s="30">
        <v>0</v>
      </c>
      <c r="Q418" s="30">
        <v>0</v>
      </c>
      <c r="R418" s="196">
        <v>31452.12</v>
      </c>
      <c r="S418" s="196">
        <v>24000</v>
      </c>
      <c r="T418" s="156"/>
      <c r="U418"/>
      <c r="V418" s="297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</row>
    <row r="419" spans="1:68" hidden="1">
      <c r="A419" s="295">
        <f t="shared" si="43"/>
        <v>403</v>
      </c>
      <c r="B419" s="12" t="s">
        <v>96</v>
      </c>
      <c r="C419" s="101" t="s">
        <v>185</v>
      </c>
      <c r="D419" s="12" t="s">
        <v>289</v>
      </c>
      <c r="E419" s="146">
        <f t="shared" ref="E419:E435" si="44">SUBTOTAL(9, F419:T419)</f>
        <v>0</v>
      </c>
      <c r="F419" s="30"/>
      <c r="G419" s="30">
        <v>2668996.7400000002</v>
      </c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156"/>
      <c r="U419"/>
      <c r="V419" s="297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</row>
    <row r="420" spans="1:68" hidden="1">
      <c r="A420" s="295">
        <f t="shared" si="43"/>
        <v>404</v>
      </c>
      <c r="B420" s="12" t="s">
        <v>96</v>
      </c>
      <c r="C420" s="101" t="s">
        <v>185</v>
      </c>
      <c r="D420" s="12" t="s">
        <v>290</v>
      </c>
      <c r="E420" s="146">
        <f t="shared" si="44"/>
        <v>0</v>
      </c>
      <c r="F420" s="30">
        <v>4620721.5219999999</v>
      </c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156"/>
      <c r="U420"/>
      <c r="V420" s="297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</row>
    <row r="421" spans="1:68" hidden="1">
      <c r="A421" s="295">
        <f t="shared" si="43"/>
        <v>405</v>
      </c>
      <c r="B421" s="12" t="s">
        <v>96</v>
      </c>
      <c r="C421" s="101" t="s">
        <v>185</v>
      </c>
      <c r="D421" s="12" t="s">
        <v>553</v>
      </c>
      <c r="E421" s="146">
        <f t="shared" si="44"/>
        <v>0</v>
      </c>
      <c r="F421" s="30"/>
      <c r="G421" s="30">
        <v>1434980.99</v>
      </c>
      <c r="H421" s="30"/>
      <c r="I421" s="30"/>
      <c r="J421" s="30"/>
      <c r="K421" s="30"/>
      <c r="L421" s="30"/>
      <c r="M421" s="30">
        <v>0</v>
      </c>
      <c r="N421" s="30"/>
      <c r="O421" s="30">
        <v>0</v>
      </c>
      <c r="P421" s="30">
        <v>0</v>
      </c>
      <c r="Q421" s="30"/>
      <c r="R421" s="30">
        <v>31225.9</v>
      </c>
      <c r="S421" s="30">
        <v>4800</v>
      </c>
      <c r="T421" s="156"/>
      <c r="U421"/>
      <c r="V421" s="297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</row>
    <row r="422" spans="1:68" hidden="1">
      <c r="A422" s="295">
        <f t="shared" si="43"/>
        <v>406</v>
      </c>
      <c r="B422" s="12" t="s">
        <v>96</v>
      </c>
      <c r="C422" s="101" t="s">
        <v>185</v>
      </c>
      <c r="D422" s="12" t="s">
        <v>554</v>
      </c>
      <c r="E422" s="146">
        <f t="shared" si="44"/>
        <v>0</v>
      </c>
      <c r="F422" s="30"/>
      <c r="G422" s="30">
        <v>1788007.61</v>
      </c>
      <c r="H422" s="30"/>
      <c r="I422" s="30"/>
      <c r="J422" s="30"/>
      <c r="K422" s="30"/>
      <c r="L422" s="30"/>
      <c r="M422" s="30">
        <v>0</v>
      </c>
      <c r="N422" s="30"/>
      <c r="O422" s="30">
        <v>0</v>
      </c>
      <c r="P422" s="30">
        <v>0</v>
      </c>
      <c r="Q422" s="30">
        <v>0</v>
      </c>
      <c r="R422" s="30">
        <v>31082.15</v>
      </c>
      <c r="S422" s="30">
        <v>4800</v>
      </c>
      <c r="T422" s="156"/>
      <c r="U422"/>
      <c r="V422" s="297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</row>
    <row r="423" spans="1:68" hidden="1">
      <c r="A423" s="295">
        <f t="shared" si="43"/>
        <v>407</v>
      </c>
      <c r="B423" s="12" t="s">
        <v>96</v>
      </c>
      <c r="C423" s="101" t="s">
        <v>185</v>
      </c>
      <c r="D423" s="12" t="s">
        <v>555</v>
      </c>
      <c r="E423" s="146">
        <f t="shared" si="44"/>
        <v>0</v>
      </c>
      <c r="F423" s="30">
        <v>6881617.8399999999</v>
      </c>
      <c r="G423" s="30">
        <v>998152.7</v>
      </c>
      <c r="H423" s="30"/>
      <c r="I423" s="30"/>
      <c r="J423" s="30"/>
      <c r="K423" s="30"/>
      <c r="L423" s="30"/>
      <c r="M423" s="30">
        <v>0</v>
      </c>
      <c r="N423" s="30"/>
      <c r="O423" s="30">
        <v>0</v>
      </c>
      <c r="P423" s="30">
        <v>0</v>
      </c>
      <c r="Q423" s="30"/>
      <c r="R423" s="30"/>
      <c r="S423" s="30"/>
      <c r="T423" s="156"/>
      <c r="U423"/>
      <c r="V423" s="297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</row>
    <row r="424" spans="1:68" hidden="1">
      <c r="A424" s="295">
        <f t="shared" si="43"/>
        <v>408</v>
      </c>
      <c r="B424" s="12" t="s">
        <v>96</v>
      </c>
      <c r="C424" s="101" t="s">
        <v>185</v>
      </c>
      <c r="D424" s="12" t="s">
        <v>298</v>
      </c>
      <c r="E424" s="146">
        <f t="shared" si="44"/>
        <v>0</v>
      </c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>
        <v>27117129.620000001</v>
      </c>
      <c r="Q424" s="30">
        <v>18561498.890000001</v>
      </c>
      <c r="R424" s="30">
        <v>325518.36</v>
      </c>
      <c r="S424" s="30">
        <v>28000</v>
      </c>
      <c r="T424" s="156">
        <v>113573.42</v>
      </c>
      <c r="U424"/>
      <c r="V424" s="297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</row>
    <row r="425" spans="1:68" hidden="1">
      <c r="A425" s="295">
        <f t="shared" si="43"/>
        <v>409</v>
      </c>
      <c r="B425" s="12" t="s">
        <v>96</v>
      </c>
      <c r="C425" s="101" t="s">
        <v>185</v>
      </c>
      <c r="D425" s="101" t="s">
        <v>454</v>
      </c>
      <c r="E425" s="146">
        <f t="shared" si="44"/>
        <v>0</v>
      </c>
      <c r="F425" s="62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>
        <v>6630811.4699999997</v>
      </c>
      <c r="R425" s="30"/>
      <c r="S425" s="30"/>
      <c r="T425" s="156"/>
    </row>
    <row r="426" spans="1:68" hidden="1">
      <c r="A426" s="295">
        <f t="shared" si="43"/>
        <v>410</v>
      </c>
      <c r="B426" s="12" t="s">
        <v>96</v>
      </c>
      <c r="C426" s="101" t="s">
        <v>185</v>
      </c>
      <c r="D426" s="12" t="s">
        <v>570</v>
      </c>
      <c r="E426" s="146">
        <f t="shared" si="44"/>
        <v>0</v>
      </c>
      <c r="F426" s="30"/>
      <c r="G426" s="30"/>
      <c r="H426" s="30">
        <v>2642400.08</v>
      </c>
      <c r="I426" s="30">
        <v>0</v>
      </c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156"/>
      <c r="U426"/>
      <c r="V426" s="297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</row>
    <row r="427" spans="1:68" hidden="1">
      <c r="A427" s="295">
        <f t="shared" si="43"/>
        <v>411</v>
      </c>
      <c r="B427" s="12">
        <v>204</v>
      </c>
      <c r="C427" s="101" t="s">
        <v>185</v>
      </c>
      <c r="D427" s="12" t="s">
        <v>697</v>
      </c>
      <c r="E427" s="146">
        <f t="shared" si="44"/>
        <v>0</v>
      </c>
      <c r="F427" s="30"/>
      <c r="G427" s="30"/>
      <c r="H427" s="30"/>
      <c r="I427" s="30"/>
      <c r="J427" s="30"/>
      <c r="K427" s="30"/>
      <c r="L427" s="30"/>
      <c r="M427" s="30"/>
      <c r="N427" s="30">
        <v>5449539.4299999997</v>
      </c>
      <c r="O427" s="30"/>
      <c r="P427" s="30"/>
      <c r="Q427" s="30"/>
      <c r="R427" s="30">
        <v>226258.43</v>
      </c>
      <c r="S427" s="30">
        <v>24000</v>
      </c>
      <c r="T427" s="156"/>
      <c r="U427"/>
      <c r="V427" s="29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</row>
    <row r="428" spans="1:68" hidden="1">
      <c r="A428" s="295">
        <f t="shared" si="43"/>
        <v>412</v>
      </c>
      <c r="B428" s="12" t="s">
        <v>96</v>
      </c>
      <c r="C428" s="101" t="s">
        <v>185</v>
      </c>
      <c r="D428" s="12" t="s">
        <v>572</v>
      </c>
      <c r="E428" s="177">
        <f t="shared" si="44"/>
        <v>0</v>
      </c>
      <c r="F428" s="30">
        <v>5021208.78</v>
      </c>
      <c r="G428" s="30">
        <v>734322.14</v>
      </c>
      <c r="H428" s="30"/>
      <c r="I428" s="30">
        <v>1975667.5</v>
      </c>
      <c r="J428" s="30"/>
      <c r="K428" s="30"/>
      <c r="L428" s="30"/>
      <c r="M428" s="30">
        <v>0</v>
      </c>
      <c r="N428" s="30">
        <v>0</v>
      </c>
      <c r="O428" s="30">
        <v>0</v>
      </c>
      <c r="P428" s="30">
        <v>5170020</v>
      </c>
      <c r="Q428" s="30"/>
      <c r="R428" s="30">
        <v>767714.5</v>
      </c>
      <c r="S428" s="30">
        <v>13714.29</v>
      </c>
      <c r="T428" s="156"/>
      <c r="U428"/>
      <c r="V428" s="297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</row>
    <row r="429" spans="1:68" hidden="1">
      <c r="A429" s="295">
        <f t="shared" si="43"/>
        <v>413</v>
      </c>
      <c r="B429" s="12" t="s">
        <v>96</v>
      </c>
      <c r="C429" s="101" t="s">
        <v>185</v>
      </c>
      <c r="D429" s="12" t="s">
        <v>307</v>
      </c>
      <c r="E429" s="177">
        <f t="shared" si="44"/>
        <v>0</v>
      </c>
      <c r="F429" s="30"/>
      <c r="G429" s="30"/>
      <c r="H429" s="30"/>
      <c r="I429" s="30"/>
      <c r="J429" s="30"/>
      <c r="K429" s="30"/>
      <c r="L429" s="30"/>
      <c r="M429" s="30"/>
      <c r="N429" s="30"/>
      <c r="O429" s="30">
        <v>0</v>
      </c>
      <c r="P429" s="30"/>
      <c r="Q429" s="30">
        <v>8872451.1999999993</v>
      </c>
      <c r="R429" s="30">
        <v>459249.81</v>
      </c>
      <c r="S429" s="30">
        <v>16000</v>
      </c>
      <c r="T429" s="156"/>
      <c r="U429"/>
      <c r="V429" s="297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</row>
    <row r="430" spans="1:68" hidden="1">
      <c r="A430" s="295">
        <f>+A428+1</f>
        <v>413</v>
      </c>
      <c r="B430" s="12" t="s">
        <v>96</v>
      </c>
      <c r="C430" s="101" t="s">
        <v>185</v>
      </c>
      <c r="D430" s="12" t="s">
        <v>471</v>
      </c>
      <c r="E430" s="177">
        <f t="shared" si="44"/>
        <v>0</v>
      </c>
      <c r="F430" s="30">
        <v>8087620.75</v>
      </c>
      <c r="G430" s="30">
        <v>3000884.73</v>
      </c>
      <c r="H430" s="30">
        <v>0</v>
      </c>
      <c r="I430" s="30">
        <v>0</v>
      </c>
      <c r="J430" s="30"/>
      <c r="K430" s="30"/>
      <c r="L430" s="30"/>
      <c r="M430" s="30">
        <v>0</v>
      </c>
      <c r="N430" s="30"/>
      <c r="O430" s="30">
        <v>0</v>
      </c>
      <c r="P430" s="30"/>
      <c r="Q430" s="30"/>
      <c r="R430" s="30">
        <v>411763.35</v>
      </c>
      <c r="S430" s="30">
        <v>9600</v>
      </c>
      <c r="T430" s="156"/>
      <c r="U430"/>
      <c r="V430" s="297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</row>
    <row r="431" spans="1:68" s="316" customFormat="1" hidden="1">
      <c r="A431" s="295">
        <f t="shared" ref="A431:A476" si="45">+A430+1</f>
        <v>414</v>
      </c>
      <c r="B431" s="12" t="s">
        <v>96</v>
      </c>
      <c r="C431" s="101" t="s">
        <v>185</v>
      </c>
      <c r="D431" s="12" t="s">
        <v>476</v>
      </c>
      <c r="E431" s="146">
        <f t="shared" si="44"/>
        <v>0</v>
      </c>
      <c r="F431" s="30"/>
      <c r="G431" s="30"/>
      <c r="H431" s="30"/>
      <c r="I431" s="30">
        <v>2042385.11</v>
      </c>
      <c r="J431" s="30">
        <v>1046167.7</v>
      </c>
      <c r="K431" s="30"/>
      <c r="L431" s="30"/>
      <c r="M431" s="30"/>
      <c r="N431" s="30"/>
      <c r="O431" s="30"/>
      <c r="P431" s="30"/>
      <c r="Q431" s="30"/>
      <c r="R431" s="30">
        <v>302755.78999999998</v>
      </c>
      <c r="S431" s="30">
        <v>12000</v>
      </c>
      <c r="T431" s="156"/>
      <c r="U431"/>
      <c r="V431" s="297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</row>
    <row r="432" spans="1:68" hidden="1">
      <c r="A432" s="295">
        <f t="shared" si="45"/>
        <v>415</v>
      </c>
      <c r="B432" s="12">
        <v>205</v>
      </c>
      <c r="C432" s="101" t="s">
        <v>185</v>
      </c>
      <c r="D432" s="12" t="s">
        <v>333</v>
      </c>
      <c r="E432" s="146">
        <f t="shared" si="44"/>
        <v>0</v>
      </c>
      <c r="F432" s="30"/>
      <c r="G432" s="30"/>
      <c r="H432" s="30"/>
      <c r="I432" s="30">
        <v>790873.3</v>
      </c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156"/>
      <c r="U432"/>
      <c r="V432" s="297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</row>
    <row r="433" spans="1:68" hidden="1">
      <c r="A433" s="295">
        <f t="shared" si="45"/>
        <v>416</v>
      </c>
      <c r="B433" s="12" t="s">
        <v>96</v>
      </c>
      <c r="C433" s="101" t="s">
        <v>185</v>
      </c>
      <c r="D433" s="12" t="s">
        <v>592</v>
      </c>
      <c r="E433" s="177">
        <f t="shared" si="44"/>
        <v>0</v>
      </c>
      <c r="F433" s="30">
        <v>3126691.49</v>
      </c>
      <c r="G433" s="30">
        <v>1010526.62</v>
      </c>
      <c r="H433" s="30"/>
      <c r="I433" s="30">
        <v>965070.61</v>
      </c>
      <c r="J433" s="30"/>
      <c r="K433" s="30"/>
      <c r="L433" s="30"/>
      <c r="M433" s="30">
        <v>0</v>
      </c>
      <c r="N433" s="30"/>
      <c r="O433" s="30">
        <v>0</v>
      </c>
      <c r="P433" s="30"/>
      <c r="Q433" s="30">
        <v>2487164.06</v>
      </c>
      <c r="R433" s="30"/>
      <c r="S433" s="30"/>
      <c r="T433" s="156"/>
      <c r="U433"/>
      <c r="V433" s="297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</row>
    <row r="434" spans="1:68" hidden="1">
      <c r="A434" s="295">
        <f t="shared" si="45"/>
        <v>417</v>
      </c>
      <c r="B434" s="12">
        <v>206</v>
      </c>
      <c r="C434" s="101" t="s">
        <v>1</v>
      </c>
      <c r="D434" s="12" t="s">
        <v>2</v>
      </c>
      <c r="E434" s="146">
        <f t="shared" si="44"/>
        <v>0</v>
      </c>
      <c r="F434" s="30"/>
      <c r="G434" s="30"/>
      <c r="H434" s="30">
        <v>1451159.65</v>
      </c>
      <c r="I434" s="30">
        <v>0</v>
      </c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156"/>
      <c r="U434"/>
      <c r="V434" s="297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</row>
    <row r="435" spans="1:68" hidden="1">
      <c r="A435" s="295">
        <f t="shared" si="45"/>
        <v>418</v>
      </c>
      <c r="B435" s="12">
        <f>+B434+1</f>
        <v>207</v>
      </c>
      <c r="C435" s="101" t="s">
        <v>1</v>
      </c>
      <c r="D435" s="12" t="s">
        <v>7</v>
      </c>
      <c r="E435" s="146">
        <f t="shared" si="44"/>
        <v>0</v>
      </c>
      <c r="F435" s="30">
        <v>0</v>
      </c>
      <c r="G435" s="30"/>
      <c r="H435" s="30">
        <v>536702.36</v>
      </c>
      <c r="I435" s="30"/>
      <c r="J435" s="30">
        <v>0</v>
      </c>
      <c r="K435" s="30"/>
      <c r="L435" s="30"/>
      <c r="M435" s="30">
        <v>0</v>
      </c>
      <c r="N435" s="30"/>
      <c r="O435" s="30">
        <v>0</v>
      </c>
      <c r="P435" s="30">
        <v>0</v>
      </c>
      <c r="Q435" s="30">
        <v>0</v>
      </c>
      <c r="R435" s="30"/>
      <c r="S435" s="30"/>
      <c r="T435" s="156"/>
      <c r="U435"/>
      <c r="V435" s="297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</row>
    <row r="436" spans="1:68" hidden="1">
      <c r="A436" s="295">
        <f t="shared" si="45"/>
        <v>419</v>
      </c>
      <c r="B436" s="12">
        <v>208</v>
      </c>
      <c r="C436" s="101" t="s">
        <v>22</v>
      </c>
      <c r="D436" s="12" t="s">
        <v>24</v>
      </c>
      <c r="E436" s="146">
        <f t="shared" ref="E436:E441" si="46">SUM(F436:T436)</f>
        <v>5183657.0599999996</v>
      </c>
      <c r="F436" s="12"/>
      <c r="G436" s="30"/>
      <c r="H436" s="30"/>
      <c r="I436" s="30"/>
      <c r="J436" s="30"/>
      <c r="K436" s="30"/>
      <c r="L436" s="30"/>
      <c r="M436" s="30"/>
      <c r="N436" s="30"/>
      <c r="O436" s="30"/>
      <c r="P436" s="30">
        <v>5178857.0599999996</v>
      </c>
      <c r="Q436" s="30"/>
      <c r="R436" s="30"/>
      <c r="S436" s="30">
        <v>4800</v>
      </c>
      <c r="T436" s="156"/>
      <c r="U436"/>
      <c r="V436" s="297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</row>
    <row r="437" spans="1:68" hidden="1">
      <c r="A437" s="295">
        <f t="shared" si="45"/>
        <v>420</v>
      </c>
      <c r="B437" s="12">
        <f t="shared" ref="B437:B447" si="47">+B436+1</f>
        <v>209</v>
      </c>
      <c r="C437" s="101" t="s">
        <v>22</v>
      </c>
      <c r="D437" s="12" t="s">
        <v>38</v>
      </c>
      <c r="E437" s="146">
        <f t="shared" si="46"/>
        <v>4752736.2300000004</v>
      </c>
      <c r="F437" s="12"/>
      <c r="G437" s="30"/>
      <c r="H437" s="30"/>
      <c r="I437" s="30"/>
      <c r="J437" s="30"/>
      <c r="K437" s="30"/>
      <c r="L437" s="30"/>
      <c r="M437" s="30"/>
      <c r="N437" s="30"/>
      <c r="O437" s="30"/>
      <c r="P437" s="30">
        <v>4728736.2300000004</v>
      </c>
      <c r="Q437" s="30"/>
      <c r="R437" s="30"/>
      <c r="S437" s="30">
        <v>24000</v>
      </c>
      <c r="T437" s="156"/>
      <c r="U437"/>
      <c r="V437" s="29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</row>
    <row r="438" spans="1:68" hidden="1">
      <c r="A438" s="295">
        <f t="shared" si="45"/>
        <v>421</v>
      </c>
      <c r="B438" s="12">
        <f t="shared" si="47"/>
        <v>210</v>
      </c>
      <c r="C438" s="101" t="s">
        <v>22</v>
      </c>
      <c r="D438" s="12" t="s">
        <v>69</v>
      </c>
      <c r="E438" s="146">
        <f t="shared" si="46"/>
        <v>4847207.9800000004</v>
      </c>
      <c r="F438" s="12"/>
      <c r="G438" s="30"/>
      <c r="H438" s="30"/>
      <c r="I438" s="30"/>
      <c r="J438" s="30"/>
      <c r="K438" s="30"/>
      <c r="L438" s="30"/>
      <c r="M438" s="30"/>
      <c r="N438" s="30"/>
      <c r="O438" s="30"/>
      <c r="P438" s="30">
        <v>4842407.9800000004</v>
      </c>
      <c r="Q438" s="30"/>
      <c r="R438" s="30"/>
      <c r="S438" s="30">
        <v>4800</v>
      </c>
      <c r="T438" s="156"/>
      <c r="U438"/>
      <c r="V438" s="297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</row>
    <row r="439" spans="1:68" hidden="1">
      <c r="A439" s="295">
        <f t="shared" si="45"/>
        <v>422</v>
      </c>
      <c r="B439" s="12">
        <f t="shared" si="47"/>
        <v>211</v>
      </c>
      <c r="C439" s="101" t="s">
        <v>22</v>
      </c>
      <c r="D439" s="12" t="s">
        <v>75</v>
      </c>
      <c r="E439" s="146">
        <f t="shared" si="46"/>
        <v>4753460.04</v>
      </c>
      <c r="F439" s="12"/>
      <c r="G439" s="30"/>
      <c r="H439" s="30"/>
      <c r="I439" s="30"/>
      <c r="J439" s="30"/>
      <c r="K439" s="30"/>
      <c r="L439" s="30"/>
      <c r="M439" s="30"/>
      <c r="N439" s="30"/>
      <c r="O439" s="30"/>
      <c r="P439" s="30">
        <v>4747460.04</v>
      </c>
      <c r="Q439" s="30"/>
      <c r="R439" s="30"/>
      <c r="S439" s="30">
        <v>6000</v>
      </c>
      <c r="T439" s="156"/>
      <c r="U439"/>
      <c r="V439" s="297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</row>
    <row r="440" spans="1:68" hidden="1">
      <c r="A440" s="295">
        <f t="shared" si="45"/>
        <v>423</v>
      </c>
      <c r="B440" s="12">
        <f t="shared" si="47"/>
        <v>212</v>
      </c>
      <c r="C440" s="101" t="s">
        <v>22</v>
      </c>
      <c r="D440" s="12" t="s">
        <v>77</v>
      </c>
      <c r="E440" s="146">
        <f t="shared" si="46"/>
        <v>4872127.5199999996</v>
      </c>
      <c r="F440" s="12"/>
      <c r="G440" s="30"/>
      <c r="H440" s="30"/>
      <c r="I440" s="30"/>
      <c r="J440" s="30"/>
      <c r="K440" s="30"/>
      <c r="L440" s="30"/>
      <c r="M440" s="30"/>
      <c r="N440" s="30"/>
      <c r="O440" s="30"/>
      <c r="P440" s="30">
        <v>4867327.5199999996</v>
      </c>
      <c r="Q440" s="30"/>
      <c r="R440" s="30"/>
      <c r="S440" s="30">
        <v>4800</v>
      </c>
      <c r="T440" s="156"/>
      <c r="U440"/>
      <c r="V440" s="297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</row>
    <row r="441" spans="1:68" hidden="1">
      <c r="A441" s="295">
        <f t="shared" si="45"/>
        <v>424</v>
      </c>
      <c r="B441" s="12">
        <f t="shared" si="47"/>
        <v>213</v>
      </c>
      <c r="C441" s="101" t="s">
        <v>22</v>
      </c>
      <c r="D441" s="12" t="s">
        <v>80</v>
      </c>
      <c r="E441" s="146">
        <f t="shared" si="46"/>
        <v>7963657.8700000001</v>
      </c>
      <c r="F441" s="12"/>
      <c r="G441" s="30"/>
      <c r="H441" s="30"/>
      <c r="I441" s="30"/>
      <c r="J441" s="30"/>
      <c r="K441" s="30"/>
      <c r="L441" s="30"/>
      <c r="M441" s="30"/>
      <c r="N441" s="30"/>
      <c r="O441" s="30"/>
      <c r="P441" s="30">
        <v>7955657.8700000001</v>
      </c>
      <c r="Q441" s="30"/>
      <c r="R441" s="30"/>
      <c r="S441" s="30">
        <v>8000</v>
      </c>
      <c r="T441" s="156"/>
      <c r="U441"/>
      <c r="V441" s="297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</row>
    <row r="442" spans="1:68" hidden="1">
      <c r="A442" s="295">
        <f t="shared" si="45"/>
        <v>425</v>
      </c>
      <c r="B442" s="12">
        <f t="shared" si="47"/>
        <v>214</v>
      </c>
      <c r="C442" s="101" t="s">
        <v>82</v>
      </c>
      <c r="D442" s="12" t="s">
        <v>83</v>
      </c>
      <c r="E442" s="146">
        <f t="shared" ref="E442:E476" si="48">SUBTOTAL(9, F442:T442)</f>
        <v>0</v>
      </c>
      <c r="F442" s="30">
        <v>992115.39</v>
      </c>
      <c r="G442" s="30">
        <v>816974.44</v>
      </c>
      <c r="H442" s="30"/>
      <c r="I442" s="30">
        <v>242295.61</v>
      </c>
      <c r="J442" s="30">
        <v>0</v>
      </c>
      <c r="K442" s="30"/>
      <c r="L442" s="30"/>
      <c r="M442" s="30">
        <v>0</v>
      </c>
      <c r="N442" s="30">
        <v>0</v>
      </c>
      <c r="O442" s="30">
        <v>0</v>
      </c>
      <c r="P442" s="30">
        <v>0</v>
      </c>
      <c r="Q442" s="30">
        <v>0</v>
      </c>
      <c r="R442" s="30">
        <v>38236.870000000003</v>
      </c>
      <c r="S442" s="30">
        <v>18000</v>
      </c>
      <c r="T442" s="156"/>
      <c r="U442"/>
      <c r="V442" s="297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</row>
    <row r="443" spans="1:68" hidden="1">
      <c r="A443" s="295">
        <f t="shared" si="45"/>
        <v>426</v>
      </c>
      <c r="B443" s="12">
        <f t="shared" si="47"/>
        <v>215</v>
      </c>
      <c r="C443" s="101" t="s">
        <v>82</v>
      </c>
      <c r="D443" s="12" t="s">
        <v>85</v>
      </c>
      <c r="E443" s="146">
        <f t="shared" si="48"/>
        <v>0</v>
      </c>
      <c r="F443" s="30">
        <v>1703436.36</v>
      </c>
      <c r="G443" s="30">
        <v>859294.68</v>
      </c>
      <c r="H443" s="30"/>
      <c r="I443" s="30">
        <v>422101.36</v>
      </c>
      <c r="J443" s="30">
        <v>0</v>
      </c>
      <c r="K443" s="30"/>
      <c r="L443" s="30"/>
      <c r="M443" s="30">
        <v>0</v>
      </c>
      <c r="N443" s="30">
        <v>0</v>
      </c>
      <c r="O443" s="30">
        <v>0</v>
      </c>
      <c r="P443" s="30">
        <v>0</v>
      </c>
      <c r="Q443" s="30">
        <v>0</v>
      </c>
      <c r="R443" s="30">
        <v>52503.42</v>
      </c>
      <c r="S443" s="30">
        <v>18000</v>
      </c>
      <c r="T443" s="156"/>
      <c r="U443"/>
      <c r="V443" s="297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</row>
    <row r="444" spans="1:68" hidden="1">
      <c r="A444" s="295">
        <f t="shared" si="45"/>
        <v>427</v>
      </c>
      <c r="B444" s="12">
        <f t="shared" si="47"/>
        <v>216</v>
      </c>
      <c r="C444" s="101" t="s">
        <v>87</v>
      </c>
      <c r="D444" s="12" t="s">
        <v>88</v>
      </c>
      <c r="E444" s="146">
        <f t="shared" si="48"/>
        <v>0</v>
      </c>
      <c r="F444" s="30">
        <v>0</v>
      </c>
      <c r="G444" s="30">
        <v>0</v>
      </c>
      <c r="H444" s="30">
        <v>226071.44</v>
      </c>
      <c r="I444" s="30">
        <v>0</v>
      </c>
      <c r="J444" s="30">
        <v>0</v>
      </c>
      <c r="K444" s="30"/>
      <c r="L444" s="30"/>
      <c r="M444" s="30">
        <v>0</v>
      </c>
      <c r="N444" s="30"/>
      <c r="O444" s="30">
        <v>0</v>
      </c>
      <c r="P444" s="30">
        <v>0</v>
      </c>
      <c r="Q444" s="30">
        <v>0</v>
      </c>
      <c r="R444" s="30"/>
      <c r="S444" s="30"/>
      <c r="T444" s="156"/>
      <c r="U444"/>
      <c r="V444" s="297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</row>
    <row r="445" spans="1:68" hidden="1">
      <c r="A445" s="295">
        <f t="shared" si="45"/>
        <v>428</v>
      </c>
      <c r="B445" s="12">
        <f t="shared" si="47"/>
        <v>217</v>
      </c>
      <c r="C445" s="101" t="s">
        <v>87</v>
      </c>
      <c r="D445" s="12" t="s">
        <v>89</v>
      </c>
      <c r="E445" s="146">
        <f t="shared" si="48"/>
        <v>0</v>
      </c>
      <c r="F445" s="30">
        <v>0</v>
      </c>
      <c r="G445" s="30">
        <v>0</v>
      </c>
      <c r="H445" s="30">
        <v>240520.95999999999</v>
      </c>
      <c r="I445" s="30">
        <v>0</v>
      </c>
      <c r="J445" s="30">
        <v>0</v>
      </c>
      <c r="K445" s="30"/>
      <c r="L445" s="30"/>
      <c r="M445" s="30">
        <v>0</v>
      </c>
      <c r="N445" s="30"/>
      <c r="O445" s="30">
        <v>0</v>
      </c>
      <c r="P445" s="30">
        <v>0</v>
      </c>
      <c r="Q445" s="30">
        <v>0</v>
      </c>
      <c r="R445" s="30"/>
      <c r="S445" s="30"/>
      <c r="T445" s="156"/>
      <c r="U445"/>
      <c r="V445" s="297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</row>
    <row r="446" spans="1:68" hidden="1">
      <c r="A446" s="295">
        <f t="shared" si="45"/>
        <v>429</v>
      </c>
      <c r="B446" s="12">
        <f t="shared" si="47"/>
        <v>218</v>
      </c>
      <c r="C446" s="101" t="s">
        <v>87</v>
      </c>
      <c r="D446" s="12" t="s">
        <v>92</v>
      </c>
      <c r="E446" s="146">
        <f t="shared" si="48"/>
        <v>0</v>
      </c>
      <c r="F446" s="30">
        <v>0</v>
      </c>
      <c r="G446" s="30">
        <v>0</v>
      </c>
      <c r="H446" s="30">
        <v>253456.48</v>
      </c>
      <c r="I446" s="30">
        <v>0</v>
      </c>
      <c r="J446" s="30">
        <v>0</v>
      </c>
      <c r="K446" s="30"/>
      <c r="L446" s="30"/>
      <c r="M446" s="30">
        <v>0</v>
      </c>
      <c r="N446" s="30">
        <v>0</v>
      </c>
      <c r="O446" s="30">
        <v>0</v>
      </c>
      <c r="P446" s="30">
        <v>0</v>
      </c>
      <c r="Q446" s="30">
        <v>0</v>
      </c>
      <c r="R446" s="30"/>
      <c r="S446" s="30"/>
      <c r="T446" s="156"/>
      <c r="U446"/>
      <c r="V446" s="297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</row>
    <row r="447" spans="1:68" hidden="1">
      <c r="A447" s="295">
        <f t="shared" si="45"/>
        <v>430</v>
      </c>
      <c r="B447" s="12">
        <f t="shared" si="47"/>
        <v>219</v>
      </c>
      <c r="C447" s="101" t="s">
        <v>87</v>
      </c>
      <c r="D447" s="12" t="s">
        <v>94</v>
      </c>
      <c r="E447" s="146">
        <f t="shared" si="48"/>
        <v>0</v>
      </c>
      <c r="F447" s="30"/>
      <c r="G447" s="30">
        <v>601824.37</v>
      </c>
      <c r="H447" s="30"/>
      <c r="I447" s="30"/>
      <c r="J447" s="30">
        <v>0</v>
      </c>
      <c r="K447" s="30"/>
      <c r="L447" s="30"/>
      <c r="M447" s="30">
        <v>0</v>
      </c>
      <c r="N447" s="30"/>
      <c r="O447" s="30">
        <v>0</v>
      </c>
      <c r="P447" s="30">
        <v>0</v>
      </c>
      <c r="Q447" s="30">
        <v>0</v>
      </c>
      <c r="R447" s="30">
        <v>13790.96</v>
      </c>
      <c r="S447" s="30">
        <v>4800</v>
      </c>
      <c r="T447" s="156"/>
      <c r="U447"/>
      <c r="V447" s="29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</row>
    <row r="448" spans="1:68" hidden="1">
      <c r="A448" s="295">
        <f t="shared" si="45"/>
        <v>431</v>
      </c>
      <c r="B448" s="12" t="s">
        <v>96</v>
      </c>
      <c r="C448" s="101" t="s">
        <v>87</v>
      </c>
      <c r="D448" s="12" t="s">
        <v>97</v>
      </c>
      <c r="E448" s="146">
        <f t="shared" si="48"/>
        <v>0</v>
      </c>
      <c r="F448" s="30"/>
      <c r="G448" s="30"/>
      <c r="H448" s="30">
        <v>0</v>
      </c>
      <c r="I448" s="30">
        <v>223889.01</v>
      </c>
      <c r="J448" s="30"/>
      <c r="K448" s="30"/>
      <c r="L448" s="30"/>
      <c r="M448" s="30">
        <v>0</v>
      </c>
      <c r="N448" s="30">
        <v>0</v>
      </c>
      <c r="O448" s="30"/>
      <c r="P448" s="30">
        <v>0</v>
      </c>
      <c r="Q448" s="30"/>
      <c r="R448" s="30"/>
      <c r="S448" s="30"/>
      <c r="T448" s="156"/>
      <c r="U448"/>
      <c r="V448" s="297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</row>
    <row r="449" spans="1:68" ht="13.5" hidden="1" customHeight="1">
      <c r="A449" s="295">
        <f t="shared" si="45"/>
        <v>432</v>
      </c>
      <c r="B449" s="12" t="s">
        <v>96</v>
      </c>
      <c r="C449" s="101" t="s">
        <v>87</v>
      </c>
      <c r="D449" s="12" t="s">
        <v>100</v>
      </c>
      <c r="E449" s="146">
        <f t="shared" si="48"/>
        <v>0</v>
      </c>
      <c r="F449" s="30"/>
      <c r="G449" s="30"/>
      <c r="H449" s="30">
        <v>0</v>
      </c>
      <c r="I449" s="30">
        <v>223889.01</v>
      </c>
      <c r="J449" s="30"/>
      <c r="K449" s="30"/>
      <c r="L449" s="30"/>
      <c r="M449" s="30">
        <v>0</v>
      </c>
      <c r="N449" s="30">
        <v>0</v>
      </c>
      <c r="O449" s="30"/>
      <c r="P449" s="30">
        <v>0</v>
      </c>
      <c r="Q449" s="30"/>
      <c r="R449" s="30"/>
      <c r="S449" s="30"/>
      <c r="T449" s="156"/>
      <c r="U449"/>
      <c r="V449" s="297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</row>
    <row r="450" spans="1:68" hidden="1">
      <c r="A450" s="295">
        <f t="shared" si="45"/>
        <v>433</v>
      </c>
      <c r="B450" s="12">
        <v>220</v>
      </c>
      <c r="C450" s="101" t="s">
        <v>87</v>
      </c>
      <c r="D450" s="12" t="s">
        <v>102</v>
      </c>
      <c r="E450" s="146">
        <f t="shared" si="48"/>
        <v>0</v>
      </c>
      <c r="F450" s="30"/>
      <c r="G450" s="30"/>
      <c r="H450" s="30">
        <v>0</v>
      </c>
      <c r="I450" s="30">
        <v>278729.45</v>
      </c>
      <c r="J450" s="30"/>
      <c r="K450" s="30"/>
      <c r="L450" s="30"/>
      <c r="M450" s="30">
        <v>0</v>
      </c>
      <c r="N450" s="30">
        <v>0</v>
      </c>
      <c r="O450" s="30">
        <v>2639085.08</v>
      </c>
      <c r="P450" s="30">
        <v>0</v>
      </c>
      <c r="Q450" s="30"/>
      <c r="R450" s="30"/>
      <c r="S450" s="30"/>
      <c r="T450" s="156"/>
      <c r="U450"/>
      <c r="V450" s="297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</row>
    <row r="451" spans="1:68" hidden="1">
      <c r="A451" s="295">
        <f t="shared" si="45"/>
        <v>434</v>
      </c>
      <c r="B451" s="12">
        <v>221</v>
      </c>
      <c r="C451" s="101" t="s">
        <v>104</v>
      </c>
      <c r="D451" s="12" t="s">
        <v>105</v>
      </c>
      <c r="E451" s="146">
        <f t="shared" si="48"/>
        <v>0</v>
      </c>
      <c r="F451" s="30"/>
      <c r="G451" s="30"/>
      <c r="H451" s="30"/>
      <c r="I451" s="30">
        <v>492037.06</v>
      </c>
      <c r="J451" s="30">
        <v>0</v>
      </c>
      <c r="K451" s="30"/>
      <c r="L451" s="30"/>
      <c r="M451" s="30">
        <v>0</v>
      </c>
      <c r="N451" s="30">
        <v>0</v>
      </c>
      <c r="O451" s="30">
        <v>0</v>
      </c>
      <c r="P451" s="30">
        <v>0</v>
      </c>
      <c r="Q451" s="30">
        <v>0</v>
      </c>
      <c r="R451" s="30"/>
      <c r="S451" s="30"/>
      <c r="T451" s="156"/>
      <c r="U451"/>
      <c r="V451" s="297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</row>
    <row r="452" spans="1:68" hidden="1">
      <c r="A452" s="295">
        <f t="shared" si="45"/>
        <v>435</v>
      </c>
      <c r="B452" s="12">
        <v>222</v>
      </c>
      <c r="C452" s="101" t="s">
        <v>104</v>
      </c>
      <c r="D452" s="12" t="s">
        <v>108</v>
      </c>
      <c r="E452" s="146">
        <f t="shared" si="48"/>
        <v>0</v>
      </c>
      <c r="F452" s="30"/>
      <c r="G452" s="30"/>
      <c r="H452" s="30"/>
      <c r="I452" s="30">
        <v>422534</v>
      </c>
      <c r="J452" s="30">
        <v>0</v>
      </c>
      <c r="K452" s="30"/>
      <c r="L452" s="30"/>
      <c r="M452" s="30">
        <v>0</v>
      </c>
      <c r="N452" s="30">
        <v>0</v>
      </c>
      <c r="O452" s="30">
        <v>0</v>
      </c>
      <c r="P452" s="30">
        <v>0</v>
      </c>
      <c r="Q452" s="30">
        <v>0</v>
      </c>
      <c r="R452" s="30"/>
      <c r="S452" s="30"/>
      <c r="T452" s="156"/>
    </row>
    <row r="453" spans="1:68" hidden="1">
      <c r="A453" s="295">
        <f t="shared" si="45"/>
        <v>436</v>
      </c>
      <c r="B453" s="12">
        <v>223</v>
      </c>
      <c r="C453" s="101" t="s">
        <v>104</v>
      </c>
      <c r="D453" s="12" t="s">
        <v>110</v>
      </c>
      <c r="E453" s="146">
        <f t="shared" si="48"/>
        <v>0</v>
      </c>
      <c r="F453" s="30">
        <v>0</v>
      </c>
      <c r="G453" s="30">
        <v>0</v>
      </c>
      <c r="H453" s="30"/>
      <c r="I453" s="30">
        <v>548136.26</v>
      </c>
      <c r="J453" s="30">
        <v>0</v>
      </c>
      <c r="K453" s="30"/>
      <c r="L453" s="30"/>
      <c r="M453" s="30">
        <v>0</v>
      </c>
      <c r="N453" s="30">
        <v>0</v>
      </c>
      <c r="O453" s="30">
        <v>0</v>
      </c>
      <c r="P453" s="30">
        <v>0</v>
      </c>
      <c r="Q453" s="30">
        <v>0</v>
      </c>
      <c r="R453" s="30"/>
      <c r="S453" s="30"/>
      <c r="T453" s="156"/>
    </row>
    <row r="454" spans="1:68" hidden="1">
      <c r="A454" s="295">
        <f t="shared" si="45"/>
        <v>437</v>
      </c>
      <c r="B454" s="12" t="s">
        <v>96</v>
      </c>
      <c r="C454" s="101" t="s">
        <v>112</v>
      </c>
      <c r="D454" s="12" t="s">
        <v>352</v>
      </c>
      <c r="E454" s="146">
        <f t="shared" si="48"/>
        <v>0</v>
      </c>
      <c r="F454" s="30"/>
      <c r="G454" s="30"/>
      <c r="H454" s="30"/>
      <c r="I454" s="30"/>
      <c r="J454" s="30">
        <v>0</v>
      </c>
      <c r="K454" s="30"/>
      <c r="L454" s="30"/>
      <c r="M454" s="30">
        <v>0</v>
      </c>
      <c r="N454" s="30"/>
      <c r="O454" s="30">
        <v>0</v>
      </c>
      <c r="P454" s="30">
        <v>25027038.059999999</v>
      </c>
      <c r="Q454" s="30"/>
      <c r="R454" s="30"/>
      <c r="S454" s="30"/>
      <c r="T454" s="156"/>
    </row>
    <row r="455" spans="1:68" hidden="1">
      <c r="A455" s="295">
        <f t="shared" si="45"/>
        <v>438</v>
      </c>
      <c r="B455" s="12" t="s">
        <v>96</v>
      </c>
      <c r="C455" s="101" t="s">
        <v>116</v>
      </c>
      <c r="D455" s="12" t="s">
        <v>117</v>
      </c>
      <c r="E455" s="177">
        <f t="shared" si="48"/>
        <v>0</v>
      </c>
      <c r="F455" s="30"/>
      <c r="G455" s="30"/>
      <c r="H455" s="30"/>
      <c r="I455" s="30"/>
      <c r="J455" s="30">
        <v>0</v>
      </c>
      <c r="K455" s="30"/>
      <c r="L455" s="30"/>
      <c r="M455" s="30"/>
      <c r="N455" s="30">
        <v>0</v>
      </c>
      <c r="O455" s="30">
        <v>0</v>
      </c>
      <c r="P455" s="30">
        <v>93307087.400000006</v>
      </c>
      <c r="Q455" s="30">
        <v>0</v>
      </c>
      <c r="R455" s="30">
        <v>579968.09</v>
      </c>
      <c r="S455" s="30">
        <v>10000</v>
      </c>
      <c r="T455" s="156"/>
    </row>
    <row r="456" spans="1:68" hidden="1">
      <c r="A456" s="295">
        <f t="shared" si="45"/>
        <v>439</v>
      </c>
      <c r="B456" s="12">
        <v>224</v>
      </c>
      <c r="C456" s="101" t="s">
        <v>116</v>
      </c>
      <c r="D456" s="12" t="s">
        <v>119</v>
      </c>
      <c r="E456" s="146">
        <f t="shared" si="48"/>
        <v>0</v>
      </c>
      <c r="F456" s="30"/>
      <c r="G456" s="30"/>
      <c r="H456" s="30"/>
      <c r="I456" s="30">
        <v>5271196.8600000003</v>
      </c>
      <c r="J456" s="30">
        <v>0</v>
      </c>
      <c r="K456" s="30"/>
      <c r="L456" s="30"/>
      <c r="M456" s="30">
        <v>0</v>
      </c>
      <c r="N456" s="30"/>
      <c r="O456" s="30">
        <v>0</v>
      </c>
      <c r="P456" s="30"/>
      <c r="Q456" s="30"/>
      <c r="R456" s="30"/>
      <c r="S456" s="30"/>
      <c r="T456" s="156"/>
    </row>
    <row r="457" spans="1:68" hidden="1">
      <c r="A457" s="295">
        <f t="shared" si="45"/>
        <v>440</v>
      </c>
      <c r="B457" s="12">
        <v>225</v>
      </c>
      <c r="C457" s="101" t="s">
        <v>116</v>
      </c>
      <c r="D457" s="101" t="s">
        <v>121</v>
      </c>
      <c r="E457" s="177">
        <f t="shared" si="48"/>
        <v>0</v>
      </c>
      <c r="F457" s="62"/>
      <c r="G457" s="62"/>
      <c r="H457" s="62"/>
      <c r="I457" s="62"/>
      <c r="J457" s="62"/>
      <c r="K457" s="62"/>
      <c r="L457" s="62"/>
      <c r="M457" s="62">
        <v>16975058.390000001</v>
      </c>
      <c r="N457" s="62"/>
      <c r="O457" s="62"/>
      <c r="P457" s="62"/>
      <c r="Q457" s="30"/>
      <c r="R457" s="30">
        <v>768789</v>
      </c>
      <c r="S457" s="30">
        <v>256263</v>
      </c>
      <c r="T457" s="156"/>
    </row>
    <row r="458" spans="1:68" hidden="1">
      <c r="A458" s="295">
        <f t="shared" si="45"/>
        <v>441</v>
      </c>
      <c r="B458" s="12">
        <v>226</v>
      </c>
      <c r="C458" s="101" t="s">
        <v>116</v>
      </c>
      <c r="D458" s="12" t="s">
        <v>123</v>
      </c>
      <c r="E458" s="146">
        <f t="shared" si="48"/>
        <v>0</v>
      </c>
      <c r="F458" s="30">
        <v>6125064</v>
      </c>
      <c r="G458" s="30">
        <v>2367725.5699999998</v>
      </c>
      <c r="H458" s="30"/>
      <c r="I458" s="30"/>
      <c r="J458" s="30">
        <v>0</v>
      </c>
      <c r="K458" s="30"/>
      <c r="L458" s="30"/>
      <c r="M458" s="30">
        <v>0</v>
      </c>
      <c r="N458" s="30">
        <v>5431079.9800000004</v>
      </c>
      <c r="O458" s="30">
        <v>0</v>
      </c>
      <c r="P458" s="30">
        <v>0</v>
      </c>
      <c r="Q458" s="30">
        <v>0</v>
      </c>
      <c r="R458" s="30"/>
      <c r="S458" s="30"/>
      <c r="T458" s="156"/>
    </row>
    <row r="459" spans="1:68" hidden="1">
      <c r="A459" s="295">
        <f t="shared" si="45"/>
        <v>442</v>
      </c>
      <c r="B459" s="12" t="s">
        <v>96</v>
      </c>
      <c r="C459" s="101" t="s">
        <v>116</v>
      </c>
      <c r="D459" s="12" t="s">
        <v>125</v>
      </c>
      <c r="E459" s="146">
        <f t="shared" si="48"/>
        <v>0</v>
      </c>
      <c r="F459" s="30"/>
      <c r="G459" s="30"/>
      <c r="H459" s="30"/>
      <c r="I459" s="30"/>
      <c r="J459" s="30">
        <v>0</v>
      </c>
      <c r="K459" s="30"/>
      <c r="L459" s="30"/>
      <c r="M459" s="30">
        <v>0</v>
      </c>
      <c r="N459" s="30">
        <v>2593578.2999999998</v>
      </c>
      <c r="O459" s="30">
        <v>0</v>
      </c>
      <c r="P459" s="30">
        <v>0</v>
      </c>
      <c r="Q459" s="30"/>
      <c r="R459" s="30"/>
      <c r="S459" s="30"/>
      <c r="T459" s="156"/>
    </row>
    <row r="460" spans="1:68" hidden="1">
      <c r="A460" s="295">
        <f t="shared" si="45"/>
        <v>443</v>
      </c>
      <c r="B460" s="12" t="s">
        <v>96</v>
      </c>
      <c r="C460" s="101" t="s">
        <v>116</v>
      </c>
      <c r="D460" s="12" t="s">
        <v>127</v>
      </c>
      <c r="E460" s="146">
        <f t="shared" si="48"/>
        <v>0</v>
      </c>
      <c r="F460" s="30">
        <v>5809151.5899999999</v>
      </c>
      <c r="G460" s="30">
        <v>5068716.41</v>
      </c>
      <c r="H460" s="30"/>
      <c r="I460" s="30"/>
      <c r="J460" s="30"/>
      <c r="K460" s="30"/>
      <c r="L460" s="30"/>
      <c r="M460" s="30">
        <v>0</v>
      </c>
      <c r="N460" s="30"/>
      <c r="O460" s="30">
        <v>0</v>
      </c>
      <c r="P460" s="30"/>
      <c r="R460" s="30"/>
      <c r="S460" s="30"/>
      <c r="T460" s="156"/>
    </row>
    <row r="461" spans="1:68" hidden="1">
      <c r="A461" s="295">
        <f t="shared" si="45"/>
        <v>444</v>
      </c>
      <c r="B461" s="12">
        <v>227</v>
      </c>
      <c r="C461" s="101" t="s">
        <v>116</v>
      </c>
      <c r="D461" s="12" t="s">
        <v>129</v>
      </c>
      <c r="E461" s="146">
        <f t="shared" si="48"/>
        <v>0</v>
      </c>
      <c r="F461" s="30"/>
      <c r="G461" s="30"/>
      <c r="H461" s="30"/>
      <c r="I461" s="30"/>
      <c r="J461" s="30"/>
      <c r="K461" s="30"/>
      <c r="L461" s="30"/>
      <c r="M461" s="30"/>
      <c r="N461" s="30">
        <v>0</v>
      </c>
      <c r="O461" s="30">
        <v>0</v>
      </c>
      <c r="P461" s="30">
        <v>13459169.380000001</v>
      </c>
      <c r="Q461" s="30"/>
      <c r="R461" s="30"/>
      <c r="S461" s="30"/>
      <c r="T461" s="156">
        <v>136758.93</v>
      </c>
    </row>
    <row r="462" spans="1:68" hidden="1">
      <c r="A462" s="295">
        <f t="shared" si="45"/>
        <v>445</v>
      </c>
      <c r="B462" s="12">
        <v>228</v>
      </c>
      <c r="C462" s="101" t="s">
        <v>116</v>
      </c>
      <c r="D462" s="12" t="s">
        <v>131</v>
      </c>
      <c r="E462" s="146">
        <f t="shared" si="48"/>
        <v>0</v>
      </c>
      <c r="F462" s="30">
        <v>11006074.42</v>
      </c>
      <c r="G462" s="30"/>
      <c r="H462" s="30"/>
      <c r="I462" s="30"/>
      <c r="J462" s="30">
        <v>0</v>
      </c>
      <c r="K462" s="30"/>
      <c r="L462" s="30"/>
      <c r="M462" s="30">
        <v>0</v>
      </c>
      <c r="N462" s="30">
        <v>0</v>
      </c>
      <c r="O462" s="30">
        <v>0</v>
      </c>
      <c r="P462" s="30">
        <v>0</v>
      </c>
      <c r="Q462" s="30">
        <v>0</v>
      </c>
      <c r="R462" s="30"/>
      <c r="S462" s="30"/>
      <c r="T462" s="156"/>
    </row>
    <row r="463" spans="1:68" hidden="1">
      <c r="A463" s="295">
        <f t="shared" si="45"/>
        <v>446</v>
      </c>
      <c r="B463" s="12" t="s">
        <v>96</v>
      </c>
      <c r="C463" s="101" t="s">
        <v>116</v>
      </c>
      <c r="D463" s="12" t="s">
        <v>133</v>
      </c>
      <c r="E463" s="146">
        <f t="shared" si="48"/>
        <v>0</v>
      </c>
      <c r="F463" s="30"/>
      <c r="G463" s="30"/>
      <c r="H463" s="30"/>
      <c r="I463" s="30"/>
      <c r="J463" s="30"/>
      <c r="K463" s="30"/>
      <c r="L463" s="30"/>
      <c r="M463" s="30">
        <v>0</v>
      </c>
      <c r="N463" s="30">
        <v>0</v>
      </c>
      <c r="O463" s="30">
        <v>0</v>
      </c>
      <c r="P463" s="30">
        <v>9226685.7799999993</v>
      </c>
      <c r="Q463" s="30"/>
      <c r="R463" s="30"/>
      <c r="S463" s="30"/>
      <c r="T463" s="156">
        <v>98206.9</v>
      </c>
    </row>
    <row r="464" spans="1:68" hidden="1">
      <c r="A464" s="295">
        <f t="shared" si="45"/>
        <v>447</v>
      </c>
      <c r="B464" s="12" t="s">
        <v>96</v>
      </c>
      <c r="C464" s="101" t="s">
        <v>750</v>
      </c>
      <c r="D464" s="12" t="s">
        <v>136</v>
      </c>
      <c r="E464" s="146">
        <f t="shared" si="48"/>
        <v>0</v>
      </c>
      <c r="F464" s="30">
        <v>13314058.640000001</v>
      </c>
      <c r="G464" s="30">
        <v>4516840.08</v>
      </c>
      <c r="H464" s="30">
        <v>0</v>
      </c>
      <c r="I464" s="30">
        <v>0</v>
      </c>
      <c r="J464" s="30">
        <v>0</v>
      </c>
      <c r="K464" s="30"/>
      <c r="L464" s="30"/>
      <c r="M464" s="30">
        <v>0</v>
      </c>
      <c r="N464" s="30"/>
      <c r="O464" s="30">
        <v>0</v>
      </c>
      <c r="P464" s="30">
        <v>0</v>
      </c>
      <c r="Q464" s="30">
        <v>0</v>
      </c>
      <c r="R464" s="30"/>
      <c r="S464" s="30"/>
      <c r="T464" s="156"/>
    </row>
    <row r="465" spans="1:68" hidden="1">
      <c r="A465" s="295">
        <f t="shared" si="45"/>
        <v>448</v>
      </c>
      <c r="B465" s="12">
        <v>229</v>
      </c>
      <c r="C465" s="101" t="s">
        <v>750</v>
      </c>
      <c r="D465" s="12" t="s">
        <v>138</v>
      </c>
      <c r="E465" s="146">
        <f t="shared" si="48"/>
        <v>0</v>
      </c>
      <c r="F465" s="30">
        <v>10307046.52</v>
      </c>
      <c r="G465" s="30">
        <v>4037081.56</v>
      </c>
      <c r="H465" s="30">
        <v>0</v>
      </c>
      <c r="I465" s="30">
        <v>0</v>
      </c>
      <c r="J465" s="30">
        <v>0</v>
      </c>
      <c r="K465" s="30"/>
      <c r="L465" s="30"/>
      <c r="M465" s="30">
        <v>0</v>
      </c>
      <c r="N465" s="30"/>
      <c r="O465" s="30">
        <v>0</v>
      </c>
      <c r="P465" s="30">
        <v>0</v>
      </c>
      <c r="Q465" s="30">
        <v>0</v>
      </c>
      <c r="R465" s="30"/>
      <c r="S465" s="30"/>
      <c r="T465" s="156"/>
    </row>
    <row r="466" spans="1:68" hidden="1">
      <c r="A466" s="295">
        <f t="shared" si="45"/>
        <v>449</v>
      </c>
      <c r="B466" s="12">
        <f t="shared" ref="B466:B476" si="49">+B465+1</f>
        <v>230</v>
      </c>
      <c r="C466" s="101" t="s">
        <v>140</v>
      </c>
      <c r="D466" s="101" t="s">
        <v>141</v>
      </c>
      <c r="E466" s="146">
        <f t="shared" si="48"/>
        <v>0</v>
      </c>
      <c r="F466" s="62"/>
      <c r="G466" s="30"/>
      <c r="H466" s="30"/>
      <c r="I466" s="30">
        <v>366422.22</v>
      </c>
      <c r="J466" s="30">
        <v>0</v>
      </c>
      <c r="K466" s="30"/>
      <c r="L466" s="30"/>
      <c r="M466" s="30">
        <v>0</v>
      </c>
      <c r="N466" s="30"/>
      <c r="O466" s="30"/>
      <c r="P466" s="30"/>
      <c r="Q466" s="30"/>
      <c r="R466" s="30"/>
      <c r="S466" s="30"/>
      <c r="T466" s="156"/>
    </row>
    <row r="467" spans="1:68" hidden="1">
      <c r="A467" s="295">
        <f t="shared" si="45"/>
        <v>450</v>
      </c>
      <c r="B467" s="12">
        <f t="shared" si="49"/>
        <v>231</v>
      </c>
      <c r="C467" s="101" t="s">
        <v>140</v>
      </c>
      <c r="D467" s="101" t="s">
        <v>142</v>
      </c>
      <c r="E467" s="146">
        <f t="shared" si="48"/>
        <v>0</v>
      </c>
      <c r="F467" s="62">
        <v>0</v>
      </c>
      <c r="G467" s="30">
        <v>0</v>
      </c>
      <c r="H467" s="30"/>
      <c r="I467" s="30"/>
      <c r="J467" s="30">
        <v>0</v>
      </c>
      <c r="K467" s="30"/>
      <c r="L467" s="30"/>
      <c r="M467" s="30">
        <v>0</v>
      </c>
      <c r="N467" s="30">
        <v>3803871.23</v>
      </c>
      <c r="O467" s="30">
        <v>0</v>
      </c>
      <c r="P467" s="30">
        <v>0</v>
      </c>
      <c r="Q467" s="30"/>
      <c r="R467" s="30"/>
      <c r="S467" s="30"/>
      <c r="T467" s="156"/>
    </row>
    <row r="468" spans="1:68" hidden="1">
      <c r="A468" s="295">
        <f t="shared" si="45"/>
        <v>451</v>
      </c>
      <c r="B468" s="12">
        <f t="shared" si="49"/>
        <v>232</v>
      </c>
      <c r="C468" s="101" t="s">
        <v>140</v>
      </c>
      <c r="D468" s="101" t="s">
        <v>144</v>
      </c>
      <c r="E468" s="146">
        <f t="shared" si="48"/>
        <v>0</v>
      </c>
      <c r="F468" s="62">
        <v>0</v>
      </c>
      <c r="G468" s="30">
        <v>0</v>
      </c>
      <c r="H468" s="30"/>
      <c r="I468" s="30">
        <v>1099685.3899999999</v>
      </c>
      <c r="J468" s="30">
        <v>0</v>
      </c>
      <c r="K468" s="30"/>
      <c r="L468" s="30"/>
      <c r="M468" s="30">
        <v>0</v>
      </c>
      <c r="N468" s="30">
        <v>3088603.2</v>
      </c>
      <c r="O468" s="30">
        <v>0</v>
      </c>
      <c r="P468" s="30"/>
      <c r="Q468" s="30"/>
      <c r="R468" s="30"/>
      <c r="S468" s="30"/>
      <c r="T468" s="156"/>
    </row>
    <row r="469" spans="1:68" hidden="1">
      <c r="A469" s="295">
        <f t="shared" si="45"/>
        <v>452</v>
      </c>
      <c r="B469" s="12">
        <f t="shared" si="49"/>
        <v>233</v>
      </c>
      <c r="C469" s="101" t="s">
        <v>140</v>
      </c>
      <c r="D469" s="101" t="s">
        <v>146</v>
      </c>
      <c r="E469" s="146">
        <f t="shared" si="48"/>
        <v>0</v>
      </c>
      <c r="F469" s="62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>
        <v>4320197.0199999996</v>
      </c>
      <c r="R469" s="30"/>
      <c r="S469" s="30"/>
      <c r="T469" s="156"/>
    </row>
    <row r="470" spans="1:68" hidden="1">
      <c r="A470" s="295">
        <f t="shared" si="45"/>
        <v>453</v>
      </c>
      <c r="B470" s="12">
        <f t="shared" si="49"/>
        <v>234</v>
      </c>
      <c r="C470" s="101" t="s">
        <v>140</v>
      </c>
      <c r="D470" s="101" t="s">
        <v>148</v>
      </c>
      <c r="E470" s="146">
        <f t="shared" si="48"/>
        <v>0</v>
      </c>
      <c r="F470" s="62"/>
      <c r="G470" s="30"/>
      <c r="H470" s="30"/>
      <c r="I470" s="30">
        <v>0</v>
      </c>
      <c r="J470" s="30">
        <v>0</v>
      </c>
      <c r="K470" s="30"/>
      <c r="L470" s="30"/>
      <c r="M470" s="30">
        <v>0</v>
      </c>
      <c r="N470" s="30">
        <v>0</v>
      </c>
      <c r="O470" s="30">
        <v>0</v>
      </c>
      <c r="P470" s="30">
        <v>0</v>
      </c>
      <c r="Q470" s="30">
        <v>3298923.58</v>
      </c>
      <c r="R470" s="30"/>
      <c r="S470" s="30"/>
      <c r="T470" s="156"/>
    </row>
    <row r="471" spans="1:68" hidden="1">
      <c r="A471" s="295">
        <f t="shared" si="45"/>
        <v>454</v>
      </c>
      <c r="B471" s="12">
        <f t="shared" si="49"/>
        <v>235</v>
      </c>
      <c r="C471" s="101" t="s">
        <v>140</v>
      </c>
      <c r="D471" s="101" t="s">
        <v>150</v>
      </c>
      <c r="E471" s="146">
        <f t="shared" si="48"/>
        <v>0</v>
      </c>
      <c r="F471" s="62"/>
      <c r="G471" s="30"/>
      <c r="H471" s="30"/>
      <c r="I471" s="30">
        <v>316550.13</v>
      </c>
      <c r="J471" s="30">
        <v>0</v>
      </c>
      <c r="K471" s="30"/>
      <c r="L471" s="30"/>
      <c r="M471" s="30">
        <v>0</v>
      </c>
      <c r="N471" s="30">
        <v>0</v>
      </c>
      <c r="O471" s="30">
        <v>0</v>
      </c>
      <c r="P471" s="30">
        <v>0</v>
      </c>
      <c r="Q471" s="30">
        <v>2842386.57</v>
      </c>
      <c r="R471" s="30"/>
      <c r="S471" s="30"/>
      <c r="T471" s="156"/>
    </row>
    <row r="472" spans="1:68" hidden="1">
      <c r="A472" s="295">
        <f t="shared" si="45"/>
        <v>455</v>
      </c>
      <c r="B472" s="12">
        <f t="shared" si="49"/>
        <v>236</v>
      </c>
      <c r="C472" s="101" t="s">
        <v>140</v>
      </c>
      <c r="D472" s="101" t="s">
        <v>152</v>
      </c>
      <c r="E472" s="146">
        <f t="shared" si="48"/>
        <v>0</v>
      </c>
      <c r="F472" s="62">
        <v>0</v>
      </c>
      <c r="G472" s="30">
        <v>0</v>
      </c>
      <c r="H472" s="30">
        <v>0</v>
      </c>
      <c r="I472" s="30">
        <v>0</v>
      </c>
      <c r="J472" s="30">
        <v>0</v>
      </c>
      <c r="K472" s="30"/>
      <c r="L472" s="30"/>
      <c r="M472" s="30">
        <v>0</v>
      </c>
      <c r="N472" s="30">
        <v>0</v>
      </c>
      <c r="O472" s="30">
        <v>0</v>
      </c>
      <c r="P472" s="30">
        <v>5454094.2599999998</v>
      </c>
      <c r="Q472" s="30"/>
      <c r="R472" s="30"/>
      <c r="S472" s="30"/>
      <c r="T472" s="156"/>
    </row>
    <row r="473" spans="1:68" hidden="1">
      <c r="A473" s="295">
        <f t="shared" si="45"/>
        <v>456</v>
      </c>
      <c r="B473" s="12">
        <f t="shared" si="49"/>
        <v>237</v>
      </c>
      <c r="C473" s="101" t="s">
        <v>154</v>
      </c>
      <c r="D473" s="12" t="s">
        <v>155</v>
      </c>
      <c r="E473" s="146">
        <f t="shared" si="48"/>
        <v>0</v>
      </c>
      <c r="F473" s="30"/>
      <c r="G473" s="30"/>
      <c r="H473" s="30">
        <v>0</v>
      </c>
      <c r="I473" s="30">
        <v>0</v>
      </c>
      <c r="J473" s="30">
        <v>0</v>
      </c>
      <c r="K473" s="30"/>
      <c r="L473" s="30"/>
      <c r="M473" s="30">
        <v>0</v>
      </c>
      <c r="N473" s="30">
        <v>5770612.3300000001</v>
      </c>
      <c r="O473" s="30">
        <v>0</v>
      </c>
      <c r="P473" s="30">
        <v>0</v>
      </c>
      <c r="Q473" s="30">
        <v>0</v>
      </c>
      <c r="R473" s="30"/>
      <c r="S473" s="30"/>
      <c r="T473" s="156"/>
    </row>
    <row r="474" spans="1:68" hidden="1">
      <c r="A474" s="295">
        <f t="shared" si="45"/>
        <v>457</v>
      </c>
      <c r="B474" s="12">
        <f t="shared" si="49"/>
        <v>238</v>
      </c>
      <c r="C474" s="101" t="s">
        <v>154</v>
      </c>
      <c r="D474" s="12" t="s">
        <v>157</v>
      </c>
      <c r="E474" s="146">
        <f t="shared" si="48"/>
        <v>0</v>
      </c>
      <c r="F474" s="30">
        <v>0</v>
      </c>
      <c r="G474" s="30">
        <v>0</v>
      </c>
      <c r="H474" s="30">
        <v>0</v>
      </c>
      <c r="I474" s="30">
        <v>0</v>
      </c>
      <c r="J474" s="30">
        <v>0</v>
      </c>
      <c r="K474" s="30"/>
      <c r="L474" s="30"/>
      <c r="M474" s="30">
        <v>0</v>
      </c>
      <c r="N474" s="30">
        <v>7256814.7199999997</v>
      </c>
      <c r="O474" s="30">
        <v>0</v>
      </c>
      <c r="P474" s="30"/>
      <c r="Q474" s="30">
        <v>0</v>
      </c>
      <c r="R474" s="30"/>
      <c r="S474" s="30"/>
      <c r="T474" s="156"/>
    </row>
    <row r="475" spans="1:68" hidden="1">
      <c r="A475" s="295">
        <f t="shared" si="45"/>
        <v>458</v>
      </c>
      <c r="B475" s="12">
        <f t="shared" si="49"/>
        <v>239</v>
      </c>
      <c r="C475" s="101" t="s">
        <v>159</v>
      </c>
      <c r="D475" s="101" t="s">
        <v>160</v>
      </c>
      <c r="E475" s="146">
        <f t="shared" si="48"/>
        <v>0</v>
      </c>
      <c r="F475" s="62">
        <v>0</v>
      </c>
      <c r="G475" s="30">
        <v>0</v>
      </c>
      <c r="H475" s="30">
        <v>0</v>
      </c>
      <c r="I475" s="30">
        <v>0</v>
      </c>
      <c r="J475" s="30">
        <v>0</v>
      </c>
      <c r="K475" s="30"/>
      <c r="L475" s="30"/>
      <c r="M475" s="30">
        <v>0</v>
      </c>
      <c r="N475" s="30">
        <v>0</v>
      </c>
      <c r="O475" s="30">
        <v>0</v>
      </c>
      <c r="P475" s="30">
        <v>0</v>
      </c>
      <c r="Q475" s="30">
        <v>6397046.1500000004</v>
      </c>
      <c r="R475" s="30"/>
      <c r="S475" s="30"/>
      <c r="T475" s="156"/>
    </row>
    <row r="476" spans="1:68" hidden="1">
      <c r="A476" s="295">
        <f t="shared" si="45"/>
        <v>459</v>
      </c>
      <c r="B476" s="12">
        <f t="shared" si="49"/>
        <v>240</v>
      </c>
      <c r="C476" s="101" t="s">
        <v>162</v>
      </c>
      <c r="D476" s="12" t="s">
        <v>163</v>
      </c>
      <c r="E476" s="146">
        <f t="shared" si="48"/>
        <v>0</v>
      </c>
      <c r="F476" s="30">
        <v>0</v>
      </c>
      <c r="G476" s="30">
        <v>0</v>
      </c>
      <c r="H476" s="30">
        <v>0</v>
      </c>
      <c r="I476" s="30">
        <v>0</v>
      </c>
      <c r="J476" s="30">
        <v>0</v>
      </c>
      <c r="K476" s="30"/>
      <c r="L476" s="30"/>
      <c r="M476" s="30">
        <v>0</v>
      </c>
      <c r="N476" s="30">
        <v>0</v>
      </c>
      <c r="O476" s="30">
        <v>0</v>
      </c>
      <c r="P476" s="30">
        <v>7030996.7999999998</v>
      </c>
      <c r="Q476" s="30">
        <v>2326332.02</v>
      </c>
      <c r="R476" s="30"/>
      <c r="S476" s="30"/>
      <c r="T476" s="156"/>
    </row>
    <row r="477" spans="1:68" s="122" customFormat="1" ht="21" hidden="1" customHeight="1">
      <c r="A477" s="300"/>
      <c r="B477" s="301"/>
      <c r="C477" s="301"/>
      <c r="D477" s="302">
        <v>2024</v>
      </c>
      <c r="E477" s="126">
        <f t="shared" ref="E477:T477" si="50">E700+E478+E703+E813+E833</f>
        <v>19377346.98</v>
      </c>
      <c r="F477" s="126">
        <f t="shared" si="50"/>
        <v>320078726.45000005</v>
      </c>
      <c r="G477" s="126">
        <f t="shared" si="50"/>
        <v>99809123.87000002</v>
      </c>
      <c r="H477" s="126">
        <f t="shared" si="50"/>
        <v>161394707.37</v>
      </c>
      <c r="I477" s="126">
        <f t="shared" si="50"/>
        <v>87586604.600000009</v>
      </c>
      <c r="J477" s="126">
        <f t="shared" si="50"/>
        <v>27454928.640000001</v>
      </c>
      <c r="K477" s="126">
        <f t="shared" si="50"/>
        <v>0</v>
      </c>
      <c r="L477" s="126">
        <f t="shared" si="50"/>
        <v>0</v>
      </c>
      <c r="M477" s="126">
        <f t="shared" si="50"/>
        <v>154708049.24999997</v>
      </c>
      <c r="N477" s="126">
        <f t="shared" si="50"/>
        <v>254899845.59</v>
      </c>
      <c r="O477" s="126">
        <f t="shared" si="50"/>
        <v>51527289.780000001</v>
      </c>
      <c r="P477" s="126">
        <f t="shared" si="50"/>
        <v>836145249.61000001</v>
      </c>
      <c r="Q477" s="126">
        <f t="shared" si="50"/>
        <v>76339918.750000015</v>
      </c>
      <c r="R477" s="126">
        <f t="shared" si="50"/>
        <v>5304157.2699999996</v>
      </c>
      <c r="S477" s="126">
        <f t="shared" si="50"/>
        <v>1563133.49</v>
      </c>
      <c r="T477" s="126">
        <f t="shared" si="50"/>
        <v>1725560.1100000003</v>
      </c>
      <c r="U477" s="1"/>
      <c r="V477" s="131">
        <f>SUM(V479:V697)</f>
        <v>337</v>
      </c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</row>
    <row r="478" spans="1:68" s="122" customFormat="1" ht="21" hidden="1" customHeight="1">
      <c r="A478" s="303"/>
      <c r="B478" s="304"/>
      <c r="C478" s="304"/>
      <c r="D478" s="133" t="s">
        <v>751</v>
      </c>
      <c r="E478" s="136">
        <f>SUM(E479:E699)</f>
        <v>9000055.3300000001</v>
      </c>
      <c r="F478" s="136">
        <f t="shared" ref="F478:T478" si="51">SUM(F479:F697)</f>
        <v>287951634.03000003</v>
      </c>
      <c r="G478" s="136">
        <f t="shared" si="51"/>
        <v>84485944.780000016</v>
      </c>
      <c r="H478" s="136">
        <f t="shared" si="51"/>
        <v>152642515.99000001</v>
      </c>
      <c r="I478" s="136">
        <f t="shared" si="51"/>
        <v>85378295.590000004</v>
      </c>
      <c r="J478" s="136">
        <f t="shared" si="51"/>
        <v>27454928.640000001</v>
      </c>
      <c r="K478" s="136">
        <f t="shared" si="51"/>
        <v>0</v>
      </c>
      <c r="L478" s="136">
        <f t="shared" si="51"/>
        <v>0</v>
      </c>
      <c r="M478" s="136">
        <f t="shared" si="51"/>
        <v>93382142.579999983</v>
      </c>
      <c r="N478" s="136">
        <f t="shared" si="51"/>
        <v>250643494.09</v>
      </c>
      <c r="O478" s="136">
        <f t="shared" si="51"/>
        <v>49526316.780000001</v>
      </c>
      <c r="P478" s="136">
        <f t="shared" si="51"/>
        <v>723764749.08000004</v>
      </c>
      <c r="Q478" s="136">
        <f t="shared" si="51"/>
        <v>76339918.750000015</v>
      </c>
      <c r="R478" s="136">
        <f t="shared" si="51"/>
        <v>4354572.79</v>
      </c>
      <c r="S478" s="136">
        <f t="shared" si="51"/>
        <v>1446986.04</v>
      </c>
      <c r="T478" s="136">
        <f t="shared" si="51"/>
        <v>1725560.1100000003</v>
      </c>
      <c r="U478" s="1"/>
      <c r="V478" s="14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</row>
    <row r="479" spans="1:68" s="142" customFormat="1" hidden="1">
      <c r="A479" s="104">
        <v>460</v>
      </c>
      <c r="B479" s="101">
        <f>+B477+1</f>
        <v>1</v>
      </c>
      <c r="C479" s="101" t="s">
        <v>171</v>
      </c>
      <c r="D479" s="101" t="s">
        <v>172</v>
      </c>
      <c r="E479" s="28">
        <f>SUM(F479:T479)</f>
        <v>9000055.3300000001</v>
      </c>
      <c r="F479" s="62">
        <v>0</v>
      </c>
      <c r="G479" s="62">
        <v>0</v>
      </c>
      <c r="H479" s="62">
        <v>0</v>
      </c>
      <c r="I479" s="62">
        <v>0</v>
      </c>
      <c r="J479" s="62"/>
      <c r="K479" s="62">
        <v>0</v>
      </c>
      <c r="L479" s="62"/>
      <c r="M479" s="62">
        <v>8487529.3300000001</v>
      </c>
      <c r="N479" s="62">
        <v>0</v>
      </c>
      <c r="O479" s="62">
        <v>0</v>
      </c>
      <c r="P479" s="62">
        <v>0</v>
      </c>
      <c r="Q479" s="62">
        <v>0</v>
      </c>
      <c r="R479" s="62">
        <v>384394.5</v>
      </c>
      <c r="S479" s="62">
        <v>128131.5</v>
      </c>
      <c r="T479" s="151"/>
      <c r="V479" s="237">
        <f t="shared" ref="V479:V542" si="52">COUNTIF(F479:Q479, "&gt;0")</f>
        <v>1</v>
      </c>
    </row>
    <row r="480" spans="1:68" hidden="1">
      <c r="A480" s="104">
        <f t="shared" ref="A480:A511" si="53">A479+1</f>
        <v>461</v>
      </c>
      <c r="B480" s="101">
        <f t="shared" ref="B480:B511" si="54">B479+1</f>
        <v>2</v>
      </c>
      <c r="C480" s="101" t="s">
        <v>171</v>
      </c>
      <c r="D480" s="101" t="s">
        <v>177</v>
      </c>
      <c r="E480" s="28">
        <f t="shared" ref="E480:E543" si="55">SUBTOTAL(9, F480:T480)</f>
        <v>0</v>
      </c>
      <c r="F480" s="62">
        <v>0</v>
      </c>
      <c r="G480" s="62">
        <v>0</v>
      </c>
      <c r="H480" s="62"/>
      <c r="I480" s="62">
        <v>0</v>
      </c>
      <c r="J480" s="62">
        <v>0</v>
      </c>
      <c r="K480" s="62"/>
      <c r="L480" s="62">
        <v>0</v>
      </c>
      <c r="M480" s="62">
        <v>0</v>
      </c>
      <c r="N480" s="62">
        <v>0</v>
      </c>
      <c r="O480" s="62">
        <v>19801216.77</v>
      </c>
      <c r="P480" s="62">
        <v>0</v>
      </c>
      <c r="Q480" s="62">
        <v>0</v>
      </c>
      <c r="R480" s="62"/>
      <c r="S480" s="62"/>
      <c r="T480" s="151"/>
      <c r="V480" s="237">
        <f t="shared" si="52"/>
        <v>1</v>
      </c>
    </row>
    <row r="481" spans="1:68" hidden="1">
      <c r="A481" s="104">
        <f t="shared" si="53"/>
        <v>462</v>
      </c>
      <c r="B481" s="101">
        <f t="shared" si="54"/>
        <v>3</v>
      </c>
      <c r="C481" s="101" t="s">
        <v>171</v>
      </c>
      <c r="D481" s="101" t="s">
        <v>179</v>
      </c>
      <c r="E481" s="28">
        <f t="shared" si="55"/>
        <v>0</v>
      </c>
      <c r="F481" s="62"/>
      <c r="H481" s="62"/>
      <c r="I481" s="62">
        <v>442006.85</v>
      </c>
      <c r="J481" s="62">
        <v>0</v>
      </c>
      <c r="K481" s="62"/>
      <c r="L481" s="62"/>
      <c r="M481" s="62">
        <v>0</v>
      </c>
      <c r="N481" s="62"/>
      <c r="O481" s="62"/>
      <c r="P481" s="62"/>
      <c r="Q481" s="62"/>
      <c r="R481" s="62"/>
      <c r="S481" s="62"/>
      <c r="T481" s="151"/>
      <c r="V481" s="237">
        <f t="shared" si="52"/>
        <v>1</v>
      </c>
    </row>
    <row r="482" spans="1:68" hidden="1">
      <c r="A482" s="104">
        <f t="shared" si="53"/>
        <v>463</v>
      </c>
      <c r="B482" s="101">
        <f t="shared" si="54"/>
        <v>4</v>
      </c>
      <c r="C482" s="101" t="s">
        <v>171</v>
      </c>
      <c r="D482" s="101" t="s">
        <v>181</v>
      </c>
      <c r="E482" s="28">
        <f t="shared" si="55"/>
        <v>0</v>
      </c>
      <c r="F482" s="62">
        <v>5117306.05</v>
      </c>
      <c r="G482" s="62">
        <v>0</v>
      </c>
      <c r="H482" s="62">
        <v>2956319.09</v>
      </c>
      <c r="I482" s="62">
        <v>656570.94999999995</v>
      </c>
      <c r="J482" s="62">
        <v>0</v>
      </c>
      <c r="K482" s="62"/>
      <c r="L482" s="62"/>
      <c r="M482" s="62">
        <v>0</v>
      </c>
      <c r="N482" s="62"/>
      <c r="O482" s="62"/>
      <c r="P482" s="62">
        <v>13270588.84</v>
      </c>
      <c r="Q482" s="62">
        <v>0</v>
      </c>
      <c r="R482" s="62"/>
      <c r="S482" s="62"/>
      <c r="T482" s="151"/>
      <c r="V482" s="237">
        <f t="shared" si="52"/>
        <v>4</v>
      </c>
    </row>
    <row r="483" spans="1:68" hidden="1">
      <c r="A483" s="104">
        <f t="shared" si="53"/>
        <v>464</v>
      </c>
      <c r="B483" s="101">
        <f t="shared" si="54"/>
        <v>5</v>
      </c>
      <c r="C483" s="101" t="s">
        <v>171</v>
      </c>
      <c r="D483" s="101" t="s">
        <v>187</v>
      </c>
      <c r="E483" s="28">
        <f t="shared" si="55"/>
        <v>0</v>
      </c>
      <c r="F483" s="62">
        <v>4516630.92</v>
      </c>
      <c r="G483" s="62">
        <v>0</v>
      </c>
      <c r="H483" s="62">
        <v>2939342.87</v>
      </c>
      <c r="I483" s="62">
        <v>583291.01</v>
      </c>
      <c r="J483" s="62">
        <v>0</v>
      </c>
      <c r="K483" s="62"/>
      <c r="L483" s="62"/>
      <c r="M483" s="62">
        <v>0</v>
      </c>
      <c r="N483" s="62"/>
      <c r="O483" s="62"/>
      <c r="P483" s="62">
        <v>13431835.67</v>
      </c>
      <c r="Q483" s="62">
        <v>0</v>
      </c>
      <c r="R483" s="62"/>
      <c r="S483" s="62"/>
      <c r="T483" s="151"/>
      <c r="V483" s="237">
        <f t="shared" si="52"/>
        <v>4</v>
      </c>
    </row>
    <row r="484" spans="1:68" hidden="1">
      <c r="A484" s="104">
        <f t="shared" si="53"/>
        <v>465</v>
      </c>
      <c r="B484" s="101">
        <f t="shared" si="54"/>
        <v>6</v>
      </c>
      <c r="C484" s="101" t="s">
        <v>171</v>
      </c>
      <c r="D484" s="101" t="s">
        <v>190</v>
      </c>
      <c r="E484" s="28">
        <f t="shared" si="55"/>
        <v>0</v>
      </c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>
        <v>12985326.369999999</v>
      </c>
      <c r="Q484" s="62">
        <v>0</v>
      </c>
      <c r="R484" s="62"/>
      <c r="S484" s="62"/>
      <c r="T484" s="151"/>
      <c r="V484" s="237">
        <f t="shared" si="52"/>
        <v>1</v>
      </c>
    </row>
    <row r="485" spans="1:68" hidden="1">
      <c r="A485" s="104">
        <f t="shared" si="53"/>
        <v>466</v>
      </c>
      <c r="B485" s="101">
        <f t="shared" si="54"/>
        <v>7</v>
      </c>
      <c r="C485" s="101" t="s">
        <v>106</v>
      </c>
      <c r="D485" s="101" t="s">
        <v>193</v>
      </c>
      <c r="E485" s="28">
        <f t="shared" si="55"/>
        <v>0</v>
      </c>
      <c r="F485" s="62">
        <v>0</v>
      </c>
      <c r="G485" s="62">
        <v>0</v>
      </c>
      <c r="H485" s="62"/>
      <c r="I485" s="62"/>
      <c r="J485" s="62">
        <v>0</v>
      </c>
      <c r="K485" s="62"/>
      <c r="L485" s="62"/>
      <c r="M485" s="62">
        <v>0</v>
      </c>
      <c r="N485" s="62">
        <v>0</v>
      </c>
      <c r="O485" s="62"/>
      <c r="P485" s="62">
        <v>10656532.26</v>
      </c>
      <c r="Q485" s="62"/>
      <c r="R485" s="62"/>
      <c r="S485" s="62"/>
      <c r="T485" s="151">
        <v>109497.32</v>
      </c>
      <c r="U485" s="305"/>
      <c r="V485" s="237">
        <f t="shared" si="52"/>
        <v>1</v>
      </c>
      <c r="W485" s="305"/>
      <c r="X485" s="305"/>
      <c r="Y485" s="305"/>
      <c r="Z485" s="305"/>
      <c r="AA485" s="305"/>
      <c r="AB485" s="305"/>
      <c r="AC485" s="305"/>
      <c r="AD485" s="305"/>
      <c r="AE485" s="305"/>
      <c r="AF485" s="305"/>
      <c r="AG485" s="305"/>
      <c r="AH485" s="305"/>
      <c r="AI485" s="305"/>
      <c r="AJ485" s="305"/>
      <c r="AK485" s="305"/>
      <c r="AL485" s="305"/>
      <c r="AM485" s="305"/>
      <c r="AN485" s="305"/>
      <c r="AO485" s="305"/>
      <c r="AP485" s="305"/>
      <c r="AQ485" s="305"/>
      <c r="AR485" s="305"/>
      <c r="AS485" s="305"/>
      <c r="AT485" s="305"/>
      <c r="AU485" s="305"/>
      <c r="AV485" s="305"/>
      <c r="AW485" s="305"/>
      <c r="AX485" s="305"/>
      <c r="AY485" s="305"/>
      <c r="AZ485" s="305"/>
      <c r="BA485" s="305"/>
      <c r="BB485" s="305"/>
      <c r="BC485" s="305"/>
      <c r="BD485" s="305"/>
      <c r="BE485" s="305"/>
      <c r="BF485" s="305"/>
      <c r="BG485" s="305"/>
      <c r="BH485" s="305"/>
      <c r="BI485" s="305"/>
      <c r="BJ485" s="305"/>
      <c r="BK485" s="305"/>
      <c r="BL485" s="305"/>
      <c r="BM485" s="305"/>
      <c r="BN485" s="305"/>
      <c r="BO485" s="305"/>
      <c r="BP485" s="305"/>
    </row>
    <row r="486" spans="1:68" hidden="1">
      <c r="A486" s="104">
        <f t="shared" si="53"/>
        <v>467</v>
      </c>
      <c r="B486" s="101">
        <f t="shared" si="54"/>
        <v>8</v>
      </c>
      <c r="C486" s="101" t="s">
        <v>90</v>
      </c>
      <c r="D486" s="101" t="s">
        <v>195</v>
      </c>
      <c r="E486" s="28">
        <f t="shared" si="55"/>
        <v>0</v>
      </c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>
        <v>17226746.399999999</v>
      </c>
      <c r="Q486" s="62"/>
      <c r="R486" s="62"/>
      <c r="S486" s="62"/>
      <c r="T486" s="151"/>
      <c r="V486" s="237">
        <f t="shared" si="52"/>
        <v>1</v>
      </c>
    </row>
    <row r="487" spans="1:68" hidden="1">
      <c r="A487" s="104">
        <f t="shared" si="53"/>
        <v>468</v>
      </c>
      <c r="B487" s="101">
        <f t="shared" si="54"/>
        <v>9</v>
      </c>
      <c r="C487" s="101" t="s">
        <v>106</v>
      </c>
      <c r="D487" s="101" t="s">
        <v>198</v>
      </c>
      <c r="E487" s="28">
        <f t="shared" si="55"/>
        <v>0</v>
      </c>
      <c r="F487" s="62">
        <v>5393202.3799999999</v>
      </c>
      <c r="G487" s="62">
        <v>3557169.42</v>
      </c>
      <c r="H487" s="62"/>
      <c r="I487" s="62">
        <v>2958773.23</v>
      </c>
      <c r="J487" s="62">
        <v>0</v>
      </c>
      <c r="K487" s="62"/>
      <c r="L487" s="62"/>
      <c r="M487" s="62">
        <v>0</v>
      </c>
      <c r="N487" s="62">
        <v>0</v>
      </c>
      <c r="O487" s="62">
        <v>0</v>
      </c>
      <c r="P487" s="62">
        <v>0</v>
      </c>
      <c r="Q487" s="62">
        <v>0</v>
      </c>
      <c r="R487" s="62"/>
      <c r="S487" s="62"/>
      <c r="T487" s="151">
        <v>96524.56</v>
      </c>
      <c r="U487" s="305"/>
      <c r="V487" s="237">
        <f t="shared" si="52"/>
        <v>3</v>
      </c>
      <c r="W487" s="305"/>
      <c r="X487" s="305"/>
      <c r="Y487" s="305"/>
      <c r="Z487" s="305"/>
      <c r="AA487" s="305"/>
      <c r="AB487" s="305"/>
      <c r="AC487" s="305"/>
      <c r="AD487" s="305"/>
      <c r="AE487" s="305"/>
      <c r="AF487" s="305"/>
      <c r="AG487" s="305"/>
      <c r="AH487" s="305"/>
      <c r="AI487" s="305"/>
      <c r="AJ487" s="305"/>
      <c r="AK487" s="305"/>
      <c r="AL487" s="305"/>
      <c r="AM487" s="305"/>
      <c r="AN487" s="305"/>
      <c r="AO487" s="305"/>
      <c r="AP487" s="305"/>
      <c r="AQ487" s="305"/>
      <c r="AR487" s="305"/>
      <c r="AS487" s="305"/>
      <c r="AT487" s="305"/>
      <c r="AU487" s="305"/>
      <c r="AV487" s="305"/>
      <c r="AW487" s="305"/>
      <c r="AX487" s="305"/>
      <c r="AY487" s="305"/>
      <c r="AZ487" s="305"/>
      <c r="BA487" s="305"/>
      <c r="BB487" s="305"/>
      <c r="BC487" s="305"/>
      <c r="BD487" s="305"/>
      <c r="BE487" s="305"/>
      <c r="BF487" s="305"/>
      <c r="BG487" s="305"/>
      <c r="BH487" s="305"/>
      <c r="BI487" s="305"/>
      <c r="BJ487" s="305"/>
      <c r="BK487" s="305"/>
      <c r="BL487" s="305"/>
      <c r="BM487" s="305"/>
      <c r="BN487" s="305"/>
      <c r="BO487" s="305"/>
      <c r="BP487" s="305"/>
    </row>
    <row r="488" spans="1:68" hidden="1">
      <c r="A488" s="104">
        <f t="shared" si="53"/>
        <v>469</v>
      </c>
      <c r="B488" s="101">
        <f t="shared" si="54"/>
        <v>10</v>
      </c>
      <c r="C488" s="101" t="s">
        <v>106</v>
      </c>
      <c r="D488" s="101" t="s">
        <v>200</v>
      </c>
      <c r="E488" s="28">
        <f t="shared" si="55"/>
        <v>0</v>
      </c>
      <c r="F488" s="62">
        <v>4737532.46</v>
      </c>
      <c r="G488" s="62"/>
      <c r="H488" s="62"/>
      <c r="I488" s="62"/>
      <c r="J488" s="62">
        <v>0</v>
      </c>
      <c r="K488" s="62"/>
      <c r="L488" s="62"/>
      <c r="M488" s="62">
        <v>0</v>
      </c>
      <c r="N488" s="62">
        <v>0</v>
      </c>
      <c r="O488" s="62">
        <v>0</v>
      </c>
      <c r="P488" s="62">
        <v>0</v>
      </c>
      <c r="Q488" s="62">
        <v>0</v>
      </c>
      <c r="R488" s="62"/>
      <c r="S488" s="62"/>
      <c r="T488" s="151">
        <v>47902.57</v>
      </c>
      <c r="V488" s="237">
        <f t="shared" si="52"/>
        <v>1</v>
      </c>
    </row>
    <row r="489" spans="1:68" hidden="1">
      <c r="A489" s="104">
        <f t="shared" si="53"/>
        <v>470</v>
      </c>
      <c r="B489" s="101">
        <f t="shared" si="54"/>
        <v>11</v>
      </c>
      <c r="C489" s="101" t="s">
        <v>752</v>
      </c>
      <c r="D489" s="101" t="s">
        <v>203</v>
      </c>
      <c r="E489" s="28">
        <f t="shared" si="55"/>
        <v>0</v>
      </c>
      <c r="F489" s="62"/>
      <c r="G489" s="62"/>
      <c r="H489" s="62"/>
      <c r="I489" s="62"/>
      <c r="J489" s="62"/>
      <c r="K489" s="62"/>
      <c r="L489" s="62"/>
      <c r="M489" s="62"/>
      <c r="N489" s="62">
        <v>12147477.6</v>
      </c>
      <c r="O489" s="62"/>
      <c r="P489" s="62">
        <v>19963421.940000001</v>
      </c>
      <c r="Q489" s="62"/>
      <c r="R489" s="62"/>
      <c r="S489" s="62"/>
      <c r="T489" s="151"/>
      <c r="V489" s="237">
        <f t="shared" si="52"/>
        <v>2</v>
      </c>
    </row>
    <row r="490" spans="1:68" hidden="1">
      <c r="A490" s="104">
        <f t="shared" si="53"/>
        <v>471</v>
      </c>
      <c r="B490" s="101">
        <f t="shared" si="54"/>
        <v>12</v>
      </c>
      <c r="C490" s="101" t="s">
        <v>752</v>
      </c>
      <c r="D490" s="101" t="s">
        <v>206</v>
      </c>
      <c r="E490" s="28">
        <f t="shared" si="55"/>
        <v>0</v>
      </c>
      <c r="F490" s="62"/>
      <c r="G490" s="62"/>
      <c r="H490" s="62"/>
      <c r="I490" s="62"/>
      <c r="J490" s="62"/>
      <c r="K490" s="62"/>
      <c r="L490" s="62"/>
      <c r="M490" s="62"/>
      <c r="N490" s="62">
        <v>14729101.199999999</v>
      </c>
      <c r="O490" s="62"/>
      <c r="P490" s="62">
        <v>23451822.359999999</v>
      </c>
      <c r="Q490" s="62">
        <v>0</v>
      </c>
      <c r="R490" s="62"/>
      <c r="S490" s="62"/>
      <c r="T490" s="151"/>
      <c r="V490" s="237">
        <f t="shared" si="52"/>
        <v>2</v>
      </c>
    </row>
    <row r="491" spans="1:68" hidden="1">
      <c r="A491" s="104">
        <f t="shared" si="53"/>
        <v>472</v>
      </c>
      <c r="B491" s="101">
        <f t="shared" si="54"/>
        <v>13</v>
      </c>
      <c r="C491" s="101" t="s">
        <v>752</v>
      </c>
      <c r="D491" s="101" t="s">
        <v>209</v>
      </c>
      <c r="E491" s="28">
        <f t="shared" si="55"/>
        <v>0</v>
      </c>
      <c r="F491" s="62"/>
      <c r="G491" s="62"/>
      <c r="H491" s="62"/>
      <c r="I491" s="62"/>
      <c r="J491" s="62"/>
      <c r="K491" s="62"/>
      <c r="L491" s="62"/>
      <c r="M491" s="62"/>
      <c r="N491" s="62">
        <v>11006754</v>
      </c>
      <c r="O491" s="62"/>
      <c r="P491" s="62">
        <v>20081758.760000002</v>
      </c>
      <c r="Q491" s="62">
        <v>0</v>
      </c>
      <c r="R491" s="62"/>
      <c r="S491" s="62"/>
      <c r="T491" s="151"/>
      <c r="V491" s="237">
        <f t="shared" si="52"/>
        <v>2</v>
      </c>
    </row>
    <row r="492" spans="1:68" hidden="1">
      <c r="A492" s="104">
        <f t="shared" si="53"/>
        <v>473</v>
      </c>
      <c r="B492" s="101">
        <f t="shared" si="54"/>
        <v>14</v>
      </c>
      <c r="C492" s="101" t="s">
        <v>752</v>
      </c>
      <c r="D492" s="101" t="s">
        <v>213</v>
      </c>
      <c r="E492" s="28">
        <f t="shared" si="55"/>
        <v>0</v>
      </c>
      <c r="F492" s="62"/>
      <c r="G492" s="62"/>
      <c r="H492" s="62"/>
      <c r="I492" s="62"/>
      <c r="J492" s="62"/>
      <c r="K492" s="62"/>
      <c r="L492" s="62"/>
      <c r="M492" s="62"/>
      <c r="N492" s="62">
        <v>11152173.6</v>
      </c>
      <c r="O492" s="62"/>
      <c r="P492" s="62">
        <v>20478135.719999999</v>
      </c>
      <c r="Q492" s="62">
        <v>0</v>
      </c>
      <c r="R492" s="62"/>
      <c r="S492" s="62"/>
      <c r="T492" s="151"/>
      <c r="V492" s="237">
        <f t="shared" si="52"/>
        <v>2</v>
      </c>
    </row>
    <row r="493" spans="1:68" hidden="1">
      <c r="A493" s="104">
        <f t="shared" si="53"/>
        <v>474</v>
      </c>
      <c r="B493" s="101">
        <f t="shared" si="54"/>
        <v>15</v>
      </c>
      <c r="C493" s="101" t="s">
        <v>752</v>
      </c>
      <c r="D493" s="101" t="s">
        <v>217</v>
      </c>
      <c r="E493" s="28">
        <f t="shared" si="55"/>
        <v>0</v>
      </c>
      <c r="F493" s="62"/>
      <c r="G493" s="62"/>
      <c r="H493" s="62"/>
      <c r="I493" s="62"/>
      <c r="J493" s="62"/>
      <c r="K493" s="62"/>
      <c r="L493" s="62"/>
      <c r="M493" s="62"/>
      <c r="N493" s="62">
        <v>13233639.84</v>
      </c>
      <c r="O493" s="62"/>
      <c r="P493" s="62">
        <v>20080779.620000001</v>
      </c>
      <c r="Q493" s="62">
        <v>0</v>
      </c>
      <c r="R493" s="62"/>
      <c r="S493" s="62"/>
      <c r="T493" s="151"/>
      <c r="V493" s="237">
        <f t="shared" si="52"/>
        <v>2</v>
      </c>
    </row>
    <row r="494" spans="1:68" hidden="1">
      <c r="A494" s="104">
        <f t="shared" si="53"/>
        <v>475</v>
      </c>
      <c r="B494" s="101">
        <f t="shared" si="54"/>
        <v>16</v>
      </c>
      <c r="C494" s="101" t="s">
        <v>752</v>
      </c>
      <c r="D494" s="101" t="s">
        <v>221</v>
      </c>
      <c r="E494" s="28">
        <f t="shared" si="55"/>
        <v>0</v>
      </c>
      <c r="F494" s="62"/>
      <c r="G494" s="62"/>
      <c r="H494" s="62"/>
      <c r="I494" s="62"/>
      <c r="J494" s="62"/>
      <c r="K494" s="62"/>
      <c r="L494" s="62"/>
      <c r="M494" s="62"/>
      <c r="N494" s="62">
        <v>8537578.6600000001</v>
      </c>
      <c r="O494" s="62"/>
      <c r="P494" s="62">
        <v>12948483.43</v>
      </c>
      <c r="Q494" s="62">
        <v>0</v>
      </c>
      <c r="R494" s="62"/>
      <c r="S494" s="62"/>
      <c r="T494" s="151"/>
      <c r="V494" s="237">
        <f t="shared" si="52"/>
        <v>2</v>
      </c>
    </row>
    <row r="495" spans="1:68" hidden="1">
      <c r="A495" s="104">
        <f t="shared" si="53"/>
        <v>476</v>
      </c>
      <c r="B495" s="101">
        <f t="shared" si="54"/>
        <v>17</v>
      </c>
      <c r="C495" s="101" t="s">
        <v>114</v>
      </c>
      <c r="D495" s="101" t="s">
        <v>118</v>
      </c>
      <c r="E495" s="28">
        <f t="shared" si="55"/>
        <v>0</v>
      </c>
      <c r="F495" s="62"/>
      <c r="G495" s="62"/>
      <c r="H495" s="62">
        <v>3003296.09</v>
      </c>
      <c r="I495" s="62"/>
      <c r="J495" s="62">
        <v>0</v>
      </c>
      <c r="K495" s="62"/>
      <c r="L495" s="62"/>
      <c r="M495" s="62">
        <v>2829176.44</v>
      </c>
      <c r="N495" s="62"/>
      <c r="O495" s="62">
        <v>0</v>
      </c>
      <c r="P495" s="62">
        <v>0</v>
      </c>
      <c r="Q495" s="62">
        <v>0</v>
      </c>
      <c r="R495" s="62">
        <v>256263</v>
      </c>
      <c r="S495" s="62">
        <v>85421</v>
      </c>
      <c r="T495" s="62">
        <v>40671.42</v>
      </c>
      <c r="V495" s="237">
        <f t="shared" si="52"/>
        <v>2</v>
      </c>
    </row>
    <row r="496" spans="1:68" hidden="1">
      <c r="A496" s="104">
        <f t="shared" si="53"/>
        <v>477</v>
      </c>
      <c r="B496" s="101">
        <f t="shared" si="54"/>
        <v>18</v>
      </c>
      <c r="C496" s="101" t="s">
        <v>114</v>
      </c>
      <c r="D496" s="101" t="s">
        <v>225</v>
      </c>
      <c r="E496" s="28">
        <f t="shared" si="55"/>
        <v>0</v>
      </c>
      <c r="F496" s="62">
        <v>0</v>
      </c>
      <c r="G496" s="62">
        <v>0</v>
      </c>
      <c r="H496" s="62">
        <v>3135939.44</v>
      </c>
      <c r="I496" s="62">
        <v>0</v>
      </c>
      <c r="J496" s="62">
        <v>0</v>
      </c>
      <c r="K496" s="62"/>
      <c r="L496" s="62"/>
      <c r="M496" s="62">
        <v>0</v>
      </c>
      <c r="N496" s="62">
        <v>0</v>
      </c>
      <c r="O496" s="62">
        <v>0</v>
      </c>
      <c r="P496" s="62">
        <v>0</v>
      </c>
      <c r="Q496" s="62">
        <v>0</v>
      </c>
      <c r="R496" s="62"/>
      <c r="S496" s="62"/>
      <c r="T496" s="151">
        <v>32651.54</v>
      </c>
      <c r="V496" s="237">
        <f t="shared" si="52"/>
        <v>1</v>
      </c>
    </row>
    <row r="497" spans="1:22" hidden="1">
      <c r="A497" s="104">
        <f t="shared" si="53"/>
        <v>478</v>
      </c>
      <c r="B497" s="101">
        <f t="shared" si="54"/>
        <v>19</v>
      </c>
      <c r="C497" s="101" t="s">
        <v>114</v>
      </c>
      <c r="D497" s="101" t="s">
        <v>228</v>
      </c>
      <c r="E497" s="28">
        <f t="shared" si="55"/>
        <v>0</v>
      </c>
      <c r="F497" s="62">
        <v>2266868.58</v>
      </c>
      <c r="G497" s="62">
        <v>0</v>
      </c>
      <c r="H497" s="62">
        <v>2148211.06</v>
      </c>
      <c r="I497" s="62">
        <v>0</v>
      </c>
      <c r="J497" s="62">
        <v>0</v>
      </c>
      <c r="K497" s="62"/>
      <c r="L497" s="62"/>
      <c r="M497" s="62">
        <v>0</v>
      </c>
      <c r="N497" s="62"/>
      <c r="O497" s="62">
        <v>0</v>
      </c>
      <c r="P497" s="62"/>
      <c r="Q497" s="62">
        <v>0</v>
      </c>
      <c r="R497" s="62"/>
      <c r="S497" s="62"/>
      <c r="T497" s="151">
        <v>13731.47</v>
      </c>
      <c r="V497" s="237">
        <f t="shared" si="52"/>
        <v>2</v>
      </c>
    </row>
    <row r="498" spans="1:22" hidden="1">
      <c r="A498" s="104">
        <f t="shared" si="53"/>
        <v>479</v>
      </c>
      <c r="B498" s="101">
        <f t="shared" si="54"/>
        <v>20</v>
      </c>
      <c r="C498" s="101" t="s">
        <v>114</v>
      </c>
      <c r="D498" s="101" t="s">
        <v>230</v>
      </c>
      <c r="E498" s="28">
        <f t="shared" si="55"/>
        <v>0</v>
      </c>
      <c r="F498" s="62">
        <v>0</v>
      </c>
      <c r="G498" s="62">
        <v>0</v>
      </c>
      <c r="H498" s="62">
        <v>3038097.25</v>
      </c>
      <c r="I498" s="62">
        <v>0</v>
      </c>
      <c r="J498" s="62">
        <v>0</v>
      </c>
      <c r="K498" s="62"/>
      <c r="L498" s="62"/>
      <c r="M498" s="62">
        <v>0</v>
      </c>
      <c r="N498" s="62">
        <v>0</v>
      </c>
      <c r="O498" s="62">
        <v>0</v>
      </c>
      <c r="P498" s="62">
        <v>0</v>
      </c>
      <c r="Q498" s="62">
        <v>0</v>
      </c>
      <c r="R498" s="62"/>
      <c r="S498" s="62"/>
      <c r="T498" s="151">
        <v>33737.01</v>
      </c>
      <c r="V498" s="237">
        <f t="shared" si="52"/>
        <v>1</v>
      </c>
    </row>
    <row r="499" spans="1:22" hidden="1">
      <c r="A499" s="104">
        <f t="shared" si="53"/>
        <v>480</v>
      </c>
      <c r="B499" s="101">
        <f t="shared" si="54"/>
        <v>21</v>
      </c>
      <c r="C499" s="101" t="s">
        <v>114</v>
      </c>
      <c r="D499" s="101" t="s">
        <v>232</v>
      </c>
      <c r="E499" s="28">
        <f t="shared" si="55"/>
        <v>0</v>
      </c>
      <c r="F499" s="62">
        <v>0</v>
      </c>
      <c r="G499" s="62">
        <v>0</v>
      </c>
      <c r="H499" s="62">
        <v>0</v>
      </c>
      <c r="I499" s="62">
        <v>0</v>
      </c>
      <c r="J499" s="62">
        <v>0</v>
      </c>
      <c r="K499" s="62"/>
      <c r="L499" s="62"/>
      <c r="M499" s="62">
        <v>0</v>
      </c>
      <c r="N499" s="62">
        <v>9020661.2400000002</v>
      </c>
      <c r="O499" s="62">
        <v>0</v>
      </c>
      <c r="P499" s="62"/>
      <c r="Q499" s="62">
        <v>0</v>
      </c>
      <c r="R499" s="62"/>
      <c r="S499" s="62"/>
      <c r="T499" s="151"/>
      <c r="V499" s="237">
        <f t="shared" si="52"/>
        <v>1</v>
      </c>
    </row>
    <row r="500" spans="1:22" hidden="1">
      <c r="A500" s="104">
        <f t="shared" si="53"/>
        <v>481</v>
      </c>
      <c r="B500" s="101">
        <f t="shared" si="54"/>
        <v>22</v>
      </c>
      <c r="C500" s="101" t="s">
        <v>114</v>
      </c>
      <c r="D500" s="101" t="s">
        <v>234</v>
      </c>
      <c r="E500" s="28">
        <f t="shared" si="55"/>
        <v>0</v>
      </c>
      <c r="F500" s="62"/>
      <c r="G500" s="62"/>
      <c r="H500" s="62">
        <v>3828532.94</v>
      </c>
      <c r="I500" s="62"/>
      <c r="J500" s="62">
        <v>0</v>
      </c>
      <c r="K500" s="62"/>
      <c r="L500" s="62"/>
      <c r="M500" s="62">
        <v>0</v>
      </c>
      <c r="N500" s="62">
        <v>0</v>
      </c>
      <c r="O500" s="62">
        <v>0</v>
      </c>
      <c r="P500" s="62">
        <v>0</v>
      </c>
      <c r="Q500" s="62">
        <v>0</v>
      </c>
      <c r="R500" s="62"/>
      <c r="S500" s="62"/>
      <c r="T500" s="151">
        <v>39601.14</v>
      </c>
      <c r="V500" s="237">
        <f t="shared" si="52"/>
        <v>1</v>
      </c>
    </row>
    <row r="501" spans="1:22" hidden="1">
      <c r="A501" s="104">
        <f t="shared" si="53"/>
        <v>482</v>
      </c>
      <c r="B501" s="101">
        <f t="shared" si="54"/>
        <v>23</v>
      </c>
      <c r="C501" s="101" t="s">
        <v>114</v>
      </c>
      <c r="D501" s="101" t="s">
        <v>237</v>
      </c>
      <c r="E501" s="28">
        <f t="shared" si="55"/>
        <v>0</v>
      </c>
      <c r="F501" s="62"/>
      <c r="G501" s="62">
        <v>0</v>
      </c>
      <c r="H501" s="62">
        <v>6052553.7199999997</v>
      </c>
      <c r="I501" s="62">
        <v>0</v>
      </c>
      <c r="J501" s="62">
        <v>0</v>
      </c>
      <c r="K501" s="62"/>
      <c r="L501" s="62"/>
      <c r="M501" s="62">
        <v>0</v>
      </c>
      <c r="N501" s="62">
        <v>0</v>
      </c>
      <c r="O501" s="62">
        <v>0</v>
      </c>
      <c r="P501" s="62">
        <v>0</v>
      </c>
      <c r="Q501" s="62">
        <v>0</v>
      </c>
      <c r="R501" s="62"/>
      <c r="S501" s="62"/>
      <c r="T501" s="151">
        <v>10516.15</v>
      </c>
      <c r="V501" s="237">
        <f t="shared" si="52"/>
        <v>1</v>
      </c>
    </row>
    <row r="502" spans="1:22" hidden="1">
      <c r="A502" s="104">
        <f t="shared" si="53"/>
        <v>483</v>
      </c>
      <c r="B502" s="101">
        <f t="shared" si="54"/>
        <v>24</v>
      </c>
      <c r="C502" s="101" t="s">
        <v>114</v>
      </c>
      <c r="D502" s="101" t="s">
        <v>239</v>
      </c>
      <c r="E502" s="28">
        <f t="shared" si="55"/>
        <v>0</v>
      </c>
      <c r="F502" s="62">
        <v>0</v>
      </c>
      <c r="G502" s="62">
        <v>0</v>
      </c>
      <c r="H502" s="62">
        <v>0</v>
      </c>
      <c r="I502" s="62">
        <v>0</v>
      </c>
      <c r="J502" s="62">
        <v>0</v>
      </c>
      <c r="K502" s="62"/>
      <c r="L502" s="62">
        <v>0</v>
      </c>
      <c r="M502" s="62">
        <v>2829176.45</v>
      </c>
      <c r="N502" s="62"/>
      <c r="O502" s="62">
        <v>0</v>
      </c>
      <c r="P502" s="62">
        <v>0</v>
      </c>
      <c r="Q502" s="62">
        <v>0</v>
      </c>
      <c r="R502" s="62">
        <v>128131.5</v>
      </c>
      <c r="S502" s="62">
        <v>42710.5</v>
      </c>
      <c r="T502" s="151"/>
      <c r="V502" s="237">
        <f t="shared" si="52"/>
        <v>1</v>
      </c>
    </row>
    <row r="503" spans="1:22" hidden="1">
      <c r="A503" s="104">
        <f t="shared" si="53"/>
        <v>484</v>
      </c>
      <c r="B503" s="101">
        <f t="shared" si="54"/>
        <v>25</v>
      </c>
      <c r="C503" s="101" t="s">
        <v>114</v>
      </c>
      <c r="D503" s="101" t="s">
        <v>241</v>
      </c>
      <c r="E503" s="28">
        <f t="shared" si="55"/>
        <v>0</v>
      </c>
      <c r="F503" s="62"/>
      <c r="G503" s="62"/>
      <c r="H503" s="62"/>
      <c r="I503" s="62"/>
      <c r="J503" s="62"/>
      <c r="K503" s="62"/>
      <c r="L503" s="62"/>
      <c r="M503" s="62">
        <v>8487529.3100000005</v>
      </c>
      <c r="N503" s="62"/>
      <c r="O503" s="62"/>
      <c r="P503" s="62"/>
      <c r="Q503" s="62"/>
      <c r="R503" s="62">
        <v>384394.5</v>
      </c>
      <c r="S503" s="62">
        <v>128131.5</v>
      </c>
      <c r="T503" s="151"/>
      <c r="V503" s="237">
        <f t="shared" si="52"/>
        <v>1</v>
      </c>
    </row>
    <row r="504" spans="1:22" hidden="1">
      <c r="A504" s="104">
        <f t="shared" si="53"/>
        <v>485</v>
      </c>
      <c r="B504" s="101">
        <f t="shared" si="54"/>
        <v>26</v>
      </c>
      <c r="C504" s="101" t="s">
        <v>114</v>
      </c>
      <c r="D504" s="101" t="s">
        <v>243</v>
      </c>
      <c r="E504" s="28">
        <f t="shared" si="55"/>
        <v>0</v>
      </c>
      <c r="F504" s="62"/>
      <c r="G504" s="62"/>
      <c r="H504" s="62"/>
      <c r="I504" s="62"/>
      <c r="J504" s="62"/>
      <c r="K504" s="62"/>
      <c r="L504" s="62"/>
      <c r="M504" s="62">
        <v>2829176.45</v>
      </c>
      <c r="N504" s="62"/>
      <c r="O504" s="62"/>
      <c r="P504" s="62"/>
      <c r="Q504" s="62"/>
      <c r="R504" s="62">
        <v>128131.5</v>
      </c>
      <c r="S504" s="62">
        <v>42710.5</v>
      </c>
      <c r="T504" s="151"/>
      <c r="V504" s="237">
        <f t="shared" si="52"/>
        <v>1</v>
      </c>
    </row>
    <row r="505" spans="1:22" hidden="1">
      <c r="A505" s="104">
        <f t="shared" si="53"/>
        <v>486</v>
      </c>
      <c r="B505" s="101">
        <f t="shared" si="54"/>
        <v>27</v>
      </c>
      <c r="C505" s="101" t="s">
        <v>114</v>
      </c>
      <c r="D505" s="101" t="s">
        <v>246</v>
      </c>
      <c r="E505" s="28">
        <f t="shared" si="55"/>
        <v>0</v>
      </c>
      <c r="F505" s="62"/>
      <c r="G505" s="62"/>
      <c r="H505" s="62"/>
      <c r="I505" s="62"/>
      <c r="J505" s="62"/>
      <c r="K505" s="62"/>
      <c r="L505" s="62"/>
      <c r="M505" s="62">
        <v>5658352.8799999999</v>
      </c>
      <c r="N505" s="62"/>
      <c r="O505" s="62"/>
      <c r="P505" s="62"/>
      <c r="Q505" s="62"/>
      <c r="R505" s="62">
        <v>256263</v>
      </c>
      <c r="S505" s="62">
        <v>85421</v>
      </c>
      <c r="T505" s="151"/>
      <c r="V505" s="237">
        <f t="shared" si="52"/>
        <v>1</v>
      </c>
    </row>
    <row r="506" spans="1:22" hidden="1">
      <c r="A506" s="104">
        <f t="shared" si="53"/>
        <v>487</v>
      </c>
      <c r="B506" s="101">
        <f t="shared" si="54"/>
        <v>28</v>
      </c>
      <c r="C506" s="101" t="s">
        <v>114</v>
      </c>
      <c r="D506" s="101" t="s">
        <v>248</v>
      </c>
      <c r="E506" s="28">
        <f t="shared" si="55"/>
        <v>0</v>
      </c>
      <c r="F506" s="62"/>
      <c r="G506" s="62"/>
      <c r="H506" s="62"/>
      <c r="I506" s="62"/>
      <c r="J506" s="62"/>
      <c r="K506" s="62"/>
      <c r="L506" s="62"/>
      <c r="M506" s="62">
        <v>2829176.43</v>
      </c>
      <c r="N506" s="62"/>
      <c r="O506" s="62"/>
      <c r="P506" s="62"/>
      <c r="Q506" s="62"/>
      <c r="R506" s="62">
        <v>128131.5</v>
      </c>
      <c r="S506" s="62">
        <v>42710.5</v>
      </c>
      <c r="T506" s="151"/>
      <c r="U506" s="18"/>
      <c r="V506" s="237">
        <f t="shared" si="52"/>
        <v>1</v>
      </c>
    </row>
    <row r="507" spans="1:22" hidden="1">
      <c r="A507" s="104">
        <f t="shared" si="53"/>
        <v>488</v>
      </c>
      <c r="B507" s="101">
        <f t="shared" si="54"/>
        <v>29</v>
      </c>
      <c r="C507" s="101" t="s">
        <v>114</v>
      </c>
      <c r="D507" s="101" t="s">
        <v>250</v>
      </c>
      <c r="E507" s="28">
        <f t="shared" si="55"/>
        <v>0</v>
      </c>
      <c r="F507" s="62"/>
      <c r="G507" s="62"/>
      <c r="H507" s="62"/>
      <c r="I507" s="62"/>
      <c r="J507" s="62"/>
      <c r="K507" s="62"/>
      <c r="L507" s="62"/>
      <c r="M507" s="62">
        <v>8487529.3300000001</v>
      </c>
      <c r="N507" s="62"/>
      <c r="O507" s="62"/>
      <c r="P507" s="62"/>
      <c r="Q507" s="62"/>
      <c r="R507" s="62">
        <v>384394.5</v>
      </c>
      <c r="S507" s="62">
        <v>128131.5</v>
      </c>
      <c r="T507" s="151"/>
      <c r="V507" s="237">
        <f t="shared" si="52"/>
        <v>1</v>
      </c>
    </row>
    <row r="508" spans="1:22" hidden="1">
      <c r="A508" s="104">
        <f t="shared" si="53"/>
        <v>489</v>
      </c>
      <c r="B508" s="101">
        <f t="shared" si="54"/>
        <v>30</v>
      </c>
      <c r="C508" s="101" t="s">
        <v>114</v>
      </c>
      <c r="D508" s="101" t="s">
        <v>126</v>
      </c>
      <c r="E508" s="28">
        <f t="shared" si="55"/>
        <v>0</v>
      </c>
      <c r="F508" s="62"/>
      <c r="G508" s="62"/>
      <c r="H508" s="62">
        <v>2343081.2000000002</v>
      </c>
      <c r="I508" s="62"/>
      <c r="J508" s="62"/>
      <c r="K508" s="62"/>
      <c r="L508" s="62"/>
      <c r="M508" s="62">
        <v>0</v>
      </c>
      <c r="N508" s="62">
        <v>0</v>
      </c>
      <c r="O508" s="62"/>
      <c r="P508" s="62">
        <v>0</v>
      </c>
      <c r="Q508" s="62">
        <v>0</v>
      </c>
      <c r="R508" s="62"/>
      <c r="S508" s="62"/>
      <c r="T508" s="151"/>
      <c r="V508" s="237">
        <f t="shared" si="52"/>
        <v>1</v>
      </c>
    </row>
    <row r="509" spans="1:22" hidden="1">
      <c r="A509" s="104">
        <f t="shared" si="53"/>
        <v>490</v>
      </c>
      <c r="B509" s="101">
        <f t="shared" si="54"/>
        <v>31</v>
      </c>
      <c r="C509" s="101" t="s">
        <v>114</v>
      </c>
      <c r="D509" s="101" t="s">
        <v>254</v>
      </c>
      <c r="E509" s="28">
        <f t="shared" si="55"/>
        <v>0</v>
      </c>
      <c r="F509" s="62"/>
      <c r="G509" s="62"/>
      <c r="H509" s="62"/>
      <c r="I509" s="62"/>
      <c r="J509" s="62"/>
      <c r="K509" s="62"/>
      <c r="L509" s="62"/>
      <c r="M509" s="62">
        <v>2829176.45</v>
      </c>
      <c r="N509" s="62"/>
      <c r="O509" s="62"/>
      <c r="P509" s="62"/>
      <c r="Q509" s="62"/>
      <c r="R509" s="62">
        <v>128131.5</v>
      </c>
      <c r="S509" s="62">
        <v>42710.5</v>
      </c>
      <c r="T509" s="151"/>
      <c r="V509" s="237">
        <f t="shared" si="52"/>
        <v>1</v>
      </c>
    </row>
    <row r="510" spans="1:22" hidden="1">
      <c r="A510" s="104">
        <f t="shared" si="53"/>
        <v>491</v>
      </c>
      <c r="B510" s="101">
        <f t="shared" si="54"/>
        <v>32</v>
      </c>
      <c r="C510" s="101" t="s">
        <v>114</v>
      </c>
      <c r="D510" s="101" t="s">
        <v>256</v>
      </c>
      <c r="E510" s="28">
        <f t="shared" si="55"/>
        <v>0</v>
      </c>
      <c r="F510" s="62">
        <v>0</v>
      </c>
      <c r="G510" s="62">
        <v>0</v>
      </c>
      <c r="H510" s="62">
        <v>0</v>
      </c>
      <c r="I510" s="62">
        <v>0</v>
      </c>
      <c r="J510" s="62">
        <v>0</v>
      </c>
      <c r="K510" s="62"/>
      <c r="L510" s="62"/>
      <c r="M510" s="62">
        <v>0</v>
      </c>
      <c r="N510" s="62">
        <v>0</v>
      </c>
      <c r="O510" s="62">
        <v>0</v>
      </c>
      <c r="P510" s="62">
        <v>5086142.95</v>
      </c>
      <c r="Q510" s="62">
        <v>0</v>
      </c>
      <c r="R510" s="62"/>
      <c r="S510" s="62"/>
      <c r="T510" s="151"/>
      <c r="V510" s="237">
        <f t="shared" si="52"/>
        <v>1</v>
      </c>
    </row>
    <row r="511" spans="1:22" hidden="1">
      <c r="A511" s="104">
        <f t="shared" si="53"/>
        <v>492</v>
      </c>
      <c r="B511" s="101">
        <f t="shared" si="54"/>
        <v>33</v>
      </c>
      <c r="C511" s="101" t="s">
        <v>114</v>
      </c>
      <c r="D511" s="101" t="s">
        <v>258</v>
      </c>
      <c r="E511" s="28">
        <f t="shared" si="55"/>
        <v>0</v>
      </c>
      <c r="F511" s="62">
        <v>6697520.7599999998</v>
      </c>
      <c r="G511" s="62">
        <v>0</v>
      </c>
      <c r="H511" s="62">
        <v>0</v>
      </c>
      <c r="I511" s="62">
        <v>4345323.95</v>
      </c>
      <c r="J511" s="62">
        <v>0</v>
      </c>
      <c r="K511" s="62"/>
      <c r="L511" s="62"/>
      <c r="M511" s="62">
        <v>0</v>
      </c>
      <c r="N511" s="62">
        <v>0</v>
      </c>
      <c r="O511" s="62">
        <v>0</v>
      </c>
      <c r="P511" s="62">
        <v>0</v>
      </c>
      <c r="Q511" s="62">
        <v>0</v>
      </c>
      <c r="R511" s="62"/>
      <c r="S511" s="62"/>
      <c r="T511" s="151"/>
      <c r="V511" s="237">
        <f t="shared" si="52"/>
        <v>2</v>
      </c>
    </row>
    <row r="512" spans="1:22" hidden="1">
      <c r="A512" s="104">
        <f t="shared" ref="A512:A543" si="56">A511+1</f>
        <v>493</v>
      </c>
      <c r="B512" s="101">
        <f t="shared" ref="B512:B543" si="57">B511+1</f>
        <v>34</v>
      </c>
      <c r="C512" s="101" t="s">
        <v>114</v>
      </c>
      <c r="D512" s="101" t="s">
        <v>261</v>
      </c>
      <c r="E512" s="28">
        <f t="shared" si="55"/>
        <v>0</v>
      </c>
      <c r="F512" s="62">
        <v>0</v>
      </c>
      <c r="G512" s="62">
        <v>0</v>
      </c>
      <c r="H512" s="62">
        <v>0</v>
      </c>
      <c r="I512" s="62">
        <v>0</v>
      </c>
      <c r="J512" s="62">
        <v>0</v>
      </c>
      <c r="K512" s="62"/>
      <c r="L512" s="62"/>
      <c r="M512" s="62">
        <v>0</v>
      </c>
      <c r="N512" s="62">
        <v>0</v>
      </c>
      <c r="O512" s="62">
        <v>0</v>
      </c>
      <c r="P512" s="62">
        <v>5165887.8</v>
      </c>
      <c r="Q512" s="62">
        <v>0</v>
      </c>
      <c r="R512" s="62"/>
      <c r="S512" s="62"/>
      <c r="T512" s="151"/>
      <c r="V512" s="237">
        <f t="shared" si="52"/>
        <v>1</v>
      </c>
    </row>
    <row r="513" spans="1:68" hidden="1">
      <c r="A513" s="104">
        <f t="shared" si="56"/>
        <v>494</v>
      </c>
      <c r="B513" s="101">
        <f t="shared" si="57"/>
        <v>35</v>
      </c>
      <c r="C513" s="101" t="s">
        <v>114</v>
      </c>
      <c r="D513" s="101" t="s">
        <v>263</v>
      </c>
      <c r="E513" s="28">
        <f t="shared" si="55"/>
        <v>0</v>
      </c>
      <c r="F513" s="62"/>
      <c r="G513" s="62">
        <v>0</v>
      </c>
      <c r="H513" s="62">
        <v>0</v>
      </c>
      <c r="I513" s="62">
        <v>0</v>
      </c>
      <c r="J513" s="62">
        <v>0</v>
      </c>
      <c r="K513" s="62"/>
      <c r="L513" s="62"/>
      <c r="M513" s="62"/>
      <c r="N513" s="62"/>
      <c r="O513" s="62"/>
      <c r="P513" s="62">
        <v>5242143.32</v>
      </c>
      <c r="Q513" s="62">
        <v>0</v>
      </c>
      <c r="R513" s="62"/>
      <c r="S513" s="62"/>
      <c r="T513" s="151">
        <v>51517.05</v>
      </c>
      <c r="U513" s="305"/>
      <c r="V513" s="237">
        <f t="shared" si="52"/>
        <v>1</v>
      </c>
      <c r="W513" s="305"/>
      <c r="X513" s="305"/>
      <c r="Y513" s="305"/>
      <c r="Z513" s="305"/>
      <c r="AA513" s="305"/>
      <c r="AB513" s="305"/>
      <c r="AC513" s="305"/>
      <c r="AD513" s="305"/>
      <c r="AE513" s="305"/>
      <c r="AF513" s="305"/>
      <c r="AG513" s="305"/>
      <c r="AH513" s="305"/>
      <c r="AI513" s="305"/>
      <c r="AJ513" s="305"/>
      <c r="AK513" s="305"/>
      <c r="AL513" s="305"/>
      <c r="AM513" s="305"/>
      <c r="AN513" s="305"/>
      <c r="AO513" s="305"/>
      <c r="AP513" s="305"/>
      <c r="AQ513" s="305"/>
      <c r="AR513" s="305"/>
      <c r="AS513" s="305"/>
      <c r="AT513" s="305"/>
      <c r="AU513" s="305"/>
      <c r="AV513" s="305"/>
      <c r="AW513" s="305"/>
      <c r="AX513" s="305"/>
      <c r="AY513" s="305"/>
      <c r="AZ513" s="305"/>
      <c r="BA513" s="305"/>
      <c r="BB513" s="305"/>
      <c r="BC513" s="305"/>
      <c r="BD513" s="305"/>
      <c r="BE513" s="305"/>
      <c r="BF513" s="305"/>
      <c r="BG513" s="305"/>
      <c r="BH513" s="305"/>
      <c r="BI513" s="305"/>
      <c r="BJ513" s="305"/>
      <c r="BK513" s="305"/>
      <c r="BL513" s="305"/>
      <c r="BM513" s="305"/>
      <c r="BN513" s="305"/>
      <c r="BO513" s="305"/>
      <c r="BP513" s="305"/>
    </row>
    <row r="514" spans="1:68" hidden="1">
      <c r="A514" s="104">
        <f t="shared" si="56"/>
        <v>495</v>
      </c>
      <c r="B514" s="101">
        <f t="shared" si="57"/>
        <v>36</v>
      </c>
      <c r="C514" s="101" t="s">
        <v>114</v>
      </c>
      <c r="D514" s="101" t="s">
        <v>265</v>
      </c>
      <c r="E514" s="28">
        <f t="shared" si="55"/>
        <v>0</v>
      </c>
      <c r="F514" s="62">
        <v>0</v>
      </c>
      <c r="G514" s="62">
        <v>0</v>
      </c>
      <c r="H514" s="62">
        <v>5185251.28</v>
      </c>
      <c r="I514" s="62">
        <v>0</v>
      </c>
      <c r="J514" s="62">
        <v>0</v>
      </c>
      <c r="K514" s="62"/>
      <c r="L514" s="62"/>
      <c r="M514" s="62">
        <v>0</v>
      </c>
      <c r="N514" s="62">
        <v>0</v>
      </c>
      <c r="O514" s="62">
        <v>0</v>
      </c>
      <c r="P514" s="62">
        <v>0</v>
      </c>
      <c r="Q514" s="62">
        <v>0</v>
      </c>
      <c r="R514" s="62"/>
      <c r="S514" s="62"/>
      <c r="T514" s="151">
        <v>56749.17</v>
      </c>
      <c r="V514" s="237">
        <f t="shared" si="52"/>
        <v>1</v>
      </c>
    </row>
    <row r="515" spans="1:68" hidden="1">
      <c r="A515" s="104">
        <f t="shared" si="56"/>
        <v>496</v>
      </c>
      <c r="B515" s="101">
        <f t="shared" si="57"/>
        <v>37</v>
      </c>
      <c r="C515" s="101" t="s">
        <v>114</v>
      </c>
      <c r="D515" s="101" t="s">
        <v>132</v>
      </c>
      <c r="E515" s="28">
        <f t="shared" si="55"/>
        <v>0</v>
      </c>
      <c r="F515" s="62"/>
      <c r="G515" s="62"/>
      <c r="H515" s="62">
        <v>2476321.54</v>
      </c>
      <c r="I515" s="62">
        <v>0</v>
      </c>
      <c r="J515" s="62"/>
      <c r="K515" s="62"/>
      <c r="L515" s="62"/>
      <c r="M515" s="62"/>
      <c r="N515" s="62"/>
      <c r="O515" s="62">
        <v>0</v>
      </c>
      <c r="P515" s="62">
        <v>0</v>
      </c>
      <c r="Q515" s="62">
        <v>0</v>
      </c>
      <c r="R515" s="62"/>
      <c r="S515" s="62"/>
      <c r="T515" s="151"/>
      <c r="V515" s="237">
        <f t="shared" si="52"/>
        <v>1</v>
      </c>
    </row>
    <row r="516" spans="1:68" hidden="1">
      <c r="A516" s="104">
        <f t="shared" si="56"/>
        <v>497</v>
      </c>
      <c r="B516" s="101">
        <f t="shared" si="57"/>
        <v>38</v>
      </c>
      <c r="C516" s="101" t="s">
        <v>114</v>
      </c>
      <c r="D516" s="101" t="s">
        <v>269</v>
      </c>
      <c r="E516" s="28">
        <f t="shared" si="55"/>
        <v>0</v>
      </c>
      <c r="F516" s="62"/>
      <c r="G516" s="62">
        <v>0</v>
      </c>
      <c r="H516" s="62">
        <v>1734135.91</v>
      </c>
      <c r="I516" s="62">
        <v>0</v>
      </c>
      <c r="J516" s="62">
        <v>0</v>
      </c>
      <c r="K516" s="62"/>
      <c r="L516" s="62"/>
      <c r="M516" s="62">
        <v>0</v>
      </c>
      <c r="N516" s="62">
        <v>0</v>
      </c>
      <c r="O516" s="62">
        <v>0</v>
      </c>
      <c r="P516" s="62">
        <v>0</v>
      </c>
      <c r="Q516" s="62">
        <v>0</v>
      </c>
      <c r="R516" s="62"/>
      <c r="S516" s="62"/>
      <c r="T516" s="146">
        <v>22498.05</v>
      </c>
      <c r="V516" s="237">
        <f t="shared" si="52"/>
        <v>1</v>
      </c>
    </row>
    <row r="517" spans="1:68" hidden="1">
      <c r="A517" s="104">
        <f t="shared" si="56"/>
        <v>498</v>
      </c>
      <c r="B517" s="101">
        <f t="shared" si="57"/>
        <v>39</v>
      </c>
      <c r="C517" s="101" t="s">
        <v>114</v>
      </c>
      <c r="D517" s="101" t="s">
        <v>271</v>
      </c>
      <c r="E517" s="28">
        <f t="shared" si="55"/>
        <v>0</v>
      </c>
      <c r="F517" s="62">
        <v>0</v>
      </c>
      <c r="G517" s="62">
        <v>0</v>
      </c>
      <c r="H517" s="62">
        <v>0</v>
      </c>
      <c r="I517" s="62">
        <v>0</v>
      </c>
      <c r="J517" s="62">
        <v>0</v>
      </c>
      <c r="K517" s="62"/>
      <c r="L517" s="62"/>
      <c r="M517" s="62">
        <v>0</v>
      </c>
      <c r="N517" s="62">
        <v>0</v>
      </c>
      <c r="O517" s="62"/>
      <c r="P517" s="62">
        <v>9960662.1199999992</v>
      </c>
      <c r="Q517" s="62">
        <v>0</v>
      </c>
      <c r="R517" s="62"/>
      <c r="S517" s="62"/>
      <c r="T517" s="151"/>
      <c r="V517" s="237">
        <f t="shared" si="52"/>
        <v>1</v>
      </c>
    </row>
    <row r="518" spans="1:68" hidden="1">
      <c r="A518" s="104">
        <f t="shared" si="56"/>
        <v>499</v>
      </c>
      <c r="B518" s="101">
        <f t="shared" si="57"/>
        <v>40</v>
      </c>
      <c r="C518" s="101" t="s">
        <v>114</v>
      </c>
      <c r="D518" s="101" t="s">
        <v>273</v>
      </c>
      <c r="E518" s="28">
        <f t="shared" si="55"/>
        <v>0</v>
      </c>
      <c r="F518" s="62"/>
      <c r="G518" s="62"/>
      <c r="H518" s="62">
        <v>0</v>
      </c>
      <c r="I518" s="62">
        <v>0</v>
      </c>
      <c r="J518" s="62">
        <v>0</v>
      </c>
      <c r="K518" s="62"/>
      <c r="L518" s="62">
        <v>0</v>
      </c>
      <c r="M518" s="62"/>
      <c r="N518" s="62"/>
      <c r="O518" s="62">
        <v>3016891.8</v>
      </c>
      <c r="P518" s="62">
        <v>0</v>
      </c>
      <c r="Q518" s="62">
        <v>0</v>
      </c>
      <c r="R518" s="62"/>
      <c r="S518" s="62"/>
      <c r="T518" s="151"/>
      <c r="V518" s="237">
        <f t="shared" si="52"/>
        <v>1</v>
      </c>
    </row>
    <row r="519" spans="1:68" hidden="1">
      <c r="A519" s="104">
        <f t="shared" si="56"/>
        <v>500</v>
      </c>
      <c r="B519" s="101">
        <f t="shared" si="57"/>
        <v>41</v>
      </c>
      <c r="C519" s="101" t="s">
        <v>114</v>
      </c>
      <c r="D519" s="101" t="s">
        <v>134</v>
      </c>
      <c r="E519" s="28">
        <f t="shared" si="55"/>
        <v>0</v>
      </c>
      <c r="F519" s="62"/>
      <c r="G519" s="62"/>
      <c r="H519" s="62">
        <v>4186981.48</v>
      </c>
      <c r="I519" s="62"/>
      <c r="J519" s="62"/>
      <c r="K519" s="62"/>
      <c r="L519" s="62"/>
      <c r="M519" s="62"/>
      <c r="N519" s="62"/>
      <c r="O519" s="62"/>
      <c r="P519" s="62">
        <v>0</v>
      </c>
      <c r="Q519" s="62">
        <v>0</v>
      </c>
      <c r="R519" s="62"/>
      <c r="S519" s="62"/>
      <c r="T519" s="151">
        <v>51493.06</v>
      </c>
      <c r="V519" s="237">
        <f t="shared" si="52"/>
        <v>1</v>
      </c>
    </row>
    <row r="520" spans="1:68" hidden="1">
      <c r="A520" s="104">
        <f t="shared" si="56"/>
        <v>501</v>
      </c>
      <c r="B520" s="101">
        <f t="shared" si="57"/>
        <v>42</v>
      </c>
      <c r="C520" s="101" t="s">
        <v>114</v>
      </c>
      <c r="D520" s="101" t="s">
        <v>145</v>
      </c>
      <c r="E520" s="28">
        <f t="shared" si="55"/>
        <v>0</v>
      </c>
      <c r="F520" s="62"/>
      <c r="G520" s="62"/>
      <c r="H520" s="62">
        <v>2233525.67</v>
      </c>
      <c r="I520" s="62"/>
      <c r="J520" s="62">
        <v>0</v>
      </c>
      <c r="K520" s="62"/>
      <c r="L520" s="62"/>
      <c r="M520" s="62">
        <v>0</v>
      </c>
      <c r="N520" s="62">
        <v>0</v>
      </c>
      <c r="O520" s="62"/>
      <c r="P520" s="62">
        <v>0</v>
      </c>
      <c r="Q520" s="62">
        <v>0</v>
      </c>
      <c r="R520" s="62"/>
      <c r="S520" s="62"/>
      <c r="T520" s="151">
        <v>30309.91</v>
      </c>
      <c r="V520" s="237">
        <f t="shared" si="52"/>
        <v>1</v>
      </c>
    </row>
    <row r="521" spans="1:68" hidden="1">
      <c r="A521" s="104">
        <f t="shared" si="56"/>
        <v>502</v>
      </c>
      <c r="B521" s="101">
        <f t="shared" si="57"/>
        <v>43</v>
      </c>
      <c r="C521" s="101" t="s">
        <v>114</v>
      </c>
      <c r="D521" s="101" t="s">
        <v>147</v>
      </c>
      <c r="E521" s="28">
        <f t="shared" si="55"/>
        <v>0</v>
      </c>
      <c r="F521" s="62"/>
      <c r="G521" s="62"/>
      <c r="H521" s="62"/>
      <c r="I521" s="62"/>
      <c r="J521" s="62"/>
      <c r="K521" s="62"/>
      <c r="L521" s="62"/>
      <c r="M521" s="62">
        <v>0</v>
      </c>
      <c r="N521" s="62">
        <v>0</v>
      </c>
      <c r="O521" s="62">
        <v>921428.35</v>
      </c>
      <c r="P521" s="62">
        <v>0</v>
      </c>
      <c r="Q521" s="62">
        <v>0</v>
      </c>
      <c r="R521" s="62"/>
      <c r="S521" s="62"/>
      <c r="T521" s="151"/>
      <c r="V521" s="237">
        <f t="shared" si="52"/>
        <v>1</v>
      </c>
    </row>
    <row r="522" spans="1:68" hidden="1">
      <c r="A522" s="104">
        <f t="shared" si="56"/>
        <v>503</v>
      </c>
      <c r="B522" s="101">
        <f t="shared" si="57"/>
        <v>44</v>
      </c>
      <c r="C522" s="101" t="s">
        <v>114</v>
      </c>
      <c r="D522" s="101" t="s">
        <v>279</v>
      </c>
      <c r="E522" s="28">
        <f t="shared" si="55"/>
        <v>0</v>
      </c>
      <c r="F522" s="62"/>
      <c r="G522" s="62"/>
      <c r="H522" s="62">
        <v>2051370.68</v>
      </c>
      <c r="I522" s="62"/>
      <c r="J522" s="62">
        <v>0</v>
      </c>
      <c r="K522" s="62"/>
      <c r="L522" s="62"/>
      <c r="M522" s="62">
        <v>0</v>
      </c>
      <c r="N522" s="62">
        <v>0</v>
      </c>
      <c r="O522" s="62"/>
      <c r="P522" s="62">
        <v>0</v>
      </c>
      <c r="Q522" s="62">
        <v>0</v>
      </c>
      <c r="R522" s="62"/>
      <c r="S522" s="62"/>
      <c r="T522" s="151">
        <v>27010</v>
      </c>
      <c r="V522" s="237">
        <f t="shared" si="52"/>
        <v>1</v>
      </c>
    </row>
    <row r="523" spans="1:68" hidden="1">
      <c r="A523" s="104">
        <f t="shared" si="56"/>
        <v>504</v>
      </c>
      <c r="B523" s="101">
        <f t="shared" si="57"/>
        <v>45</v>
      </c>
      <c r="C523" s="101" t="s">
        <v>114</v>
      </c>
      <c r="D523" s="101" t="s">
        <v>282</v>
      </c>
      <c r="E523" s="28">
        <f t="shared" si="55"/>
        <v>0</v>
      </c>
      <c r="F523" s="62">
        <v>0</v>
      </c>
      <c r="G523" s="62">
        <v>0</v>
      </c>
      <c r="H523" s="62">
        <v>0</v>
      </c>
      <c r="I523" s="62">
        <v>0</v>
      </c>
      <c r="J523" s="62">
        <v>0</v>
      </c>
      <c r="K523" s="62"/>
      <c r="L523" s="62"/>
      <c r="M523" s="62">
        <v>0</v>
      </c>
      <c r="N523" s="62">
        <v>0</v>
      </c>
      <c r="O523" s="62">
        <v>0</v>
      </c>
      <c r="P523" s="62">
        <v>19223883.199999999</v>
      </c>
      <c r="Q523" s="62">
        <v>0</v>
      </c>
      <c r="R523" s="62"/>
      <c r="S523" s="62"/>
      <c r="T523" s="151"/>
      <c r="V523" s="237">
        <f t="shared" si="52"/>
        <v>1</v>
      </c>
    </row>
    <row r="524" spans="1:68" hidden="1">
      <c r="A524" s="104">
        <f t="shared" si="56"/>
        <v>505</v>
      </c>
      <c r="B524" s="101">
        <f t="shared" si="57"/>
        <v>46</v>
      </c>
      <c r="C524" s="101" t="s">
        <v>114</v>
      </c>
      <c r="D524" s="101" t="s">
        <v>284</v>
      </c>
      <c r="E524" s="28">
        <f t="shared" si="55"/>
        <v>0</v>
      </c>
      <c r="F524" s="62"/>
      <c r="G524" s="62"/>
      <c r="H524" s="62">
        <v>0</v>
      </c>
      <c r="I524" s="62">
        <v>4078792.18</v>
      </c>
      <c r="J524" s="62">
        <v>0</v>
      </c>
      <c r="K524" s="62"/>
      <c r="L524" s="62"/>
      <c r="M524" s="62">
        <v>0</v>
      </c>
      <c r="N524" s="62">
        <v>0</v>
      </c>
      <c r="O524" s="62">
        <v>0</v>
      </c>
      <c r="P524" s="62">
        <v>0</v>
      </c>
      <c r="Q524" s="62">
        <v>0</v>
      </c>
      <c r="R524" s="62"/>
      <c r="S524" s="62"/>
      <c r="T524" s="151"/>
      <c r="V524" s="237">
        <f t="shared" si="52"/>
        <v>1</v>
      </c>
    </row>
    <row r="525" spans="1:68" hidden="1">
      <c r="A525" s="104">
        <f t="shared" si="56"/>
        <v>506</v>
      </c>
      <c r="B525" s="101">
        <f t="shared" si="57"/>
        <v>47</v>
      </c>
      <c r="C525" s="101" t="s">
        <v>114</v>
      </c>
      <c r="D525" s="101" t="s">
        <v>286</v>
      </c>
      <c r="E525" s="28">
        <f t="shared" si="55"/>
        <v>0</v>
      </c>
      <c r="F525" s="62">
        <v>3221072.69</v>
      </c>
      <c r="G525" s="62">
        <v>0</v>
      </c>
      <c r="H525" s="62">
        <v>0</v>
      </c>
      <c r="I525" s="62">
        <v>0</v>
      </c>
      <c r="J525" s="62">
        <v>0</v>
      </c>
      <c r="K525" s="62"/>
      <c r="L525" s="62"/>
      <c r="M525" s="62">
        <v>0</v>
      </c>
      <c r="N525" s="62">
        <v>0</v>
      </c>
      <c r="O525" s="62">
        <v>0</v>
      </c>
      <c r="P525" s="62">
        <v>0</v>
      </c>
      <c r="Q525" s="62">
        <v>0</v>
      </c>
      <c r="R525" s="62"/>
      <c r="S525" s="62"/>
      <c r="T525" s="151"/>
      <c r="V525" s="237">
        <f t="shared" si="52"/>
        <v>1</v>
      </c>
    </row>
    <row r="526" spans="1:68" hidden="1">
      <c r="A526" s="104">
        <f t="shared" si="56"/>
        <v>507</v>
      </c>
      <c r="B526" s="101">
        <f t="shared" si="57"/>
        <v>48</v>
      </c>
      <c r="C526" s="101" t="s">
        <v>114</v>
      </c>
      <c r="D526" s="101" t="s">
        <v>288</v>
      </c>
      <c r="E526" s="28">
        <f t="shared" si="55"/>
        <v>0</v>
      </c>
      <c r="F526" s="62">
        <v>3965533.13</v>
      </c>
      <c r="G526" s="62">
        <v>1547451.81</v>
      </c>
      <c r="H526" s="62">
        <v>1555631.83</v>
      </c>
      <c r="I526" s="62">
        <v>1086608.3400000001</v>
      </c>
      <c r="J526" s="62">
        <v>0</v>
      </c>
      <c r="K526" s="62"/>
      <c r="L526" s="62"/>
      <c r="M526" s="62">
        <v>0</v>
      </c>
      <c r="N526" s="62">
        <v>0</v>
      </c>
      <c r="O526" s="62">
        <v>0</v>
      </c>
      <c r="P526" s="62">
        <v>12419855.66</v>
      </c>
      <c r="Q526" s="62">
        <v>0</v>
      </c>
      <c r="R526" s="62"/>
      <c r="S526" s="62"/>
      <c r="T526" s="151">
        <v>217543.78</v>
      </c>
      <c r="V526" s="237">
        <f t="shared" si="52"/>
        <v>5</v>
      </c>
    </row>
    <row r="527" spans="1:68" hidden="1">
      <c r="A527" s="104">
        <f t="shared" si="56"/>
        <v>508</v>
      </c>
      <c r="B527" s="101">
        <f t="shared" si="57"/>
        <v>49</v>
      </c>
      <c r="C527" s="101" t="s">
        <v>114</v>
      </c>
      <c r="D527" s="101" t="s">
        <v>291</v>
      </c>
      <c r="E527" s="28">
        <f t="shared" si="55"/>
        <v>0</v>
      </c>
      <c r="F527" s="62">
        <v>3392054.08</v>
      </c>
      <c r="G527" s="62">
        <v>2275643.36</v>
      </c>
      <c r="H527" s="62">
        <v>0</v>
      </c>
      <c r="I527" s="62">
        <v>0</v>
      </c>
      <c r="J527" s="62">
        <v>0</v>
      </c>
      <c r="K527" s="62"/>
      <c r="L527" s="62"/>
      <c r="M527" s="62">
        <v>0</v>
      </c>
      <c r="N527" s="62"/>
      <c r="O527" s="62"/>
      <c r="P527" s="62"/>
      <c r="Q527" s="62">
        <v>0</v>
      </c>
      <c r="R527" s="62"/>
      <c r="S527" s="62"/>
      <c r="T527" s="151"/>
      <c r="U527" s="18"/>
      <c r="V527" s="237">
        <f t="shared" si="52"/>
        <v>2</v>
      </c>
    </row>
    <row r="528" spans="1:68" hidden="1">
      <c r="A528" s="104">
        <f t="shared" si="56"/>
        <v>509</v>
      </c>
      <c r="B528" s="101">
        <f t="shared" si="57"/>
        <v>50</v>
      </c>
      <c r="C528" s="101" t="s">
        <v>114</v>
      </c>
      <c r="D528" s="101" t="s">
        <v>293</v>
      </c>
      <c r="E528" s="28">
        <f t="shared" si="55"/>
        <v>0</v>
      </c>
      <c r="F528" s="62">
        <v>4400042.8600000003</v>
      </c>
      <c r="G528" s="62"/>
      <c r="H528" s="62">
        <v>3106137.67</v>
      </c>
      <c r="I528" s="62">
        <v>0</v>
      </c>
      <c r="J528" s="62">
        <v>0</v>
      </c>
      <c r="K528" s="62"/>
      <c r="L528" s="62"/>
      <c r="M528" s="62">
        <v>0</v>
      </c>
      <c r="N528" s="62">
        <v>0</v>
      </c>
      <c r="O528" s="62">
        <v>0</v>
      </c>
      <c r="P528" s="62">
        <v>0</v>
      </c>
      <c r="Q528" s="62">
        <v>0</v>
      </c>
      <c r="R528" s="62"/>
      <c r="S528" s="62"/>
      <c r="T528" s="151">
        <v>22221.89</v>
      </c>
      <c r="V528" s="237">
        <f t="shared" si="52"/>
        <v>2</v>
      </c>
    </row>
    <row r="529" spans="1:68" hidden="1">
      <c r="A529" s="104">
        <f t="shared" si="56"/>
        <v>510</v>
      </c>
      <c r="B529" s="101">
        <f t="shared" si="57"/>
        <v>51</v>
      </c>
      <c r="C529" s="101" t="s">
        <v>114</v>
      </c>
      <c r="D529" s="101" t="s">
        <v>295</v>
      </c>
      <c r="E529" s="28">
        <f t="shared" si="55"/>
        <v>0</v>
      </c>
      <c r="F529" s="62"/>
      <c r="G529" s="62">
        <v>0</v>
      </c>
      <c r="H529" s="62">
        <v>0</v>
      </c>
      <c r="I529" s="62">
        <v>1642032.02</v>
      </c>
      <c r="J529" s="62">
        <v>0</v>
      </c>
      <c r="K529" s="62"/>
      <c r="L529" s="62"/>
      <c r="M529" s="62">
        <v>0</v>
      </c>
      <c r="N529" s="62">
        <v>0</v>
      </c>
      <c r="O529" s="62"/>
      <c r="P529" s="62">
        <v>0</v>
      </c>
      <c r="Q529" s="62">
        <v>0</v>
      </c>
      <c r="R529" s="62"/>
      <c r="S529" s="62"/>
      <c r="T529" s="151"/>
      <c r="V529" s="237">
        <f t="shared" si="52"/>
        <v>1</v>
      </c>
    </row>
    <row r="530" spans="1:68" hidden="1">
      <c r="A530" s="104">
        <f t="shared" si="56"/>
        <v>511</v>
      </c>
      <c r="B530" s="101">
        <f t="shared" si="57"/>
        <v>52</v>
      </c>
      <c r="C530" s="101" t="s">
        <v>114</v>
      </c>
      <c r="D530" s="101" t="s">
        <v>170</v>
      </c>
      <c r="E530" s="28">
        <f t="shared" si="55"/>
        <v>0</v>
      </c>
      <c r="F530" s="62"/>
      <c r="G530" s="62"/>
      <c r="H530" s="62">
        <v>2693426.34</v>
      </c>
      <c r="I530" s="62"/>
      <c r="J530" s="62"/>
      <c r="K530" s="62"/>
      <c r="L530" s="62"/>
      <c r="M530" s="62"/>
      <c r="N530" s="62"/>
      <c r="O530" s="62">
        <v>0</v>
      </c>
      <c r="P530" s="62">
        <v>0</v>
      </c>
      <c r="Q530" s="62">
        <v>0</v>
      </c>
      <c r="R530" s="62"/>
      <c r="S530" s="62"/>
      <c r="T530" s="151">
        <v>33585.17</v>
      </c>
      <c r="V530" s="237">
        <f t="shared" si="52"/>
        <v>1</v>
      </c>
    </row>
    <row r="531" spans="1:68" hidden="1">
      <c r="A531" s="104">
        <f t="shared" si="56"/>
        <v>512</v>
      </c>
      <c r="B531" s="101">
        <f t="shared" si="57"/>
        <v>53</v>
      </c>
      <c r="C531" s="101" t="s">
        <v>114</v>
      </c>
      <c r="D531" s="101" t="s">
        <v>299</v>
      </c>
      <c r="E531" s="28">
        <f t="shared" si="55"/>
        <v>0</v>
      </c>
      <c r="F531" s="62"/>
      <c r="G531" s="62"/>
      <c r="H531" s="62">
        <v>3826853.64</v>
      </c>
      <c r="I531" s="62"/>
      <c r="J531" s="62">
        <v>0</v>
      </c>
      <c r="K531" s="62"/>
      <c r="L531" s="62"/>
      <c r="M531" s="62">
        <v>0</v>
      </c>
      <c r="N531" s="62">
        <v>0</v>
      </c>
      <c r="O531" s="62"/>
      <c r="P531" s="62">
        <v>0</v>
      </c>
      <c r="Q531" s="62">
        <v>0</v>
      </c>
      <c r="R531" s="62"/>
      <c r="S531" s="62"/>
      <c r="T531" s="151">
        <v>42585.52</v>
      </c>
      <c r="V531" s="237">
        <f t="shared" si="52"/>
        <v>1</v>
      </c>
    </row>
    <row r="532" spans="1:68" hidden="1">
      <c r="A532" s="104">
        <f t="shared" si="56"/>
        <v>513</v>
      </c>
      <c r="B532" s="101">
        <f t="shared" si="57"/>
        <v>54</v>
      </c>
      <c r="C532" s="101" t="s">
        <v>114</v>
      </c>
      <c r="D532" s="101" t="s">
        <v>301</v>
      </c>
      <c r="E532" s="28">
        <f t="shared" si="55"/>
        <v>0</v>
      </c>
      <c r="F532" s="62">
        <v>0</v>
      </c>
      <c r="G532" s="62">
        <v>0</v>
      </c>
      <c r="H532" s="62">
        <v>3304977.61</v>
      </c>
      <c r="I532" s="62">
        <v>0</v>
      </c>
      <c r="J532" s="62">
        <v>0</v>
      </c>
      <c r="K532" s="62"/>
      <c r="L532" s="62"/>
      <c r="M532" s="62">
        <v>0</v>
      </c>
      <c r="N532" s="62">
        <v>0</v>
      </c>
      <c r="O532" s="62">
        <v>0</v>
      </c>
      <c r="P532" s="62">
        <v>0</v>
      </c>
      <c r="Q532" s="62">
        <v>0</v>
      </c>
      <c r="R532" s="62"/>
      <c r="S532" s="62"/>
      <c r="T532" s="151">
        <v>33892.730000000003</v>
      </c>
      <c r="V532" s="237">
        <f t="shared" si="52"/>
        <v>1</v>
      </c>
    </row>
    <row r="533" spans="1:68" hidden="1">
      <c r="A533" s="104">
        <f t="shared" si="56"/>
        <v>514</v>
      </c>
      <c r="B533" s="101">
        <f t="shared" si="57"/>
        <v>55</v>
      </c>
      <c r="C533" s="101" t="s">
        <v>114</v>
      </c>
      <c r="D533" s="101" t="s">
        <v>303</v>
      </c>
      <c r="E533" s="28">
        <f t="shared" si="55"/>
        <v>0</v>
      </c>
      <c r="F533" s="62"/>
      <c r="G533" s="62">
        <v>0</v>
      </c>
      <c r="H533" s="62">
        <v>1680888.16</v>
      </c>
      <c r="I533" s="62">
        <v>0</v>
      </c>
      <c r="J533" s="62">
        <v>0</v>
      </c>
      <c r="K533" s="62"/>
      <c r="L533" s="62"/>
      <c r="M533" s="62">
        <v>0</v>
      </c>
      <c r="N533" s="62">
        <v>0</v>
      </c>
      <c r="O533" s="62">
        <v>0</v>
      </c>
      <c r="P533" s="62">
        <v>0</v>
      </c>
      <c r="Q533" s="62">
        <v>0</v>
      </c>
      <c r="R533" s="62"/>
      <c r="S533" s="62"/>
      <c r="T533" s="151">
        <v>17651.509999999998</v>
      </c>
      <c r="V533" s="237">
        <f t="shared" si="52"/>
        <v>1</v>
      </c>
    </row>
    <row r="534" spans="1:68" hidden="1">
      <c r="A534" s="104">
        <f t="shared" si="56"/>
        <v>515</v>
      </c>
      <c r="B534" s="101">
        <f t="shared" si="57"/>
        <v>56</v>
      </c>
      <c r="C534" s="101" t="s">
        <v>114</v>
      </c>
      <c r="D534" s="101" t="s">
        <v>306</v>
      </c>
      <c r="E534" s="28">
        <f t="shared" si="55"/>
        <v>0</v>
      </c>
      <c r="F534" s="62">
        <v>6279592.8200000003</v>
      </c>
      <c r="G534" s="62">
        <v>0</v>
      </c>
      <c r="H534" s="62">
        <v>0</v>
      </c>
      <c r="I534" s="62">
        <v>2535175.7799999998</v>
      </c>
      <c r="J534" s="62">
        <v>0</v>
      </c>
      <c r="K534" s="62"/>
      <c r="L534" s="62"/>
      <c r="M534" s="62">
        <v>0</v>
      </c>
      <c r="N534" s="62">
        <v>0</v>
      </c>
      <c r="O534" s="62">
        <v>0</v>
      </c>
      <c r="P534" s="62">
        <v>0</v>
      </c>
      <c r="Q534" s="62">
        <v>0</v>
      </c>
      <c r="R534" s="62"/>
      <c r="S534" s="62"/>
      <c r="T534" s="151">
        <v>60151.38</v>
      </c>
      <c r="V534" s="237">
        <f t="shared" si="52"/>
        <v>2</v>
      </c>
    </row>
    <row r="535" spans="1:68" hidden="1">
      <c r="A535" s="104">
        <f t="shared" si="56"/>
        <v>516</v>
      </c>
      <c r="B535" s="101">
        <f t="shared" si="57"/>
        <v>57</v>
      </c>
      <c r="C535" s="101" t="s">
        <v>114</v>
      </c>
      <c r="D535" s="101" t="s">
        <v>308</v>
      </c>
      <c r="E535" s="28">
        <f t="shared" si="55"/>
        <v>0</v>
      </c>
      <c r="F535" s="62">
        <v>7987299.2999999998</v>
      </c>
      <c r="G535" s="62">
        <v>0</v>
      </c>
      <c r="H535" s="62">
        <v>0</v>
      </c>
      <c r="I535" s="62">
        <v>4076265.36</v>
      </c>
      <c r="J535" s="62">
        <v>0</v>
      </c>
      <c r="K535" s="62"/>
      <c r="L535" s="62"/>
      <c r="M535" s="62">
        <v>0</v>
      </c>
      <c r="N535" s="62">
        <v>0</v>
      </c>
      <c r="O535" s="62">
        <v>0</v>
      </c>
      <c r="P535" s="62">
        <v>0</v>
      </c>
      <c r="Q535" s="62">
        <v>0</v>
      </c>
      <c r="R535" s="62"/>
      <c r="S535" s="62"/>
      <c r="T535" s="151">
        <v>77088.63</v>
      </c>
      <c r="V535" s="237">
        <f t="shared" si="52"/>
        <v>2</v>
      </c>
    </row>
    <row r="536" spans="1:68" hidden="1">
      <c r="A536" s="104">
        <f t="shared" si="56"/>
        <v>517</v>
      </c>
      <c r="B536" s="101">
        <f t="shared" si="57"/>
        <v>58</v>
      </c>
      <c r="C536" s="101" t="s">
        <v>114</v>
      </c>
      <c r="D536" s="101" t="s">
        <v>310</v>
      </c>
      <c r="E536" s="28">
        <f t="shared" si="55"/>
        <v>0</v>
      </c>
      <c r="F536" s="62"/>
      <c r="G536" s="62"/>
      <c r="H536" s="62"/>
      <c r="I536" s="62"/>
      <c r="J536" s="62">
        <v>0</v>
      </c>
      <c r="K536" s="62"/>
      <c r="L536" s="62"/>
      <c r="M536" s="62">
        <v>0</v>
      </c>
      <c r="N536" s="62">
        <v>0</v>
      </c>
      <c r="O536" s="62">
        <v>4085136.52</v>
      </c>
      <c r="P536" s="62">
        <v>0</v>
      </c>
      <c r="Q536" s="62">
        <v>0</v>
      </c>
      <c r="R536" s="62"/>
      <c r="S536" s="62"/>
      <c r="T536" s="151"/>
      <c r="V536" s="237">
        <f t="shared" si="52"/>
        <v>1</v>
      </c>
    </row>
    <row r="537" spans="1:68" hidden="1">
      <c r="A537" s="104">
        <f t="shared" si="56"/>
        <v>518</v>
      </c>
      <c r="B537" s="101">
        <f t="shared" si="57"/>
        <v>59</v>
      </c>
      <c r="C537" s="101" t="s">
        <v>114</v>
      </c>
      <c r="D537" s="101" t="s">
        <v>312</v>
      </c>
      <c r="E537" s="28">
        <f t="shared" si="55"/>
        <v>0</v>
      </c>
      <c r="F537" s="62">
        <v>0</v>
      </c>
      <c r="G537" s="62">
        <v>0</v>
      </c>
      <c r="H537" s="62">
        <v>0</v>
      </c>
      <c r="I537" s="62">
        <v>0</v>
      </c>
      <c r="J537" s="62">
        <v>0</v>
      </c>
      <c r="K537" s="62"/>
      <c r="L537" s="62"/>
      <c r="M537" s="62">
        <v>0</v>
      </c>
      <c r="N537" s="62"/>
      <c r="O537" s="62">
        <v>0</v>
      </c>
      <c r="P537" s="62">
        <v>12521748.26</v>
      </c>
      <c r="Q537" s="62">
        <v>0</v>
      </c>
      <c r="R537" s="62"/>
      <c r="S537" s="62"/>
      <c r="T537" s="151"/>
      <c r="V537" s="237">
        <f t="shared" si="52"/>
        <v>1</v>
      </c>
    </row>
    <row r="538" spans="1:68" hidden="1">
      <c r="A538" s="104">
        <f t="shared" si="56"/>
        <v>519</v>
      </c>
      <c r="B538" s="101">
        <f t="shared" si="57"/>
        <v>60</v>
      </c>
      <c r="C538" s="101" t="s">
        <v>114</v>
      </c>
      <c r="D538" s="101" t="s">
        <v>318</v>
      </c>
      <c r="E538" s="28">
        <f t="shared" si="55"/>
        <v>0</v>
      </c>
      <c r="F538" s="62">
        <v>5042938.91</v>
      </c>
      <c r="G538" s="62">
        <v>0</v>
      </c>
      <c r="H538" s="62">
        <v>0</v>
      </c>
      <c r="I538" s="62">
        <v>3850841.8</v>
      </c>
      <c r="J538" s="62">
        <v>0</v>
      </c>
      <c r="K538" s="62"/>
      <c r="L538" s="62"/>
      <c r="M538" s="62"/>
      <c r="N538" s="62">
        <v>7396737.3099999996</v>
      </c>
      <c r="O538" s="62">
        <v>0</v>
      </c>
      <c r="P538" s="62">
        <v>0</v>
      </c>
      <c r="Q538" s="62">
        <v>0</v>
      </c>
      <c r="R538" s="62"/>
      <c r="S538" s="62"/>
      <c r="T538" s="151">
        <v>136458.6</v>
      </c>
      <c r="V538" s="237">
        <f t="shared" si="52"/>
        <v>3</v>
      </c>
    </row>
    <row r="539" spans="1:68" hidden="1">
      <c r="A539" s="104">
        <f t="shared" si="56"/>
        <v>520</v>
      </c>
      <c r="B539" s="101">
        <f t="shared" si="57"/>
        <v>61</v>
      </c>
      <c r="C539" s="101" t="s">
        <v>114</v>
      </c>
      <c r="D539" s="101" t="s">
        <v>178</v>
      </c>
      <c r="E539" s="28">
        <f t="shared" si="55"/>
        <v>0</v>
      </c>
      <c r="F539" s="62"/>
      <c r="G539" s="62"/>
      <c r="H539" s="62"/>
      <c r="I539" s="62"/>
      <c r="J539" s="62"/>
      <c r="K539" s="62"/>
      <c r="L539" s="62"/>
      <c r="M539" s="62">
        <v>0</v>
      </c>
      <c r="N539" s="62">
        <v>0</v>
      </c>
      <c r="O539" s="62">
        <v>0</v>
      </c>
      <c r="P539" s="62">
        <v>12013292</v>
      </c>
      <c r="Q539" s="62">
        <v>0</v>
      </c>
      <c r="R539" s="62"/>
      <c r="S539" s="62"/>
      <c r="T539" s="151"/>
      <c r="V539" s="237">
        <f t="shared" si="52"/>
        <v>1</v>
      </c>
    </row>
    <row r="540" spans="1:68" hidden="1">
      <c r="A540" s="104">
        <f t="shared" si="56"/>
        <v>521</v>
      </c>
      <c r="B540" s="101">
        <f t="shared" si="57"/>
        <v>62</v>
      </c>
      <c r="C540" s="101" t="s">
        <v>114</v>
      </c>
      <c r="D540" s="101" t="s">
        <v>321</v>
      </c>
      <c r="E540" s="28">
        <f t="shared" si="55"/>
        <v>0</v>
      </c>
      <c r="F540" s="62"/>
      <c r="G540" s="62">
        <v>0</v>
      </c>
      <c r="H540" s="62">
        <v>0</v>
      </c>
      <c r="I540" s="62">
        <v>4017783.84</v>
      </c>
      <c r="J540" s="62">
        <v>0</v>
      </c>
      <c r="K540" s="62"/>
      <c r="L540" s="62"/>
      <c r="M540" s="62">
        <v>0</v>
      </c>
      <c r="N540" s="62"/>
      <c r="O540" s="62"/>
      <c r="P540" s="62">
        <v>0</v>
      </c>
      <c r="Q540" s="62">
        <v>0</v>
      </c>
      <c r="R540" s="62"/>
      <c r="S540" s="62"/>
      <c r="T540" s="151"/>
      <c r="V540" s="237">
        <f t="shared" si="52"/>
        <v>1</v>
      </c>
    </row>
    <row r="541" spans="1:68" hidden="1">
      <c r="A541" s="104">
        <f t="shared" si="56"/>
        <v>522</v>
      </c>
      <c r="B541" s="101">
        <f t="shared" si="57"/>
        <v>63</v>
      </c>
      <c r="C541" s="101" t="s">
        <v>114</v>
      </c>
      <c r="D541" s="101" t="s">
        <v>323</v>
      </c>
      <c r="E541" s="28">
        <f t="shared" si="55"/>
        <v>0</v>
      </c>
      <c r="F541" s="62">
        <v>0</v>
      </c>
      <c r="G541" s="62">
        <v>0</v>
      </c>
      <c r="H541" s="62">
        <v>812803.3</v>
      </c>
      <c r="I541" s="62">
        <v>0</v>
      </c>
      <c r="J541" s="62">
        <v>0</v>
      </c>
      <c r="K541" s="62"/>
      <c r="L541" s="62"/>
      <c r="M541" s="62">
        <v>0</v>
      </c>
      <c r="N541" s="62">
        <v>0</v>
      </c>
      <c r="O541" s="62"/>
      <c r="P541" s="62">
        <v>0</v>
      </c>
      <c r="Q541" s="62">
        <v>0</v>
      </c>
      <c r="R541" s="62"/>
      <c r="S541" s="62"/>
      <c r="T541" s="151"/>
      <c r="U541" s="305"/>
      <c r="V541" s="237">
        <f t="shared" si="52"/>
        <v>1</v>
      </c>
      <c r="W541" s="305"/>
      <c r="X541" s="305"/>
      <c r="Y541" s="305"/>
      <c r="Z541" s="305"/>
      <c r="AA541" s="305"/>
      <c r="AB541" s="305"/>
      <c r="AC541" s="305"/>
      <c r="AD541" s="305"/>
      <c r="AE541" s="305"/>
      <c r="AF541" s="305"/>
      <c r="AG541" s="305"/>
      <c r="AH541" s="305"/>
      <c r="AI541" s="305"/>
      <c r="AJ541" s="305"/>
      <c r="AK541" s="305"/>
      <c r="AL541" s="305"/>
      <c r="AM541" s="305"/>
      <c r="AN541" s="305"/>
      <c r="AO541" s="305"/>
      <c r="AP541" s="305"/>
      <c r="AQ541" s="305"/>
      <c r="AR541" s="305"/>
      <c r="AS541" s="305"/>
      <c r="AT541" s="305"/>
      <c r="AU541" s="305"/>
      <c r="AV541" s="305"/>
      <c r="AW541" s="305"/>
      <c r="AX541" s="305"/>
      <c r="AY541" s="305"/>
      <c r="AZ541" s="305"/>
      <c r="BA541" s="305"/>
      <c r="BB541" s="305"/>
      <c r="BC541" s="305"/>
      <c r="BD541" s="305"/>
      <c r="BE541" s="305"/>
      <c r="BF541" s="305"/>
      <c r="BG541" s="305"/>
      <c r="BH541" s="305"/>
      <c r="BI541" s="305"/>
      <c r="BJ541" s="305"/>
      <c r="BK541" s="305"/>
      <c r="BL541" s="305"/>
      <c r="BM541" s="305"/>
      <c r="BN541" s="305"/>
      <c r="BO541" s="305"/>
      <c r="BP541" s="305"/>
    </row>
    <row r="542" spans="1:68" hidden="1">
      <c r="A542" s="104">
        <f t="shared" si="56"/>
        <v>523</v>
      </c>
      <c r="B542" s="101">
        <f t="shared" si="57"/>
        <v>64</v>
      </c>
      <c r="C542" s="101" t="s">
        <v>114</v>
      </c>
      <c r="D542" s="101" t="s">
        <v>326</v>
      </c>
      <c r="E542" s="28">
        <f t="shared" si="55"/>
        <v>0</v>
      </c>
      <c r="F542" s="62"/>
      <c r="G542" s="62">
        <v>0</v>
      </c>
      <c r="H542" s="62">
        <v>1377153.84</v>
      </c>
      <c r="I542" s="62"/>
      <c r="J542" s="62">
        <v>0</v>
      </c>
      <c r="K542" s="62"/>
      <c r="L542" s="62"/>
      <c r="M542" s="62">
        <v>0</v>
      </c>
      <c r="N542" s="62">
        <v>0</v>
      </c>
      <c r="O542" s="62">
        <v>0</v>
      </c>
      <c r="P542" s="62">
        <v>0</v>
      </c>
      <c r="Q542" s="62">
        <v>0</v>
      </c>
      <c r="R542" s="62"/>
      <c r="S542" s="62"/>
      <c r="T542" s="151">
        <v>31604.78</v>
      </c>
      <c r="U542" s="305"/>
      <c r="V542" s="237">
        <f t="shared" si="52"/>
        <v>1</v>
      </c>
      <c r="W542" s="305"/>
      <c r="X542" s="305"/>
      <c r="Y542" s="305"/>
      <c r="Z542" s="305"/>
      <c r="AA542" s="305"/>
      <c r="AB542" s="305"/>
      <c r="AC542" s="305"/>
      <c r="AD542" s="305"/>
      <c r="AE542" s="305"/>
      <c r="AF542" s="305"/>
      <c r="AG542" s="305"/>
      <c r="AH542" s="305"/>
      <c r="AI542" s="305"/>
      <c r="AJ542" s="305"/>
      <c r="AK542" s="305"/>
      <c r="AL542" s="305"/>
      <c r="AM542" s="305"/>
      <c r="AN542" s="305"/>
      <c r="AO542" s="305"/>
      <c r="AP542" s="305"/>
      <c r="AQ542" s="305"/>
      <c r="AR542" s="305"/>
      <c r="AS542" s="305"/>
      <c r="AT542" s="305"/>
      <c r="AU542" s="305"/>
      <c r="AV542" s="305"/>
      <c r="AW542" s="305"/>
      <c r="AX542" s="305"/>
      <c r="AY542" s="305"/>
      <c r="AZ542" s="305"/>
      <c r="BA542" s="305"/>
      <c r="BB542" s="305"/>
      <c r="BC542" s="305"/>
      <c r="BD542" s="305"/>
      <c r="BE542" s="305"/>
      <c r="BF542" s="305"/>
      <c r="BG542" s="305"/>
      <c r="BH542" s="305"/>
      <c r="BI542" s="305"/>
      <c r="BJ542" s="305"/>
      <c r="BK542" s="305"/>
      <c r="BL542" s="305"/>
      <c r="BM542" s="305"/>
      <c r="BN542" s="305"/>
      <c r="BO542" s="305"/>
      <c r="BP542" s="305"/>
    </row>
    <row r="543" spans="1:68" hidden="1">
      <c r="A543" s="104">
        <f t="shared" si="56"/>
        <v>524</v>
      </c>
      <c r="B543" s="101">
        <f t="shared" si="57"/>
        <v>65</v>
      </c>
      <c r="C543" s="101" t="s">
        <v>114</v>
      </c>
      <c r="D543" s="101" t="s">
        <v>328</v>
      </c>
      <c r="E543" s="28">
        <f t="shared" si="55"/>
        <v>0</v>
      </c>
      <c r="F543" s="62">
        <v>0</v>
      </c>
      <c r="G543" s="62">
        <v>0</v>
      </c>
      <c r="H543" s="62">
        <v>3780647.12</v>
      </c>
      <c r="I543" s="62">
        <v>0</v>
      </c>
      <c r="J543" s="62">
        <v>0</v>
      </c>
      <c r="K543" s="62"/>
      <c r="L543" s="62"/>
      <c r="M543" s="62">
        <v>0</v>
      </c>
      <c r="N543" s="62">
        <v>0</v>
      </c>
      <c r="O543" s="62">
        <v>0</v>
      </c>
      <c r="P543" s="62"/>
      <c r="Q543" s="62">
        <v>0</v>
      </c>
      <c r="R543" s="62"/>
      <c r="S543" s="62"/>
      <c r="T543" s="151"/>
      <c r="V543" s="237">
        <f t="shared" ref="V543:V606" si="58">COUNTIF(F543:Q543, "&gt;0")</f>
        <v>1</v>
      </c>
    </row>
    <row r="544" spans="1:68" hidden="1">
      <c r="A544" s="104">
        <f t="shared" ref="A544:A562" si="59">A543+1</f>
        <v>525</v>
      </c>
      <c r="B544" s="101">
        <f t="shared" ref="B544:B562" si="60">B543+1</f>
        <v>66</v>
      </c>
      <c r="C544" s="101" t="s">
        <v>114</v>
      </c>
      <c r="D544" s="101" t="s">
        <v>330</v>
      </c>
      <c r="E544" s="28">
        <f t="shared" ref="E544:E607" si="61">SUBTOTAL(9, F544:T544)</f>
        <v>0</v>
      </c>
      <c r="F544" s="62"/>
      <c r="G544" s="62">
        <v>0</v>
      </c>
      <c r="H544" s="62">
        <v>2978009.44</v>
      </c>
      <c r="I544" s="62"/>
      <c r="J544" s="62">
        <v>0</v>
      </c>
      <c r="K544" s="62"/>
      <c r="L544" s="62"/>
      <c r="M544" s="62">
        <v>0</v>
      </c>
      <c r="N544" s="62">
        <v>0</v>
      </c>
      <c r="O544" s="62">
        <v>0</v>
      </c>
      <c r="P544" s="62">
        <v>0</v>
      </c>
      <c r="Q544" s="62">
        <v>0</v>
      </c>
      <c r="R544" s="62"/>
      <c r="S544" s="62"/>
      <c r="T544" s="151">
        <v>40837.64</v>
      </c>
      <c r="V544" s="237">
        <f t="shared" si="58"/>
        <v>1</v>
      </c>
    </row>
    <row r="545" spans="1:68" hidden="1">
      <c r="A545" s="104">
        <f t="shared" si="59"/>
        <v>526</v>
      </c>
      <c r="B545" s="101">
        <f t="shared" si="60"/>
        <v>67</v>
      </c>
      <c r="C545" s="101" t="s">
        <v>114</v>
      </c>
      <c r="D545" s="101" t="s">
        <v>332</v>
      </c>
      <c r="E545" s="28">
        <f t="shared" si="61"/>
        <v>0</v>
      </c>
      <c r="F545" s="62"/>
      <c r="G545" s="62">
        <v>0</v>
      </c>
      <c r="H545" s="62">
        <v>2978009.44</v>
      </c>
      <c r="I545" s="62"/>
      <c r="J545" s="62">
        <v>0</v>
      </c>
      <c r="K545" s="62"/>
      <c r="L545" s="62"/>
      <c r="M545" s="62">
        <v>0</v>
      </c>
      <c r="N545" s="62">
        <v>0</v>
      </c>
      <c r="O545" s="62">
        <v>0</v>
      </c>
      <c r="P545" s="62">
        <v>0</v>
      </c>
      <c r="Q545" s="62">
        <v>0</v>
      </c>
      <c r="R545" s="62"/>
      <c r="S545" s="62"/>
      <c r="T545" s="151">
        <v>40837.64</v>
      </c>
      <c r="V545" s="237">
        <f t="shared" si="58"/>
        <v>1</v>
      </c>
    </row>
    <row r="546" spans="1:68" hidden="1">
      <c r="A546" s="104">
        <f t="shared" si="59"/>
        <v>527</v>
      </c>
      <c r="B546" s="101">
        <f t="shared" si="60"/>
        <v>68</v>
      </c>
      <c r="C546" s="101" t="s">
        <v>114</v>
      </c>
      <c r="D546" s="101" t="s">
        <v>335</v>
      </c>
      <c r="E546" s="28">
        <f t="shared" si="61"/>
        <v>0</v>
      </c>
      <c r="F546" s="62">
        <v>0</v>
      </c>
      <c r="G546" s="62">
        <v>0</v>
      </c>
      <c r="H546" s="62">
        <v>0</v>
      </c>
      <c r="I546" s="62">
        <v>0</v>
      </c>
      <c r="J546" s="62">
        <v>0</v>
      </c>
      <c r="K546" s="62"/>
      <c r="L546" s="62"/>
      <c r="M546" s="62">
        <v>0</v>
      </c>
      <c r="N546" s="62">
        <v>0</v>
      </c>
      <c r="O546" s="62">
        <v>0</v>
      </c>
      <c r="P546" s="62">
        <v>13694022.699999999</v>
      </c>
      <c r="Q546" s="62">
        <v>0</v>
      </c>
      <c r="R546" s="62"/>
      <c r="S546" s="62"/>
      <c r="T546" s="151"/>
      <c r="V546" s="237">
        <f t="shared" si="58"/>
        <v>1</v>
      </c>
    </row>
    <row r="547" spans="1:68" hidden="1">
      <c r="A547" s="104">
        <f t="shared" si="59"/>
        <v>528</v>
      </c>
      <c r="B547" s="101">
        <f t="shared" si="60"/>
        <v>69</v>
      </c>
      <c r="C547" s="101" t="s">
        <v>114</v>
      </c>
      <c r="D547" s="101" t="s">
        <v>337</v>
      </c>
      <c r="E547" s="28">
        <f t="shared" si="61"/>
        <v>0</v>
      </c>
      <c r="F547" s="62">
        <v>2477729.12</v>
      </c>
      <c r="G547" s="62">
        <v>0</v>
      </c>
      <c r="H547" s="62">
        <v>3810136.93</v>
      </c>
      <c r="I547" s="62">
        <v>4313666.76</v>
      </c>
      <c r="J547" s="62">
        <v>0</v>
      </c>
      <c r="K547" s="62"/>
      <c r="L547" s="62"/>
      <c r="M547" s="62">
        <v>0</v>
      </c>
      <c r="N547" s="62">
        <v>0</v>
      </c>
      <c r="O547" s="62">
        <v>0</v>
      </c>
      <c r="P547" s="62">
        <v>0</v>
      </c>
      <c r="Q547" s="62">
        <v>0</v>
      </c>
      <c r="R547" s="62"/>
      <c r="S547" s="62"/>
      <c r="T547" s="151"/>
      <c r="V547" s="237">
        <f t="shared" si="58"/>
        <v>3</v>
      </c>
    </row>
    <row r="548" spans="1:68" hidden="1">
      <c r="A548" s="104">
        <f t="shared" si="59"/>
        <v>529</v>
      </c>
      <c r="B548" s="101">
        <f t="shared" si="60"/>
        <v>70</v>
      </c>
      <c r="C548" s="101" t="s">
        <v>114</v>
      </c>
      <c r="D548" s="101" t="s">
        <v>339</v>
      </c>
      <c r="E548" s="28">
        <f t="shared" si="61"/>
        <v>0</v>
      </c>
      <c r="F548" s="62"/>
      <c r="G548" s="62"/>
      <c r="H548" s="62"/>
      <c r="I548" s="62"/>
      <c r="J548" s="62"/>
      <c r="K548" s="62"/>
      <c r="L548" s="62"/>
      <c r="M548" s="62"/>
      <c r="N548" s="62"/>
      <c r="O548" s="62">
        <v>10645100.220000001</v>
      </c>
      <c r="P548" s="62"/>
      <c r="Q548" s="62"/>
      <c r="R548" s="62"/>
      <c r="S548" s="62"/>
      <c r="T548" s="151"/>
      <c r="V548" s="237">
        <f t="shared" si="58"/>
        <v>1</v>
      </c>
    </row>
    <row r="549" spans="1:68" hidden="1">
      <c r="A549" s="104">
        <f t="shared" si="59"/>
        <v>530</v>
      </c>
      <c r="B549" s="101">
        <f t="shared" si="60"/>
        <v>71</v>
      </c>
      <c r="C549" s="101" t="s">
        <v>114</v>
      </c>
      <c r="D549" s="101" t="s">
        <v>340</v>
      </c>
      <c r="E549" s="28">
        <f t="shared" si="61"/>
        <v>0</v>
      </c>
      <c r="F549" s="62"/>
      <c r="G549" s="62"/>
      <c r="H549" s="62"/>
      <c r="I549" s="62"/>
      <c r="J549" s="62"/>
      <c r="K549" s="62"/>
      <c r="L549" s="62"/>
      <c r="M549" s="62"/>
      <c r="N549" s="62"/>
      <c r="O549" s="62">
        <v>11056543.119999999</v>
      </c>
      <c r="P549" s="62"/>
      <c r="Q549" s="62"/>
      <c r="R549" s="62"/>
      <c r="S549" s="62"/>
      <c r="T549" s="151"/>
      <c r="V549" s="237">
        <f t="shared" si="58"/>
        <v>1</v>
      </c>
    </row>
    <row r="550" spans="1:68" hidden="1">
      <c r="A550" s="104">
        <f t="shared" si="59"/>
        <v>531</v>
      </c>
      <c r="B550" s="101">
        <f t="shared" si="60"/>
        <v>72</v>
      </c>
      <c r="C550" s="101" t="s">
        <v>114</v>
      </c>
      <c r="D550" s="101" t="s">
        <v>342</v>
      </c>
      <c r="E550" s="28">
        <f t="shared" si="61"/>
        <v>0</v>
      </c>
      <c r="F550" s="62">
        <v>0</v>
      </c>
      <c r="G550" s="62">
        <v>0</v>
      </c>
      <c r="H550" s="62">
        <v>927231.11</v>
      </c>
      <c r="I550" s="62"/>
      <c r="J550" s="62">
        <v>0</v>
      </c>
      <c r="K550" s="62"/>
      <c r="L550" s="62"/>
      <c r="M550" s="62">
        <v>0</v>
      </c>
      <c r="N550" s="62">
        <v>0</v>
      </c>
      <c r="O550" s="62">
        <v>0</v>
      </c>
      <c r="P550" s="62">
        <v>0</v>
      </c>
      <c r="Q550" s="62">
        <v>0</v>
      </c>
      <c r="R550" s="62"/>
      <c r="S550" s="62"/>
      <c r="T550" s="151"/>
      <c r="U550" s="305"/>
      <c r="V550" s="237">
        <f t="shared" si="58"/>
        <v>1</v>
      </c>
      <c r="W550" s="305"/>
      <c r="X550" s="305"/>
      <c r="Y550" s="305"/>
      <c r="Z550" s="305"/>
      <c r="AA550" s="305"/>
      <c r="AB550" s="305"/>
      <c r="AC550" s="305"/>
      <c r="AD550" s="305"/>
      <c r="AE550" s="305"/>
      <c r="AF550" s="305"/>
      <c r="AG550" s="305"/>
      <c r="AH550" s="305"/>
      <c r="AI550" s="305"/>
      <c r="AJ550" s="305"/>
      <c r="AK550" s="305"/>
      <c r="AL550" s="305"/>
      <c r="AM550" s="305"/>
      <c r="AN550" s="305"/>
      <c r="AO550" s="305"/>
      <c r="AP550" s="305"/>
      <c r="AQ550" s="305"/>
      <c r="AR550" s="305"/>
      <c r="AS550" s="305"/>
      <c r="AT550" s="305"/>
      <c r="AU550" s="305"/>
      <c r="AV550" s="305"/>
      <c r="AW550" s="305"/>
      <c r="AX550" s="305"/>
      <c r="AY550" s="305"/>
      <c r="AZ550" s="305"/>
      <c r="BA550" s="305"/>
      <c r="BB550" s="305"/>
      <c r="BC550" s="305"/>
      <c r="BD550" s="305"/>
      <c r="BE550" s="305"/>
      <c r="BF550" s="305"/>
      <c r="BG550" s="305"/>
      <c r="BH550" s="305"/>
      <c r="BI550" s="305"/>
      <c r="BJ550" s="305"/>
      <c r="BK550" s="305"/>
      <c r="BL550" s="305"/>
      <c r="BM550" s="305"/>
      <c r="BN550" s="305"/>
      <c r="BO550" s="305"/>
      <c r="BP550" s="305"/>
    </row>
    <row r="551" spans="1:68" hidden="1">
      <c r="A551" s="104">
        <f t="shared" si="59"/>
        <v>532</v>
      </c>
      <c r="B551" s="101">
        <f t="shared" si="60"/>
        <v>73</v>
      </c>
      <c r="C551" s="101" t="s">
        <v>114</v>
      </c>
      <c r="D551" s="101" t="s">
        <v>344</v>
      </c>
      <c r="E551" s="28">
        <f t="shared" si="61"/>
        <v>0</v>
      </c>
      <c r="F551" s="62">
        <v>2982960.1</v>
      </c>
      <c r="G551" s="62">
        <v>0</v>
      </c>
      <c r="H551" s="62">
        <v>1456052.11</v>
      </c>
      <c r="I551" s="62"/>
      <c r="J551" s="62">
        <v>0</v>
      </c>
      <c r="K551" s="62"/>
      <c r="L551" s="62"/>
      <c r="M551" s="62">
        <v>0</v>
      </c>
      <c r="N551" s="62">
        <v>0</v>
      </c>
      <c r="O551" s="62">
        <v>0</v>
      </c>
      <c r="P551" s="62">
        <v>0</v>
      </c>
      <c r="Q551" s="62">
        <v>0</v>
      </c>
      <c r="R551" s="62"/>
      <c r="S551" s="62"/>
      <c r="T551" s="151"/>
      <c r="V551" s="237">
        <f t="shared" si="58"/>
        <v>2</v>
      </c>
    </row>
    <row r="552" spans="1:68" hidden="1">
      <c r="A552" s="104">
        <f t="shared" si="59"/>
        <v>533</v>
      </c>
      <c r="B552" s="101">
        <f t="shared" si="60"/>
        <v>74</v>
      </c>
      <c r="C552" s="101" t="s">
        <v>114</v>
      </c>
      <c r="D552" s="101" t="s">
        <v>345</v>
      </c>
      <c r="E552" s="28">
        <f t="shared" si="61"/>
        <v>0</v>
      </c>
      <c r="F552" s="62">
        <v>3887973.93</v>
      </c>
      <c r="G552" s="62">
        <v>0</v>
      </c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151"/>
      <c r="V552" s="237">
        <f t="shared" si="58"/>
        <v>1</v>
      </c>
    </row>
    <row r="553" spans="1:68" hidden="1">
      <c r="A553" s="104">
        <f t="shared" si="59"/>
        <v>534</v>
      </c>
      <c r="B553" s="101">
        <f t="shared" si="60"/>
        <v>75</v>
      </c>
      <c r="C553" s="101" t="s">
        <v>98</v>
      </c>
      <c r="D553" s="101" t="s">
        <v>346</v>
      </c>
      <c r="E553" s="28">
        <f t="shared" si="61"/>
        <v>0</v>
      </c>
      <c r="F553" s="62">
        <v>0</v>
      </c>
      <c r="G553" s="62">
        <v>0</v>
      </c>
      <c r="H553" s="62">
        <v>0</v>
      </c>
      <c r="I553" s="62">
        <v>0</v>
      </c>
      <c r="J553" s="62">
        <v>0</v>
      </c>
      <c r="K553" s="62"/>
      <c r="L553" s="62"/>
      <c r="M553" s="62">
        <v>0</v>
      </c>
      <c r="N553" s="62">
        <v>0</v>
      </c>
      <c r="O553" s="62">
        <v>0</v>
      </c>
      <c r="P553" s="62">
        <v>8780845.7699999996</v>
      </c>
      <c r="Q553" s="62">
        <v>0</v>
      </c>
      <c r="R553" s="62"/>
      <c r="S553" s="62"/>
      <c r="T553" s="151">
        <v>108773.33</v>
      </c>
      <c r="U553" s="305"/>
      <c r="V553" s="237">
        <f t="shared" si="58"/>
        <v>1</v>
      </c>
      <c r="W553" s="305"/>
      <c r="X553" s="305"/>
      <c r="Y553" s="305"/>
      <c r="Z553" s="305"/>
      <c r="AA553" s="305"/>
      <c r="AB553" s="305"/>
      <c r="AC553" s="305"/>
      <c r="AD553" s="305"/>
      <c r="AE553" s="305"/>
      <c r="AF553" s="305"/>
      <c r="AG553" s="305"/>
      <c r="AH553" s="305"/>
      <c r="AI553" s="305"/>
      <c r="AJ553" s="305"/>
      <c r="AK553" s="305"/>
      <c r="AL553" s="305"/>
      <c r="AM553" s="305"/>
      <c r="AN553" s="305"/>
      <c r="AO553" s="305"/>
      <c r="AP553" s="305"/>
      <c r="AQ553" s="305"/>
      <c r="AR553" s="305"/>
      <c r="AS553" s="305"/>
      <c r="AT553" s="305"/>
      <c r="AU553" s="305"/>
      <c r="AV553" s="305"/>
      <c r="AW553" s="305"/>
      <c r="AX553" s="305"/>
      <c r="AY553" s="305"/>
      <c r="AZ553" s="305"/>
      <c r="BA553" s="305"/>
      <c r="BB553" s="305"/>
      <c r="BC553" s="305"/>
      <c r="BD553" s="305"/>
      <c r="BE553" s="305"/>
      <c r="BF553" s="305"/>
      <c r="BG553" s="305"/>
      <c r="BH553" s="305"/>
      <c r="BI553" s="305"/>
      <c r="BJ553" s="305"/>
      <c r="BK553" s="305"/>
      <c r="BL553" s="305"/>
      <c r="BM553" s="305"/>
      <c r="BN553" s="305"/>
      <c r="BO553" s="305"/>
      <c r="BP553" s="305"/>
    </row>
    <row r="554" spans="1:68" hidden="1">
      <c r="A554" s="104">
        <f t="shared" si="59"/>
        <v>535</v>
      </c>
      <c r="B554" s="101">
        <f t="shared" si="60"/>
        <v>76</v>
      </c>
      <c r="C554" s="101" t="s">
        <v>98</v>
      </c>
      <c r="D554" s="101" t="s">
        <v>99</v>
      </c>
      <c r="E554" s="28">
        <f t="shared" si="61"/>
        <v>0</v>
      </c>
      <c r="F554" s="62">
        <v>0</v>
      </c>
      <c r="G554" s="62">
        <v>0</v>
      </c>
      <c r="H554" s="62">
        <v>0</v>
      </c>
      <c r="I554" s="62">
        <v>0</v>
      </c>
      <c r="J554" s="62">
        <v>0</v>
      </c>
      <c r="K554" s="62"/>
      <c r="L554" s="62"/>
      <c r="M554" s="62">
        <v>0</v>
      </c>
      <c r="N554" s="62">
        <v>0</v>
      </c>
      <c r="O554" s="62">
        <v>0</v>
      </c>
      <c r="P554" s="62">
        <v>13739587.039999999</v>
      </c>
      <c r="Q554" s="62">
        <v>0</v>
      </c>
      <c r="R554" s="62"/>
      <c r="S554" s="62"/>
      <c r="T554" s="151">
        <v>170848.99</v>
      </c>
      <c r="U554" s="305"/>
      <c r="V554" s="237">
        <f t="shared" si="58"/>
        <v>1</v>
      </c>
      <c r="W554" s="305"/>
      <c r="X554" s="305"/>
      <c r="Y554" s="305"/>
      <c r="Z554" s="305"/>
      <c r="AA554" s="305"/>
      <c r="AB554" s="305"/>
      <c r="AC554" s="305"/>
      <c r="AD554" s="305"/>
      <c r="AE554" s="305"/>
      <c r="AF554" s="305"/>
      <c r="AG554" s="305"/>
      <c r="AH554" s="305"/>
      <c r="AI554" s="305"/>
      <c r="AJ554" s="305"/>
      <c r="AK554" s="305"/>
      <c r="AL554" s="305"/>
      <c r="AM554" s="305"/>
      <c r="AN554" s="305"/>
      <c r="AO554" s="305"/>
      <c r="AP554" s="305"/>
      <c r="AQ554" s="305"/>
      <c r="AR554" s="305"/>
      <c r="AS554" s="305"/>
      <c r="AT554" s="305"/>
      <c r="AU554" s="305"/>
      <c r="AV554" s="305"/>
      <c r="AW554" s="305"/>
      <c r="AX554" s="305"/>
      <c r="AY554" s="305"/>
      <c r="AZ554" s="305"/>
      <c r="BA554" s="305"/>
      <c r="BB554" s="305"/>
      <c r="BC554" s="305"/>
      <c r="BD554" s="305"/>
      <c r="BE554" s="305"/>
      <c r="BF554" s="305"/>
      <c r="BG554" s="305"/>
      <c r="BH554" s="305"/>
      <c r="BI554" s="305"/>
      <c r="BJ554" s="305"/>
      <c r="BK554" s="305"/>
      <c r="BL554" s="305"/>
      <c r="BM554" s="305"/>
      <c r="BN554" s="305"/>
      <c r="BO554" s="305"/>
      <c r="BP554" s="305"/>
    </row>
    <row r="555" spans="1:68" hidden="1">
      <c r="A555" s="104">
        <f t="shared" si="59"/>
        <v>536</v>
      </c>
      <c r="B555" s="101">
        <f t="shared" si="60"/>
        <v>77</v>
      </c>
      <c r="C555" s="101" t="s">
        <v>185</v>
      </c>
      <c r="D555" s="101" t="s">
        <v>347</v>
      </c>
      <c r="E555" s="28">
        <f t="shared" si="61"/>
        <v>0</v>
      </c>
      <c r="F555" s="62"/>
      <c r="G555" s="62"/>
      <c r="H555" s="62"/>
      <c r="I555" s="62"/>
      <c r="J555" s="62"/>
      <c r="K555" s="62"/>
      <c r="L555" s="62"/>
      <c r="M555" s="62">
        <v>19804234.949999999</v>
      </c>
      <c r="N555" s="62"/>
      <c r="O555" s="62"/>
      <c r="P555" s="62"/>
      <c r="Q555" s="62"/>
      <c r="R555" s="62">
        <v>896920.5</v>
      </c>
      <c r="S555" s="62">
        <v>298973.5</v>
      </c>
      <c r="T555" s="151"/>
      <c r="V555" s="237">
        <f t="shared" si="58"/>
        <v>1</v>
      </c>
    </row>
    <row r="556" spans="1:68" hidden="1">
      <c r="A556" s="104">
        <f t="shared" si="59"/>
        <v>537</v>
      </c>
      <c r="B556" s="101">
        <f t="shared" si="60"/>
        <v>78</v>
      </c>
      <c r="C556" s="101" t="s">
        <v>185</v>
      </c>
      <c r="D556" s="101" t="s">
        <v>211</v>
      </c>
      <c r="E556" s="28">
        <f t="shared" si="61"/>
        <v>0</v>
      </c>
      <c r="F556" s="62"/>
      <c r="G556" s="62">
        <v>2013425.71</v>
      </c>
      <c r="H556" s="62"/>
      <c r="I556" s="62"/>
      <c r="J556" s="62"/>
      <c r="K556" s="62"/>
      <c r="L556" s="62"/>
      <c r="M556" s="62">
        <v>0</v>
      </c>
      <c r="N556" s="62"/>
      <c r="O556" s="62"/>
      <c r="P556" s="62"/>
      <c r="Q556" s="62"/>
      <c r="R556" s="62"/>
      <c r="S556" s="62"/>
      <c r="T556" s="151"/>
      <c r="U556" s="305"/>
      <c r="V556" s="237">
        <f t="shared" si="58"/>
        <v>1</v>
      </c>
      <c r="W556" s="305"/>
      <c r="X556" s="305"/>
      <c r="Y556" s="305"/>
      <c r="Z556" s="305"/>
      <c r="AA556" s="305"/>
      <c r="AB556" s="305"/>
      <c r="AC556" s="305"/>
      <c r="AD556" s="305"/>
      <c r="AE556" s="305"/>
      <c r="AF556" s="305"/>
      <c r="AG556" s="305"/>
      <c r="AH556" s="305"/>
      <c r="AI556" s="305"/>
      <c r="AJ556" s="305"/>
      <c r="AK556" s="305"/>
      <c r="AL556" s="305"/>
      <c r="AM556" s="305"/>
      <c r="AN556" s="305"/>
      <c r="AO556" s="305"/>
      <c r="AP556" s="305"/>
      <c r="AQ556" s="305"/>
      <c r="AR556" s="305"/>
      <c r="AS556" s="305"/>
      <c r="AT556" s="305"/>
      <c r="AU556" s="305"/>
      <c r="AV556" s="305"/>
      <c r="AW556" s="305"/>
      <c r="AX556" s="305"/>
      <c r="AY556" s="305"/>
      <c r="AZ556" s="305"/>
      <c r="BA556" s="305"/>
      <c r="BB556" s="305"/>
      <c r="BC556" s="305"/>
      <c r="BD556" s="305"/>
      <c r="BE556" s="305"/>
      <c r="BF556" s="305"/>
      <c r="BG556" s="305"/>
      <c r="BH556" s="305"/>
      <c r="BI556" s="305"/>
      <c r="BJ556" s="305"/>
      <c r="BK556" s="305"/>
      <c r="BL556" s="305"/>
      <c r="BM556" s="305"/>
      <c r="BN556" s="305"/>
      <c r="BO556" s="305"/>
      <c r="BP556" s="305"/>
    </row>
    <row r="557" spans="1:68" hidden="1">
      <c r="A557" s="104">
        <f t="shared" si="59"/>
        <v>538</v>
      </c>
      <c r="B557" s="101">
        <f t="shared" si="60"/>
        <v>79</v>
      </c>
      <c r="C557" s="101" t="s">
        <v>185</v>
      </c>
      <c r="D557" s="101" t="s">
        <v>353</v>
      </c>
      <c r="E557" s="28">
        <f t="shared" si="61"/>
        <v>0</v>
      </c>
      <c r="F557" s="62"/>
      <c r="G557" s="62">
        <v>2056177.15</v>
      </c>
      <c r="H557" s="62"/>
      <c r="I557" s="62">
        <v>1425204.86</v>
      </c>
      <c r="J557" s="62"/>
      <c r="K557" s="62"/>
      <c r="L557" s="62"/>
      <c r="M557" s="62">
        <v>0</v>
      </c>
      <c r="N557" s="62"/>
      <c r="O557" s="62">
        <v>0</v>
      </c>
      <c r="P557" s="62">
        <v>0</v>
      </c>
      <c r="Q557" s="62">
        <v>0</v>
      </c>
      <c r="R557" s="62"/>
      <c r="S557" s="62"/>
      <c r="T557" s="151">
        <v>27068.1</v>
      </c>
      <c r="U557" s="305"/>
      <c r="V557" s="237">
        <f t="shared" si="58"/>
        <v>2</v>
      </c>
      <c r="W557" s="305"/>
      <c r="X557" s="305"/>
      <c r="Y557" s="305"/>
      <c r="Z557" s="305"/>
      <c r="AA557" s="305"/>
      <c r="AB557" s="305"/>
      <c r="AC557" s="305"/>
      <c r="AD557" s="305"/>
      <c r="AE557" s="305"/>
      <c r="AF557" s="305"/>
      <c r="AG557" s="305"/>
      <c r="AH557" s="305"/>
      <c r="AI557" s="305"/>
      <c r="AJ557" s="305"/>
      <c r="AK557" s="305"/>
      <c r="AL557" s="305"/>
      <c r="AM557" s="305"/>
      <c r="AN557" s="305"/>
      <c r="AO557" s="305"/>
      <c r="AP557" s="305"/>
      <c r="AQ557" s="305"/>
      <c r="AR557" s="305"/>
      <c r="AS557" s="305"/>
      <c r="AT557" s="305"/>
      <c r="AU557" s="305"/>
      <c r="AV557" s="305"/>
      <c r="AW557" s="305"/>
      <c r="AX557" s="305"/>
      <c r="AY557" s="305"/>
      <c r="AZ557" s="305"/>
      <c r="BA557" s="305"/>
      <c r="BB557" s="305"/>
      <c r="BC557" s="305"/>
      <c r="BD557" s="305"/>
      <c r="BE557" s="305"/>
      <c r="BF557" s="305"/>
      <c r="BG557" s="305"/>
      <c r="BH557" s="305"/>
      <c r="BI557" s="305"/>
      <c r="BJ557" s="305"/>
      <c r="BK557" s="305"/>
      <c r="BL557" s="305"/>
      <c r="BM557" s="305"/>
      <c r="BN557" s="305"/>
      <c r="BO557" s="305"/>
      <c r="BP557" s="305"/>
    </row>
    <row r="558" spans="1:68" hidden="1">
      <c r="A558" s="104">
        <f t="shared" si="59"/>
        <v>539</v>
      </c>
      <c r="B558" s="101">
        <f t="shared" si="60"/>
        <v>80</v>
      </c>
      <c r="C558" s="101" t="s">
        <v>185</v>
      </c>
      <c r="D558" s="101" t="s">
        <v>223</v>
      </c>
      <c r="E558" s="28">
        <f t="shared" si="61"/>
        <v>0</v>
      </c>
      <c r="F558" s="62"/>
      <c r="G558" s="62">
        <v>1927090.91</v>
      </c>
      <c r="H558" s="62">
        <v>1334881.67</v>
      </c>
      <c r="I558" s="62">
        <v>1293803.53</v>
      </c>
      <c r="J558" s="62"/>
      <c r="K558" s="62"/>
      <c r="L558" s="62"/>
      <c r="M558" s="62">
        <v>0</v>
      </c>
      <c r="N558" s="62"/>
      <c r="O558" s="62">
        <v>0</v>
      </c>
      <c r="P558" s="62">
        <v>0</v>
      </c>
      <c r="Q558" s="62">
        <v>0</v>
      </c>
      <c r="R558" s="62"/>
      <c r="S558" s="62"/>
      <c r="T558" s="151"/>
      <c r="U558" s="305"/>
      <c r="V558" s="237">
        <f t="shared" si="58"/>
        <v>3</v>
      </c>
      <c r="W558" s="305"/>
      <c r="X558" s="305"/>
      <c r="Y558" s="305"/>
      <c r="Z558" s="305"/>
      <c r="AA558" s="305"/>
      <c r="AB558" s="305"/>
      <c r="AC558" s="305"/>
      <c r="AD558" s="305"/>
      <c r="AE558" s="305"/>
      <c r="AF558" s="305"/>
      <c r="AG558" s="305"/>
      <c r="AH558" s="305"/>
      <c r="AI558" s="305"/>
      <c r="AJ558" s="305"/>
      <c r="AK558" s="305"/>
      <c r="AL558" s="305"/>
      <c r="AM558" s="305"/>
      <c r="AN558" s="305"/>
      <c r="AO558" s="305"/>
      <c r="AP558" s="305"/>
      <c r="AQ558" s="305"/>
      <c r="AR558" s="305"/>
      <c r="AS558" s="305"/>
      <c r="AT558" s="305"/>
      <c r="AU558" s="305"/>
      <c r="AV558" s="305"/>
      <c r="AW558" s="305"/>
      <c r="AX558" s="305"/>
      <c r="AY558" s="305"/>
      <c r="AZ558" s="305"/>
      <c r="BA558" s="305"/>
      <c r="BB558" s="305"/>
      <c r="BC558" s="305"/>
      <c r="BD558" s="305"/>
      <c r="BE558" s="305"/>
      <c r="BF558" s="305"/>
      <c r="BG558" s="305"/>
      <c r="BH558" s="305"/>
      <c r="BI558" s="305"/>
      <c r="BJ558" s="305"/>
      <c r="BK558" s="305"/>
      <c r="BL558" s="305"/>
      <c r="BM558" s="305"/>
      <c r="BN558" s="305"/>
      <c r="BO558" s="305"/>
      <c r="BP558" s="305"/>
    </row>
    <row r="559" spans="1:68" hidden="1">
      <c r="A559" s="104">
        <f t="shared" si="59"/>
        <v>540</v>
      </c>
      <c r="B559" s="101">
        <f t="shared" si="60"/>
        <v>81</v>
      </c>
      <c r="C559" s="101" t="s">
        <v>185</v>
      </c>
      <c r="D559" s="101" t="s">
        <v>227</v>
      </c>
      <c r="E559" s="28">
        <f t="shared" si="61"/>
        <v>0</v>
      </c>
      <c r="F559" s="62"/>
      <c r="G559" s="62"/>
      <c r="H559" s="62">
        <v>1322147.47</v>
      </c>
      <c r="I559" s="62"/>
      <c r="J559" s="62">
        <v>0</v>
      </c>
      <c r="K559" s="62"/>
      <c r="L559" s="62"/>
      <c r="M559" s="62">
        <v>0</v>
      </c>
      <c r="N559" s="62">
        <v>13248477.460000001</v>
      </c>
      <c r="O559" s="62">
        <v>0</v>
      </c>
      <c r="P559" s="62"/>
      <c r="Q559" s="62">
        <v>0</v>
      </c>
      <c r="R559" s="62"/>
      <c r="S559" s="62"/>
      <c r="T559" s="151"/>
      <c r="V559" s="237">
        <f t="shared" si="58"/>
        <v>2</v>
      </c>
    </row>
    <row r="560" spans="1:68" hidden="1">
      <c r="A560" s="104">
        <f t="shared" si="59"/>
        <v>541</v>
      </c>
      <c r="B560" s="101">
        <f t="shared" si="60"/>
        <v>82</v>
      </c>
      <c r="C560" s="101" t="s">
        <v>185</v>
      </c>
      <c r="D560" s="101" t="s">
        <v>229</v>
      </c>
      <c r="E560" s="28">
        <f t="shared" si="61"/>
        <v>0</v>
      </c>
      <c r="F560" s="62"/>
      <c r="G560" s="62">
        <v>0</v>
      </c>
      <c r="H560" s="62">
        <v>2937200.2</v>
      </c>
      <c r="I560" s="62"/>
      <c r="J560" s="62">
        <v>0</v>
      </c>
      <c r="K560" s="62"/>
      <c r="L560" s="62"/>
      <c r="M560" s="62">
        <v>0</v>
      </c>
      <c r="N560" s="62"/>
      <c r="O560" s="62">
        <v>0</v>
      </c>
      <c r="P560" s="62"/>
      <c r="Q560" s="62">
        <v>0</v>
      </c>
      <c r="R560" s="62"/>
      <c r="S560" s="62"/>
      <c r="T560" s="151"/>
      <c r="U560" s="305"/>
      <c r="V560" s="237">
        <f t="shared" si="58"/>
        <v>1</v>
      </c>
      <c r="W560" s="305"/>
      <c r="X560" s="305"/>
      <c r="Y560" s="305"/>
      <c r="Z560" s="305"/>
      <c r="AA560" s="305"/>
      <c r="AB560" s="305"/>
      <c r="AC560" s="305"/>
      <c r="AD560" s="305"/>
      <c r="AE560" s="305"/>
      <c r="AF560" s="305"/>
      <c r="AG560" s="305"/>
      <c r="AH560" s="305"/>
      <c r="AI560" s="305"/>
      <c r="AJ560" s="305"/>
      <c r="AK560" s="305"/>
      <c r="AL560" s="305"/>
      <c r="AM560" s="305"/>
      <c r="AN560" s="305"/>
      <c r="AO560" s="305"/>
      <c r="AP560" s="305"/>
      <c r="AQ560" s="305"/>
      <c r="AR560" s="305"/>
      <c r="AS560" s="305"/>
      <c r="AT560" s="305"/>
      <c r="AU560" s="305"/>
      <c r="AV560" s="305"/>
      <c r="AW560" s="305"/>
      <c r="AX560" s="305"/>
      <c r="AY560" s="305"/>
      <c r="AZ560" s="305"/>
      <c r="BA560" s="305"/>
      <c r="BB560" s="305"/>
      <c r="BC560" s="305"/>
      <c r="BD560" s="305"/>
      <c r="BE560" s="305"/>
      <c r="BF560" s="305"/>
      <c r="BG560" s="305"/>
      <c r="BH560" s="305"/>
      <c r="BI560" s="305"/>
      <c r="BJ560" s="305"/>
      <c r="BK560" s="305"/>
      <c r="BL560" s="305"/>
      <c r="BM560" s="305"/>
      <c r="BN560" s="305"/>
      <c r="BO560" s="305"/>
      <c r="BP560" s="305"/>
    </row>
    <row r="561" spans="1:68" hidden="1">
      <c r="A561" s="104">
        <f t="shared" si="59"/>
        <v>542</v>
      </c>
      <c r="B561" s="101">
        <f t="shared" si="60"/>
        <v>83</v>
      </c>
      <c r="C561" s="101" t="s">
        <v>185</v>
      </c>
      <c r="D561" s="101" t="s">
        <v>231</v>
      </c>
      <c r="E561" s="28">
        <f t="shared" si="61"/>
        <v>0</v>
      </c>
      <c r="F561" s="62"/>
      <c r="G561" s="62">
        <v>0</v>
      </c>
      <c r="H561" s="62">
        <v>2182131.94</v>
      </c>
      <c r="I561" s="62"/>
      <c r="J561" s="62"/>
      <c r="K561" s="62"/>
      <c r="L561" s="62"/>
      <c r="M561" s="62">
        <v>0</v>
      </c>
      <c r="N561" s="62"/>
      <c r="O561" s="62">
        <v>0</v>
      </c>
      <c r="P561" s="62"/>
      <c r="Q561" s="62">
        <v>0</v>
      </c>
      <c r="R561" s="62"/>
      <c r="S561" s="62"/>
      <c r="T561" s="151"/>
      <c r="U561" s="305"/>
      <c r="V561" s="237">
        <f t="shared" si="58"/>
        <v>1</v>
      </c>
      <c r="W561" s="305"/>
      <c r="X561" s="305"/>
      <c r="Y561" s="305"/>
      <c r="Z561" s="305"/>
      <c r="AA561" s="305"/>
      <c r="AB561" s="305"/>
      <c r="AC561" s="305"/>
      <c r="AD561" s="305"/>
      <c r="AE561" s="305"/>
      <c r="AF561" s="305"/>
      <c r="AG561" s="305"/>
      <c r="AH561" s="305"/>
      <c r="AI561" s="305"/>
      <c r="AJ561" s="305"/>
      <c r="AK561" s="305"/>
      <c r="AL561" s="305"/>
      <c r="AM561" s="305"/>
      <c r="AN561" s="305"/>
      <c r="AO561" s="305"/>
      <c r="AP561" s="305"/>
      <c r="AQ561" s="305"/>
      <c r="AR561" s="305"/>
      <c r="AS561" s="305"/>
      <c r="AT561" s="305"/>
      <c r="AU561" s="305"/>
      <c r="AV561" s="305"/>
      <c r="AW561" s="305"/>
      <c r="AX561" s="305"/>
      <c r="AY561" s="305"/>
      <c r="AZ561" s="305"/>
      <c r="BA561" s="305"/>
      <c r="BB561" s="305"/>
      <c r="BC561" s="305"/>
      <c r="BD561" s="305"/>
      <c r="BE561" s="305"/>
      <c r="BF561" s="305"/>
      <c r="BG561" s="305"/>
      <c r="BH561" s="305"/>
      <c r="BI561" s="305"/>
      <c r="BJ561" s="305"/>
      <c r="BK561" s="305"/>
      <c r="BL561" s="305"/>
      <c r="BM561" s="305"/>
      <c r="BN561" s="305"/>
      <c r="BO561" s="305"/>
      <c r="BP561" s="305"/>
    </row>
    <row r="562" spans="1:68" hidden="1">
      <c r="A562" s="104">
        <f t="shared" si="59"/>
        <v>543</v>
      </c>
      <c r="B562" s="101">
        <f t="shared" si="60"/>
        <v>84</v>
      </c>
      <c r="C562" s="101" t="s">
        <v>185</v>
      </c>
      <c r="D562" s="101" t="s">
        <v>362</v>
      </c>
      <c r="E562" s="28">
        <f t="shared" si="61"/>
        <v>0</v>
      </c>
      <c r="F562" s="62">
        <v>0</v>
      </c>
      <c r="G562" s="62">
        <v>0</v>
      </c>
      <c r="H562" s="62">
        <v>0</v>
      </c>
      <c r="I562" s="62">
        <v>1300691.74</v>
      </c>
      <c r="J562" s="62">
        <v>0</v>
      </c>
      <c r="K562" s="62"/>
      <c r="L562" s="62">
        <v>0</v>
      </c>
      <c r="M562" s="62"/>
      <c r="N562" s="62"/>
      <c r="O562" s="62">
        <v>0</v>
      </c>
      <c r="P562" s="62"/>
      <c r="Q562" s="62">
        <v>3403846.79</v>
      </c>
      <c r="R562" s="62"/>
      <c r="S562" s="62"/>
      <c r="T562" s="151"/>
      <c r="U562" s="305"/>
      <c r="V562" s="237">
        <f t="shared" si="58"/>
        <v>2</v>
      </c>
      <c r="W562" s="305"/>
      <c r="X562" s="305"/>
      <c r="Y562" s="305"/>
      <c r="Z562" s="305"/>
      <c r="AA562" s="305"/>
      <c r="AB562" s="305"/>
      <c r="AC562" s="305"/>
      <c r="AD562" s="305"/>
      <c r="AE562" s="305"/>
      <c r="AF562" s="305"/>
      <c r="AG562" s="305"/>
      <c r="AH562" s="305"/>
      <c r="AI562" s="305"/>
      <c r="AJ562" s="305"/>
      <c r="AK562" s="305"/>
      <c r="AL562" s="305"/>
      <c r="AM562" s="305"/>
      <c r="AN562" s="305"/>
      <c r="AO562" s="305"/>
      <c r="AP562" s="305"/>
      <c r="AQ562" s="305"/>
      <c r="AR562" s="305"/>
      <c r="AS562" s="305"/>
      <c r="AT562" s="305"/>
      <c r="AU562" s="305"/>
      <c r="AV562" s="305"/>
      <c r="AW562" s="305"/>
      <c r="AX562" s="305"/>
      <c r="AY562" s="305"/>
      <c r="AZ562" s="305"/>
      <c r="BA562" s="305"/>
      <c r="BB562" s="305"/>
      <c r="BC562" s="305"/>
      <c r="BD562" s="305"/>
      <c r="BE562" s="305"/>
      <c r="BF562" s="305"/>
      <c r="BG562" s="305"/>
      <c r="BH562" s="305"/>
      <c r="BI562" s="305"/>
      <c r="BJ562" s="305"/>
      <c r="BK562" s="305"/>
      <c r="BL562" s="305"/>
      <c r="BM562" s="305"/>
      <c r="BN562" s="305"/>
      <c r="BO562" s="305"/>
      <c r="BP562" s="305"/>
    </row>
    <row r="563" spans="1:68" hidden="1">
      <c r="A563" s="104">
        <f t="shared" ref="A563:A594" si="62">A562+1</f>
        <v>544</v>
      </c>
      <c r="B563" s="101" t="s">
        <v>96</v>
      </c>
      <c r="C563" s="101" t="s">
        <v>185</v>
      </c>
      <c r="D563" s="101" t="s">
        <v>364</v>
      </c>
      <c r="E563" s="306">
        <f t="shared" si="61"/>
        <v>0</v>
      </c>
      <c r="F563" s="62">
        <v>0</v>
      </c>
      <c r="G563" s="62">
        <v>0</v>
      </c>
      <c r="H563" s="62">
        <v>0</v>
      </c>
      <c r="I563" s="62">
        <v>0</v>
      </c>
      <c r="J563" s="62">
        <v>0</v>
      </c>
      <c r="K563" s="62"/>
      <c r="L563" s="62"/>
      <c r="M563" s="62">
        <v>0</v>
      </c>
      <c r="N563" s="62">
        <v>0</v>
      </c>
      <c r="O563" s="62">
        <v>0</v>
      </c>
      <c r="P563" s="62">
        <v>1251767.93</v>
      </c>
      <c r="Q563" s="62">
        <v>0</v>
      </c>
      <c r="R563" s="62"/>
      <c r="S563" s="62"/>
      <c r="T563" s="151"/>
      <c r="V563" s="237">
        <f t="shared" si="58"/>
        <v>1</v>
      </c>
    </row>
    <row r="564" spans="1:68" hidden="1">
      <c r="A564" s="104">
        <f t="shared" si="62"/>
        <v>545</v>
      </c>
      <c r="B564" s="101">
        <f>B562+1</f>
        <v>85</v>
      </c>
      <c r="C564" s="101" t="s">
        <v>185</v>
      </c>
      <c r="D564" s="101" t="s">
        <v>236</v>
      </c>
      <c r="E564" s="28">
        <f t="shared" si="61"/>
        <v>0</v>
      </c>
      <c r="F564" s="62"/>
      <c r="G564" s="62">
        <v>0</v>
      </c>
      <c r="H564" s="62">
        <v>0</v>
      </c>
      <c r="I564" s="62">
        <v>0</v>
      </c>
      <c r="J564" s="62"/>
      <c r="K564" s="62"/>
      <c r="L564" s="62"/>
      <c r="M564" s="62">
        <v>0</v>
      </c>
      <c r="N564" s="62">
        <v>15371677.140000001</v>
      </c>
      <c r="O564" s="62">
        <v>0</v>
      </c>
      <c r="P564" s="62">
        <v>0</v>
      </c>
      <c r="Q564" s="62">
        <v>8239949.0899999999</v>
      </c>
      <c r="R564" s="62"/>
      <c r="S564" s="62"/>
      <c r="T564" s="151"/>
      <c r="V564" s="237">
        <f t="shared" si="58"/>
        <v>2</v>
      </c>
    </row>
    <row r="565" spans="1:68" hidden="1">
      <c r="A565" s="104">
        <f t="shared" si="62"/>
        <v>546</v>
      </c>
      <c r="B565" s="101">
        <f t="shared" ref="B565:B596" si="63">B564+1</f>
        <v>86</v>
      </c>
      <c r="C565" s="101" t="s">
        <v>185</v>
      </c>
      <c r="D565" s="101" t="s">
        <v>369</v>
      </c>
      <c r="E565" s="28">
        <f t="shared" si="61"/>
        <v>0</v>
      </c>
      <c r="F565" s="62"/>
      <c r="G565" s="62"/>
      <c r="H565" s="62"/>
      <c r="I565" s="62">
        <v>2358235.9700000002</v>
      </c>
      <c r="J565" s="62"/>
      <c r="K565" s="62"/>
      <c r="L565" s="62"/>
      <c r="M565" s="62">
        <v>0</v>
      </c>
      <c r="N565" s="62"/>
      <c r="O565" s="62">
        <v>0</v>
      </c>
      <c r="P565" s="62">
        <v>0</v>
      </c>
      <c r="Q565" s="62">
        <v>0</v>
      </c>
      <c r="R565" s="62"/>
      <c r="S565" s="62"/>
      <c r="T565" s="151"/>
      <c r="V565" s="237">
        <f t="shared" si="58"/>
        <v>1</v>
      </c>
    </row>
    <row r="566" spans="1:68" hidden="1">
      <c r="A566" s="104">
        <f t="shared" si="62"/>
        <v>547</v>
      </c>
      <c r="B566" s="101">
        <f t="shared" si="63"/>
        <v>87</v>
      </c>
      <c r="C566" s="101" t="s">
        <v>185</v>
      </c>
      <c r="D566" s="101" t="s">
        <v>372</v>
      </c>
      <c r="E566" s="28">
        <f t="shared" si="61"/>
        <v>0</v>
      </c>
      <c r="F566" s="62"/>
      <c r="G566" s="62"/>
      <c r="H566" s="62">
        <v>1525309.8</v>
      </c>
      <c r="I566" s="62">
        <v>978506.55</v>
      </c>
      <c r="J566" s="62"/>
      <c r="K566" s="62"/>
      <c r="L566" s="62"/>
      <c r="M566" s="62"/>
      <c r="N566" s="62"/>
      <c r="O566" s="62"/>
      <c r="P566" s="62">
        <v>16575676.34</v>
      </c>
      <c r="Q566" s="62">
        <v>7954091.25</v>
      </c>
      <c r="R566" s="62"/>
      <c r="S566" s="62"/>
      <c r="T566" s="151"/>
      <c r="V566" s="237">
        <f t="shared" si="58"/>
        <v>4</v>
      </c>
    </row>
    <row r="567" spans="1:68" hidden="1">
      <c r="A567" s="104">
        <f t="shared" si="62"/>
        <v>548</v>
      </c>
      <c r="B567" s="101">
        <f t="shared" si="63"/>
        <v>88</v>
      </c>
      <c r="C567" s="101" t="s">
        <v>185</v>
      </c>
      <c r="D567" s="101" t="s">
        <v>376</v>
      </c>
      <c r="E567" s="28">
        <f t="shared" si="61"/>
        <v>0</v>
      </c>
      <c r="F567" s="62">
        <v>0</v>
      </c>
      <c r="G567" s="62">
        <v>0</v>
      </c>
      <c r="H567" s="62">
        <v>0</v>
      </c>
      <c r="I567" s="62">
        <v>0</v>
      </c>
      <c r="J567" s="62">
        <v>1841732.95</v>
      </c>
      <c r="K567" s="62"/>
      <c r="L567" s="62"/>
      <c r="M567" s="62">
        <v>0</v>
      </c>
      <c r="N567" s="62">
        <v>0</v>
      </c>
      <c r="O567" s="62">
        <v>0</v>
      </c>
      <c r="P567" s="62">
        <v>0</v>
      </c>
      <c r="Q567" s="62">
        <v>0</v>
      </c>
      <c r="R567" s="62"/>
      <c r="S567" s="62"/>
      <c r="T567" s="151"/>
      <c r="V567" s="237">
        <f t="shared" si="58"/>
        <v>1</v>
      </c>
    </row>
    <row r="568" spans="1:68" hidden="1">
      <c r="A568" s="104">
        <f t="shared" si="62"/>
        <v>549</v>
      </c>
      <c r="B568" s="101">
        <f t="shared" si="63"/>
        <v>89</v>
      </c>
      <c r="C568" s="101" t="s">
        <v>185</v>
      </c>
      <c r="D568" s="101" t="s">
        <v>378</v>
      </c>
      <c r="E568" s="28">
        <f t="shared" si="61"/>
        <v>0</v>
      </c>
      <c r="F568" s="62">
        <v>0</v>
      </c>
      <c r="G568" s="62">
        <v>0</v>
      </c>
      <c r="H568" s="62">
        <v>0</v>
      </c>
      <c r="I568" s="62">
        <v>0</v>
      </c>
      <c r="J568" s="62"/>
      <c r="K568" s="62"/>
      <c r="L568" s="62"/>
      <c r="M568" s="62"/>
      <c r="N568" s="62"/>
      <c r="O568" s="62"/>
      <c r="P568" s="62"/>
      <c r="Q568" s="62">
        <v>8368081.3099999996</v>
      </c>
      <c r="R568" s="62"/>
      <c r="S568" s="62"/>
      <c r="T568" s="151"/>
      <c r="V568" s="237">
        <f t="shared" si="58"/>
        <v>1</v>
      </c>
    </row>
    <row r="569" spans="1:68" hidden="1">
      <c r="A569" s="104">
        <f t="shared" si="62"/>
        <v>550</v>
      </c>
      <c r="B569" s="101">
        <f t="shared" si="63"/>
        <v>90</v>
      </c>
      <c r="C569" s="101" t="s">
        <v>185</v>
      </c>
      <c r="D569" s="101" t="s">
        <v>380</v>
      </c>
      <c r="E569" s="28">
        <f t="shared" si="61"/>
        <v>0</v>
      </c>
      <c r="F569" s="62"/>
      <c r="G569" s="62"/>
      <c r="H569" s="62"/>
      <c r="I569" s="62"/>
      <c r="J569" s="62"/>
      <c r="K569" s="62"/>
      <c r="L569" s="62"/>
      <c r="M569" s="62">
        <v>0</v>
      </c>
      <c r="N569" s="62"/>
      <c r="O569" s="62">
        <v>0</v>
      </c>
      <c r="P569" s="62">
        <v>9428594.1300000008</v>
      </c>
      <c r="Q569" s="62"/>
      <c r="R569" s="62"/>
      <c r="S569" s="62"/>
      <c r="T569" s="151"/>
      <c r="V569" s="237">
        <f t="shared" si="58"/>
        <v>1</v>
      </c>
    </row>
    <row r="570" spans="1:68" hidden="1">
      <c r="A570" s="104">
        <f t="shared" si="62"/>
        <v>551</v>
      </c>
      <c r="B570" s="101">
        <f t="shared" si="63"/>
        <v>91</v>
      </c>
      <c r="C570" s="101" t="s">
        <v>185</v>
      </c>
      <c r="D570" s="101" t="s">
        <v>384</v>
      </c>
      <c r="E570" s="28">
        <f t="shared" si="61"/>
        <v>0</v>
      </c>
      <c r="F570" s="62">
        <v>0</v>
      </c>
      <c r="G570" s="62">
        <v>0</v>
      </c>
      <c r="H570" s="62">
        <v>0</v>
      </c>
      <c r="I570" s="62">
        <v>0</v>
      </c>
      <c r="J570" s="62">
        <v>1488237.82</v>
      </c>
      <c r="K570" s="62"/>
      <c r="L570" s="62"/>
      <c r="M570" s="62">
        <v>0</v>
      </c>
      <c r="N570" s="62">
        <v>0</v>
      </c>
      <c r="O570" s="62">
        <v>0</v>
      </c>
      <c r="P570" s="62">
        <v>0</v>
      </c>
      <c r="Q570" s="62">
        <v>0</v>
      </c>
      <c r="R570" s="62"/>
      <c r="S570" s="62"/>
      <c r="T570" s="151"/>
      <c r="V570" s="237">
        <f t="shared" si="58"/>
        <v>1</v>
      </c>
    </row>
    <row r="571" spans="1:68" hidden="1">
      <c r="A571" s="104">
        <f t="shared" si="62"/>
        <v>552</v>
      </c>
      <c r="B571" s="101">
        <f t="shared" si="63"/>
        <v>92</v>
      </c>
      <c r="C571" s="101" t="s">
        <v>185</v>
      </c>
      <c r="D571" s="101" t="s">
        <v>386</v>
      </c>
      <c r="E571" s="28">
        <f t="shared" si="61"/>
        <v>0</v>
      </c>
      <c r="F571" s="62">
        <v>2839949</v>
      </c>
      <c r="G571" s="62"/>
      <c r="H571" s="62">
        <v>0</v>
      </c>
      <c r="I571" s="62">
        <v>0</v>
      </c>
      <c r="J571" s="62"/>
      <c r="K571" s="62"/>
      <c r="L571" s="62"/>
      <c r="M571" s="62">
        <v>0</v>
      </c>
      <c r="N571" s="62">
        <v>0</v>
      </c>
      <c r="O571" s="62">
        <v>0</v>
      </c>
      <c r="P571" s="62">
        <v>0</v>
      </c>
      <c r="Q571" s="62">
        <v>0</v>
      </c>
      <c r="R571" s="62"/>
      <c r="S571" s="62"/>
      <c r="T571" s="151"/>
      <c r="V571" s="237">
        <f t="shared" si="58"/>
        <v>1</v>
      </c>
    </row>
    <row r="572" spans="1:68" hidden="1">
      <c r="A572" s="104">
        <f t="shared" si="62"/>
        <v>553</v>
      </c>
      <c r="B572" s="101">
        <f t="shared" si="63"/>
        <v>93</v>
      </c>
      <c r="C572" s="101" t="s">
        <v>185</v>
      </c>
      <c r="D572" s="101" t="s">
        <v>387</v>
      </c>
      <c r="E572" s="28">
        <f t="shared" si="61"/>
        <v>0</v>
      </c>
      <c r="F572" s="62">
        <v>7206473.96</v>
      </c>
      <c r="G572" s="62">
        <v>2577139.2000000002</v>
      </c>
      <c r="H572" s="62"/>
      <c r="I572" s="62">
        <v>2246916.12</v>
      </c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151"/>
      <c r="V572" s="237">
        <f t="shared" si="58"/>
        <v>3</v>
      </c>
    </row>
    <row r="573" spans="1:68" hidden="1">
      <c r="A573" s="104">
        <f t="shared" si="62"/>
        <v>554</v>
      </c>
      <c r="B573" s="101">
        <f t="shared" si="63"/>
        <v>94</v>
      </c>
      <c r="C573" s="101" t="s">
        <v>185</v>
      </c>
      <c r="D573" s="101" t="s">
        <v>240</v>
      </c>
      <c r="E573" s="28">
        <f t="shared" si="61"/>
        <v>0</v>
      </c>
      <c r="F573" s="62">
        <v>7249912.5099999998</v>
      </c>
      <c r="G573" s="62">
        <v>0</v>
      </c>
      <c r="H573" s="62">
        <v>0</v>
      </c>
      <c r="I573" s="62">
        <v>0</v>
      </c>
      <c r="J573" s="62">
        <v>0</v>
      </c>
      <c r="K573" s="62"/>
      <c r="L573" s="62"/>
      <c r="M573" s="62">
        <v>0</v>
      </c>
      <c r="N573" s="62">
        <v>0</v>
      </c>
      <c r="O573" s="62">
        <v>0</v>
      </c>
      <c r="P573" s="62">
        <v>0</v>
      </c>
      <c r="Q573" s="62">
        <v>0</v>
      </c>
      <c r="R573" s="62"/>
      <c r="S573" s="62"/>
      <c r="T573" s="151"/>
      <c r="V573" s="237">
        <f t="shared" si="58"/>
        <v>1</v>
      </c>
    </row>
    <row r="574" spans="1:68" hidden="1">
      <c r="A574" s="104">
        <f t="shared" si="62"/>
        <v>555</v>
      </c>
      <c r="B574" s="101">
        <f t="shared" si="63"/>
        <v>95</v>
      </c>
      <c r="C574" s="101" t="s">
        <v>185</v>
      </c>
      <c r="D574" s="101" t="s">
        <v>251</v>
      </c>
      <c r="E574" s="28">
        <f t="shared" si="61"/>
        <v>0</v>
      </c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>
        <v>18254524.75</v>
      </c>
      <c r="Q574" s="62">
        <v>0</v>
      </c>
      <c r="R574" s="62"/>
      <c r="S574" s="62"/>
      <c r="T574" s="151"/>
      <c r="V574" s="237">
        <f t="shared" si="58"/>
        <v>1</v>
      </c>
    </row>
    <row r="575" spans="1:68" hidden="1">
      <c r="A575" s="104">
        <f t="shared" si="62"/>
        <v>556</v>
      </c>
      <c r="B575" s="101">
        <f t="shared" si="63"/>
        <v>96</v>
      </c>
      <c r="C575" s="101" t="s">
        <v>185</v>
      </c>
      <c r="D575" s="101" t="s">
        <v>391</v>
      </c>
      <c r="E575" s="28">
        <f t="shared" si="61"/>
        <v>0</v>
      </c>
      <c r="F575" s="62">
        <v>0</v>
      </c>
      <c r="G575" s="62"/>
      <c r="H575" s="62">
        <v>3758914.15</v>
      </c>
      <c r="I575" s="62"/>
      <c r="J575" s="62"/>
      <c r="K575" s="62"/>
      <c r="L575" s="62"/>
      <c r="M575" s="62">
        <v>0</v>
      </c>
      <c r="N575" s="62">
        <v>0</v>
      </c>
      <c r="O575" s="62">
        <v>0</v>
      </c>
      <c r="P575" s="62"/>
      <c r="Q575" s="62">
        <v>0</v>
      </c>
      <c r="R575" s="62"/>
      <c r="S575" s="62"/>
      <c r="T575" s="151"/>
      <c r="V575" s="237">
        <f t="shared" si="58"/>
        <v>1</v>
      </c>
    </row>
    <row r="576" spans="1:68" hidden="1">
      <c r="A576" s="104">
        <f t="shared" si="62"/>
        <v>557</v>
      </c>
      <c r="B576" s="101">
        <f t="shared" si="63"/>
        <v>97</v>
      </c>
      <c r="C576" s="101" t="s">
        <v>185</v>
      </c>
      <c r="D576" s="101" t="s">
        <v>394</v>
      </c>
      <c r="E576" s="28">
        <f t="shared" si="61"/>
        <v>0</v>
      </c>
      <c r="F576" s="62"/>
      <c r="G576" s="62"/>
      <c r="H576" s="62"/>
      <c r="I576" s="62"/>
      <c r="J576" s="62"/>
      <c r="K576" s="62"/>
      <c r="L576" s="62"/>
      <c r="M576" s="62">
        <v>8487529.4399999995</v>
      </c>
      <c r="N576" s="62"/>
      <c r="O576" s="62"/>
      <c r="P576" s="62"/>
      <c r="Q576" s="62"/>
      <c r="R576" s="62">
        <v>384394.5</v>
      </c>
      <c r="S576" s="62">
        <v>128131.5</v>
      </c>
      <c r="T576" s="151"/>
      <c r="V576" s="237">
        <f t="shared" si="58"/>
        <v>1</v>
      </c>
    </row>
    <row r="577" spans="1:68" hidden="1">
      <c r="A577" s="104">
        <f t="shared" si="62"/>
        <v>558</v>
      </c>
      <c r="B577" s="101">
        <f t="shared" si="63"/>
        <v>98</v>
      </c>
      <c r="C577" s="101" t="s">
        <v>185</v>
      </c>
      <c r="D577" s="101" t="s">
        <v>395</v>
      </c>
      <c r="E577" s="28">
        <f t="shared" si="61"/>
        <v>0</v>
      </c>
      <c r="F577" s="62">
        <v>0</v>
      </c>
      <c r="G577" s="62">
        <v>0</v>
      </c>
      <c r="H577" s="62">
        <v>3927657.8</v>
      </c>
      <c r="I577" s="62">
        <v>0</v>
      </c>
      <c r="J577" s="62">
        <v>0</v>
      </c>
      <c r="K577" s="62"/>
      <c r="L577" s="62"/>
      <c r="M577" s="62">
        <v>0</v>
      </c>
      <c r="N577" s="62">
        <v>0</v>
      </c>
      <c r="O577" s="62">
        <v>0</v>
      </c>
      <c r="P577" s="62"/>
      <c r="Q577" s="62">
        <v>0</v>
      </c>
      <c r="R577" s="62"/>
      <c r="S577" s="62"/>
      <c r="T577" s="151"/>
      <c r="U577" s="305"/>
      <c r="V577" s="237">
        <f t="shared" si="58"/>
        <v>1</v>
      </c>
      <c r="W577" s="305"/>
      <c r="X577" s="305"/>
      <c r="Y577" s="305"/>
      <c r="Z577" s="305"/>
      <c r="AA577" s="305"/>
      <c r="AB577" s="305"/>
      <c r="AC577" s="305"/>
      <c r="AD577" s="305"/>
      <c r="AE577" s="305"/>
      <c r="AF577" s="305"/>
      <c r="AG577" s="305"/>
      <c r="AH577" s="305"/>
      <c r="AI577" s="305"/>
      <c r="AJ577" s="305"/>
      <c r="AK577" s="305"/>
      <c r="AL577" s="305"/>
      <c r="AM577" s="305"/>
      <c r="AN577" s="305"/>
      <c r="AO577" s="305"/>
      <c r="AP577" s="305"/>
      <c r="AQ577" s="305"/>
      <c r="AR577" s="305"/>
      <c r="AS577" s="305"/>
      <c r="AT577" s="305"/>
      <c r="AU577" s="305"/>
      <c r="AV577" s="305"/>
      <c r="AW577" s="305"/>
      <c r="AX577" s="305"/>
      <c r="AY577" s="305"/>
      <c r="AZ577" s="305"/>
      <c r="BA577" s="305"/>
      <c r="BB577" s="305"/>
      <c r="BC577" s="305"/>
      <c r="BD577" s="305"/>
      <c r="BE577" s="305"/>
      <c r="BF577" s="305"/>
      <c r="BG577" s="305"/>
      <c r="BH577" s="305"/>
      <c r="BI577" s="305"/>
      <c r="BJ577" s="305"/>
      <c r="BK577" s="305"/>
      <c r="BL577" s="305"/>
      <c r="BM577" s="305"/>
      <c r="BN577" s="305"/>
      <c r="BO577" s="305"/>
      <c r="BP577" s="305"/>
    </row>
    <row r="578" spans="1:68" hidden="1">
      <c r="A578" s="104">
        <f t="shared" si="62"/>
        <v>559</v>
      </c>
      <c r="B578" s="101">
        <f t="shared" si="63"/>
        <v>99</v>
      </c>
      <c r="C578" s="101" t="s">
        <v>185</v>
      </c>
      <c r="D578" s="101" t="s">
        <v>396</v>
      </c>
      <c r="E578" s="28">
        <f t="shared" si="61"/>
        <v>0</v>
      </c>
      <c r="F578" s="62">
        <v>0</v>
      </c>
      <c r="G578" s="62">
        <v>1326516.44</v>
      </c>
      <c r="H578" s="62">
        <v>0</v>
      </c>
      <c r="I578" s="62">
        <v>784078.63</v>
      </c>
      <c r="J578" s="62"/>
      <c r="K578" s="62"/>
      <c r="L578" s="62"/>
      <c r="M578" s="62">
        <v>0</v>
      </c>
      <c r="N578" s="62">
        <v>0</v>
      </c>
      <c r="O578" s="62">
        <v>0</v>
      </c>
      <c r="P578" s="62">
        <v>0</v>
      </c>
      <c r="Q578" s="62">
        <v>0</v>
      </c>
      <c r="R578" s="62"/>
      <c r="S578" s="62"/>
      <c r="T578" s="151"/>
      <c r="V578" s="237">
        <f t="shared" si="58"/>
        <v>2</v>
      </c>
    </row>
    <row r="579" spans="1:68" hidden="1">
      <c r="A579" s="104">
        <f t="shared" si="62"/>
        <v>560</v>
      </c>
      <c r="B579" s="101">
        <f t="shared" si="63"/>
        <v>100</v>
      </c>
      <c r="C579" s="101" t="s">
        <v>185</v>
      </c>
      <c r="D579" s="101" t="s">
        <v>268</v>
      </c>
      <c r="E579" s="28">
        <f t="shared" si="61"/>
        <v>0</v>
      </c>
      <c r="F579" s="62">
        <v>0</v>
      </c>
      <c r="G579" s="62">
        <v>0</v>
      </c>
      <c r="H579" s="62">
        <v>3589996.38</v>
      </c>
      <c r="I579" s="62">
        <v>0</v>
      </c>
      <c r="J579" s="62"/>
      <c r="K579" s="62"/>
      <c r="L579" s="62"/>
      <c r="M579" s="62">
        <v>0</v>
      </c>
      <c r="N579" s="62">
        <v>0</v>
      </c>
      <c r="O579" s="62">
        <v>0</v>
      </c>
      <c r="P579" s="62">
        <v>0</v>
      </c>
      <c r="Q579" s="62">
        <v>0</v>
      </c>
      <c r="R579" s="62"/>
      <c r="S579" s="62"/>
      <c r="T579" s="151"/>
      <c r="U579" s="305"/>
      <c r="V579" s="237">
        <f t="shared" si="58"/>
        <v>1</v>
      </c>
      <c r="W579" s="305"/>
      <c r="X579" s="305"/>
      <c r="Y579" s="305"/>
      <c r="Z579" s="305"/>
      <c r="AA579" s="305"/>
      <c r="AB579" s="305"/>
      <c r="AC579" s="305"/>
      <c r="AD579" s="305"/>
      <c r="AE579" s="305"/>
      <c r="AF579" s="305"/>
      <c r="AG579" s="305"/>
      <c r="AH579" s="305"/>
      <c r="AI579" s="305"/>
      <c r="AJ579" s="305"/>
      <c r="AK579" s="305"/>
      <c r="AL579" s="305"/>
      <c r="AM579" s="305"/>
      <c r="AN579" s="305"/>
      <c r="AO579" s="305"/>
      <c r="AP579" s="305"/>
      <c r="AQ579" s="305"/>
      <c r="AR579" s="305"/>
      <c r="AS579" s="305"/>
      <c r="AT579" s="305"/>
      <c r="AU579" s="305"/>
      <c r="AV579" s="305"/>
      <c r="AW579" s="305"/>
      <c r="AX579" s="305"/>
      <c r="AY579" s="305"/>
      <c r="AZ579" s="305"/>
      <c r="BA579" s="305"/>
      <c r="BB579" s="305"/>
      <c r="BC579" s="305"/>
      <c r="BD579" s="305"/>
      <c r="BE579" s="305"/>
      <c r="BF579" s="305"/>
      <c r="BG579" s="305"/>
      <c r="BH579" s="305"/>
      <c r="BI579" s="305"/>
      <c r="BJ579" s="305"/>
      <c r="BK579" s="305"/>
      <c r="BL579" s="305"/>
      <c r="BM579" s="305"/>
      <c r="BN579" s="305"/>
      <c r="BO579" s="305"/>
      <c r="BP579" s="305"/>
    </row>
    <row r="580" spans="1:68" hidden="1">
      <c r="A580" s="104">
        <f t="shared" si="62"/>
        <v>561</v>
      </c>
      <c r="B580" s="101">
        <f t="shared" si="63"/>
        <v>101</v>
      </c>
      <c r="C580" s="101" t="s">
        <v>185</v>
      </c>
      <c r="D580" s="101" t="s">
        <v>401</v>
      </c>
      <c r="E580" s="28">
        <f t="shared" si="61"/>
        <v>0</v>
      </c>
      <c r="F580" s="62"/>
      <c r="G580" s="62">
        <v>2313900</v>
      </c>
      <c r="H580" s="62"/>
      <c r="I580" s="62"/>
      <c r="J580" s="62"/>
      <c r="K580" s="62"/>
      <c r="L580" s="62"/>
      <c r="M580" s="62"/>
      <c r="N580" s="62"/>
      <c r="O580" s="62"/>
      <c r="P580" s="62">
        <v>13156361.279999999</v>
      </c>
      <c r="Q580" s="62"/>
      <c r="R580" s="62"/>
      <c r="S580" s="62"/>
      <c r="T580" s="151"/>
      <c r="U580" s="305"/>
      <c r="V580" s="237">
        <f t="shared" si="58"/>
        <v>2</v>
      </c>
      <c r="W580" s="305"/>
      <c r="X580" s="305"/>
      <c r="Y580" s="305"/>
      <c r="Z580" s="305"/>
      <c r="AA580" s="305"/>
      <c r="AB580" s="305"/>
      <c r="AC580" s="305"/>
      <c r="AD580" s="305"/>
      <c r="AE580" s="305"/>
      <c r="AF580" s="305"/>
      <c r="AG580" s="305"/>
      <c r="AH580" s="305"/>
      <c r="AI580" s="305"/>
      <c r="AJ580" s="305"/>
      <c r="AK580" s="305"/>
      <c r="AL580" s="305"/>
      <c r="AM580" s="305"/>
      <c r="AN580" s="305"/>
      <c r="AO580" s="305"/>
      <c r="AP580" s="305"/>
      <c r="AQ580" s="305"/>
      <c r="AR580" s="305"/>
      <c r="AS580" s="305"/>
      <c r="AT580" s="305"/>
      <c r="AU580" s="305"/>
      <c r="AV580" s="305"/>
      <c r="AW580" s="305"/>
      <c r="AX580" s="305"/>
      <c r="AY580" s="305"/>
      <c r="AZ580" s="305"/>
      <c r="BA580" s="305"/>
      <c r="BB580" s="305"/>
      <c r="BC580" s="305"/>
      <c r="BD580" s="305"/>
      <c r="BE580" s="305"/>
      <c r="BF580" s="305"/>
      <c r="BG580" s="305"/>
      <c r="BH580" s="305"/>
      <c r="BI580" s="305"/>
      <c r="BJ580" s="305"/>
      <c r="BK580" s="305"/>
      <c r="BL580" s="305"/>
      <c r="BM580" s="305"/>
      <c r="BN580" s="305"/>
      <c r="BO580" s="305"/>
      <c r="BP580" s="305"/>
    </row>
    <row r="581" spans="1:68" hidden="1">
      <c r="A581" s="104">
        <f t="shared" si="62"/>
        <v>562</v>
      </c>
      <c r="B581" s="101">
        <f t="shared" si="63"/>
        <v>102</v>
      </c>
      <c r="C581" s="101" t="s">
        <v>185</v>
      </c>
      <c r="D581" s="101" t="s">
        <v>403</v>
      </c>
      <c r="E581" s="28">
        <f t="shared" si="61"/>
        <v>0</v>
      </c>
      <c r="F581" s="62">
        <v>12255451.74</v>
      </c>
      <c r="G581" s="62">
        <v>6547393.9699999997</v>
      </c>
      <c r="H581" s="62">
        <v>4711465.01</v>
      </c>
      <c r="I581" s="62">
        <v>3789581.07</v>
      </c>
      <c r="J581" s="62">
        <v>0</v>
      </c>
      <c r="K581" s="62"/>
      <c r="L581" s="62"/>
      <c r="M581" s="62">
        <v>0</v>
      </c>
      <c r="N581" s="62"/>
      <c r="O581" s="62">
        <v>0</v>
      </c>
      <c r="P581" s="62">
        <v>0</v>
      </c>
      <c r="Q581" s="62">
        <v>0</v>
      </c>
      <c r="R581" s="62"/>
      <c r="S581" s="62"/>
      <c r="T581" s="151"/>
      <c r="V581" s="237">
        <f t="shared" si="58"/>
        <v>4</v>
      </c>
    </row>
    <row r="582" spans="1:68" hidden="1">
      <c r="A582" s="104">
        <f t="shared" si="62"/>
        <v>563</v>
      </c>
      <c r="B582" s="101">
        <f t="shared" si="63"/>
        <v>103</v>
      </c>
      <c r="C582" s="101" t="s">
        <v>185</v>
      </c>
      <c r="D582" s="101" t="s">
        <v>407</v>
      </c>
      <c r="E582" s="28">
        <f t="shared" si="61"/>
        <v>0</v>
      </c>
      <c r="F582" s="62">
        <v>0</v>
      </c>
      <c r="G582" s="62">
        <v>0</v>
      </c>
      <c r="H582" s="62">
        <v>0</v>
      </c>
      <c r="I582" s="62">
        <v>0</v>
      </c>
      <c r="J582" s="62"/>
      <c r="K582" s="62"/>
      <c r="L582" s="62"/>
      <c r="M582" s="62">
        <v>0</v>
      </c>
      <c r="N582" s="62">
        <v>0</v>
      </c>
      <c r="O582" s="62">
        <v>0</v>
      </c>
      <c r="P582" s="62">
        <v>0</v>
      </c>
      <c r="Q582" s="62">
        <v>11106173.880000001</v>
      </c>
      <c r="R582" s="62"/>
      <c r="S582" s="62"/>
      <c r="T582" s="151"/>
      <c r="V582" s="237">
        <f t="shared" si="58"/>
        <v>1</v>
      </c>
    </row>
    <row r="583" spans="1:68" hidden="1">
      <c r="A583" s="104">
        <f t="shared" si="62"/>
        <v>564</v>
      </c>
      <c r="B583" s="101">
        <f t="shared" si="63"/>
        <v>104</v>
      </c>
      <c r="C583" s="101" t="s">
        <v>185</v>
      </c>
      <c r="D583" s="101" t="s">
        <v>409</v>
      </c>
      <c r="E583" s="28">
        <f t="shared" si="61"/>
        <v>0</v>
      </c>
      <c r="F583" s="62"/>
      <c r="G583" s="62"/>
      <c r="H583" s="62"/>
      <c r="I583" s="62"/>
      <c r="J583" s="62"/>
      <c r="K583" s="62"/>
      <c r="L583" s="62"/>
      <c r="M583" s="62">
        <v>2829176.47</v>
      </c>
      <c r="N583" s="62"/>
      <c r="O583" s="62"/>
      <c r="P583" s="62"/>
      <c r="Q583" s="62"/>
      <c r="R583" s="62">
        <v>128131.5</v>
      </c>
      <c r="S583" s="62">
        <v>42710.5</v>
      </c>
      <c r="T583" s="151"/>
      <c r="V583" s="237">
        <f t="shared" si="58"/>
        <v>1</v>
      </c>
    </row>
    <row r="584" spans="1:68" hidden="1">
      <c r="A584" s="104">
        <f t="shared" si="62"/>
        <v>565</v>
      </c>
      <c r="B584" s="101">
        <f t="shared" si="63"/>
        <v>105</v>
      </c>
      <c r="C584" s="101" t="s">
        <v>185</v>
      </c>
      <c r="D584" s="101" t="s">
        <v>412</v>
      </c>
      <c r="E584" s="28">
        <f t="shared" si="61"/>
        <v>0</v>
      </c>
      <c r="F584" s="62">
        <v>0</v>
      </c>
      <c r="G584" s="62">
        <v>0</v>
      </c>
      <c r="H584" s="62">
        <v>0</v>
      </c>
      <c r="I584" s="62">
        <v>0</v>
      </c>
      <c r="J584" s="62">
        <v>0</v>
      </c>
      <c r="K584" s="62"/>
      <c r="L584" s="62"/>
      <c r="M584" s="62">
        <v>0</v>
      </c>
      <c r="N584" s="62">
        <v>5468480.3499999996</v>
      </c>
      <c r="O584" s="62">
        <v>0</v>
      </c>
      <c r="P584" s="62">
        <v>0</v>
      </c>
      <c r="Q584" s="62">
        <v>0</v>
      </c>
      <c r="R584" s="62"/>
      <c r="S584" s="62"/>
      <c r="T584" s="151"/>
      <c r="U584" s="305"/>
      <c r="V584" s="237">
        <f t="shared" si="58"/>
        <v>1</v>
      </c>
      <c r="W584" s="305"/>
      <c r="X584" s="305"/>
      <c r="Y584" s="305"/>
      <c r="Z584" s="305"/>
      <c r="AA584" s="305"/>
      <c r="AB584" s="305"/>
      <c r="AC584" s="305"/>
      <c r="AD584" s="305"/>
      <c r="AE584" s="305"/>
      <c r="AF584" s="305"/>
      <c r="AG584" s="305"/>
      <c r="AH584" s="305"/>
      <c r="AI584" s="305"/>
      <c r="AJ584" s="305"/>
      <c r="AK584" s="305"/>
      <c r="AL584" s="305"/>
      <c r="AM584" s="305"/>
      <c r="AN584" s="305"/>
      <c r="AO584" s="305"/>
      <c r="AP584" s="305"/>
      <c r="AQ584" s="305"/>
      <c r="AR584" s="305"/>
      <c r="AS584" s="305"/>
      <c r="AT584" s="305"/>
      <c r="AU584" s="305"/>
      <c r="AV584" s="305"/>
      <c r="AW584" s="305"/>
      <c r="AX584" s="305"/>
      <c r="AY584" s="305"/>
      <c r="AZ584" s="305"/>
      <c r="BA584" s="305"/>
      <c r="BB584" s="305"/>
      <c r="BC584" s="305"/>
      <c r="BD584" s="305"/>
      <c r="BE584" s="305"/>
      <c r="BF584" s="305"/>
      <c r="BG584" s="305"/>
      <c r="BH584" s="305"/>
      <c r="BI584" s="305"/>
      <c r="BJ584" s="305"/>
      <c r="BK584" s="305"/>
      <c r="BL584" s="305"/>
      <c r="BM584" s="305"/>
      <c r="BN584" s="305"/>
      <c r="BO584" s="305"/>
      <c r="BP584" s="305"/>
    </row>
    <row r="585" spans="1:68" hidden="1">
      <c r="A585" s="104">
        <f t="shared" si="62"/>
        <v>566</v>
      </c>
      <c r="B585" s="101">
        <f t="shared" si="63"/>
        <v>106</v>
      </c>
      <c r="C585" s="101" t="s">
        <v>185</v>
      </c>
      <c r="D585" s="101" t="s">
        <v>414</v>
      </c>
      <c r="E585" s="28">
        <f t="shared" si="61"/>
        <v>0</v>
      </c>
      <c r="F585" s="62"/>
      <c r="G585" s="62">
        <v>3495031.17</v>
      </c>
      <c r="H585" s="62"/>
      <c r="I585" s="62"/>
      <c r="J585" s="62">
        <v>2528349.6</v>
      </c>
      <c r="K585" s="62"/>
      <c r="L585" s="62"/>
      <c r="M585" s="62"/>
      <c r="N585" s="62"/>
      <c r="O585" s="62"/>
      <c r="P585" s="62">
        <v>16463862</v>
      </c>
      <c r="Q585" s="62"/>
      <c r="R585" s="62"/>
      <c r="S585" s="62"/>
      <c r="T585" s="151"/>
      <c r="V585" s="237">
        <f t="shared" si="58"/>
        <v>3</v>
      </c>
    </row>
    <row r="586" spans="1:68" hidden="1">
      <c r="A586" s="104">
        <f t="shared" si="62"/>
        <v>567</v>
      </c>
      <c r="B586" s="101">
        <f t="shared" si="63"/>
        <v>107</v>
      </c>
      <c r="C586" s="101" t="s">
        <v>185</v>
      </c>
      <c r="D586" s="101" t="s">
        <v>417</v>
      </c>
      <c r="E586" s="28">
        <f t="shared" si="61"/>
        <v>0</v>
      </c>
      <c r="F586" s="62"/>
      <c r="G586" s="62"/>
      <c r="H586" s="62">
        <v>0</v>
      </c>
      <c r="I586" s="62">
        <v>0</v>
      </c>
      <c r="J586" s="62"/>
      <c r="K586" s="62"/>
      <c r="L586" s="62"/>
      <c r="M586" s="62">
        <v>0</v>
      </c>
      <c r="N586" s="62">
        <v>16798854</v>
      </c>
      <c r="O586" s="62">
        <v>0</v>
      </c>
      <c r="P586" s="62">
        <v>0</v>
      </c>
      <c r="Q586" s="62">
        <v>0</v>
      </c>
      <c r="R586" s="62"/>
      <c r="S586" s="62"/>
      <c r="T586" s="151"/>
      <c r="V586" s="237">
        <f t="shared" si="58"/>
        <v>1</v>
      </c>
    </row>
    <row r="587" spans="1:68" hidden="1">
      <c r="A587" s="104">
        <f t="shared" si="62"/>
        <v>568</v>
      </c>
      <c r="B587" s="101">
        <f t="shared" si="63"/>
        <v>108</v>
      </c>
      <c r="C587" s="101" t="s">
        <v>185</v>
      </c>
      <c r="D587" s="101" t="s">
        <v>419</v>
      </c>
      <c r="E587" s="28">
        <f t="shared" si="61"/>
        <v>0</v>
      </c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>
        <v>5870908.0300000003</v>
      </c>
      <c r="Q587" s="62"/>
      <c r="R587" s="62"/>
      <c r="S587" s="62"/>
      <c r="T587" s="151"/>
      <c r="V587" s="237">
        <f t="shared" si="58"/>
        <v>1</v>
      </c>
    </row>
    <row r="588" spans="1:68" hidden="1">
      <c r="A588" s="104">
        <f t="shared" si="62"/>
        <v>569</v>
      </c>
      <c r="B588" s="101">
        <f t="shared" si="63"/>
        <v>109</v>
      </c>
      <c r="C588" s="101" t="s">
        <v>185</v>
      </c>
      <c r="D588" s="101" t="s">
        <v>422</v>
      </c>
      <c r="E588" s="28">
        <f t="shared" si="61"/>
        <v>0</v>
      </c>
      <c r="F588" s="62">
        <v>8615558.6199999992</v>
      </c>
      <c r="G588" s="62">
        <v>0</v>
      </c>
      <c r="H588" s="62">
        <v>4047440.7</v>
      </c>
      <c r="I588" s="62">
        <v>0</v>
      </c>
      <c r="J588" s="62">
        <v>0</v>
      </c>
      <c r="K588" s="62"/>
      <c r="L588" s="62">
        <v>0</v>
      </c>
      <c r="M588" s="62">
        <v>0</v>
      </c>
      <c r="N588" s="62">
        <v>0</v>
      </c>
      <c r="O588" s="62">
        <v>0</v>
      </c>
      <c r="P588" s="62">
        <v>14621187.710000001</v>
      </c>
      <c r="Q588" s="62">
        <v>0</v>
      </c>
      <c r="R588" s="62"/>
      <c r="S588" s="62"/>
      <c r="T588" s="151"/>
      <c r="V588" s="237">
        <f t="shared" si="58"/>
        <v>3</v>
      </c>
    </row>
    <row r="589" spans="1:68" hidden="1">
      <c r="A589" s="104">
        <f t="shared" si="62"/>
        <v>570</v>
      </c>
      <c r="B589" s="101">
        <f t="shared" si="63"/>
        <v>110</v>
      </c>
      <c r="C589" s="101" t="s">
        <v>185</v>
      </c>
      <c r="D589" s="101" t="s">
        <v>275</v>
      </c>
      <c r="E589" s="28">
        <f t="shared" si="61"/>
        <v>0</v>
      </c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>
        <v>7025505.1699999999</v>
      </c>
      <c r="Q589" s="62"/>
      <c r="R589" s="62"/>
      <c r="S589" s="62"/>
      <c r="T589" s="151"/>
      <c r="V589" s="237">
        <f t="shared" si="58"/>
        <v>1</v>
      </c>
    </row>
    <row r="590" spans="1:68" hidden="1">
      <c r="A590" s="104">
        <f t="shared" si="62"/>
        <v>571</v>
      </c>
      <c r="B590" s="101">
        <f t="shared" si="63"/>
        <v>111</v>
      </c>
      <c r="C590" s="101" t="s">
        <v>185</v>
      </c>
      <c r="D590" s="101" t="s">
        <v>426</v>
      </c>
      <c r="E590" s="28">
        <f t="shared" si="61"/>
        <v>0</v>
      </c>
      <c r="F590" s="62">
        <v>3164600.94</v>
      </c>
      <c r="G590" s="62"/>
      <c r="H590" s="62">
        <v>892459.39</v>
      </c>
      <c r="I590" s="62"/>
      <c r="J590" s="62"/>
      <c r="K590" s="62"/>
      <c r="L590" s="62"/>
      <c r="M590" s="62">
        <v>0</v>
      </c>
      <c r="N590" s="62"/>
      <c r="O590" s="62">
        <v>0</v>
      </c>
      <c r="P590" s="62">
        <v>0</v>
      </c>
      <c r="Q590" s="62">
        <v>0</v>
      </c>
      <c r="R590" s="62"/>
      <c r="S590" s="62"/>
      <c r="T590" s="151"/>
      <c r="V590" s="237">
        <f t="shared" si="58"/>
        <v>2</v>
      </c>
    </row>
    <row r="591" spans="1:68" hidden="1">
      <c r="A591" s="104">
        <f t="shared" si="62"/>
        <v>572</v>
      </c>
      <c r="B591" s="101">
        <f t="shared" si="63"/>
        <v>112</v>
      </c>
      <c r="C591" s="101" t="s">
        <v>185</v>
      </c>
      <c r="D591" s="101" t="s">
        <v>428</v>
      </c>
      <c r="E591" s="28">
        <f t="shared" si="61"/>
        <v>0</v>
      </c>
      <c r="F591" s="62">
        <v>0</v>
      </c>
      <c r="G591" s="62">
        <v>0</v>
      </c>
      <c r="H591" s="62">
        <v>0</v>
      </c>
      <c r="I591" s="62">
        <v>0</v>
      </c>
      <c r="J591" s="62">
        <v>0</v>
      </c>
      <c r="K591" s="62"/>
      <c r="L591" s="62"/>
      <c r="M591" s="62">
        <v>0</v>
      </c>
      <c r="N591" s="62">
        <v>0</v>
      </c>
      <c r="O591" s="62">
        <v>0</v>
      </c>
      <c r="P591" s="62">
        <v>0</v>
      </c>
      <c r="Q591" s="62">
        <v>6621085.3600000003</v>
      </c>
      <c r="R591" s="62"/>
      <c r="S591" s="62"/>
      <c r="T591" s="151"/>
      <c r="V591" s="237">
        <f t="shared" si="58"/>
        <v>1</v>
      </c>
    </row>
    <row r="592" spans="1:68" hidden="1">
      <c r="A592" s="104">
        <f t="shared" si="62"/>
        <v>573</v>
      </c>
      <c r="B592" s="101">
        <f t="shared" si="63"/>
        <v>113</v>
      </c>
      <c r="C592" s="101" t="s">
        <v>185</v>
      </c>
      <c r="D592" s="101" t="s">
        <v>430</v>
      </c>
      <c r="E592" s="28">
        <f t="shared" si="61"/>
        <v>0</v>
      </c>
      <c r="F592" s="62"/>
      <c r="G592" s="62"/>
      <c r="H592" s="62"/>
      <c r="I592" s="62"/>
      <c r="J592" s="62"/>
      <c r="K592" s="62"/>
      <c r="L592" s="62"/>
      <c r="M592" s="62"/>
      <c r="N592" s="62"/>
      <c r="O592" s="62">
        <v>0</v>
      </c>
      <c r="P592" s="62">
        <v>24902952.129999999</v>
      </c>
      <c r="Q592" s="62"/>
      <c r="R592" s="62"/>
      <c r="S592" s="62"/>
      <c r="T592" s="151"/>
      <c r="V592" s="237">
        <f t="shared" si="58"/>
        <v>1</v>
      </c>
    </row>
    <row r="593" spans="1:68" hidden="1">
      <c r="A593" s="104">
        <f t="shared" si="62"/>
        <v>574</v>
      </c>
      <c r="B593" s="101">
        <f t="shared" si="63"/>
        <v>114</v>
      </c>
      <c r="C593" s="101" t="s">
        <v>185</v>
      </c>
      <c r="D593" s="101" t="s">
        <v>281</v>
      </c>
      <c r="E593" s="28">
        <f t="shared" si="61"/>
        <v>0</v>
      </c>
      <c r="F593" s="62"/>
      <c r="G593" s="62"/>
      <c r="H593" s="62"/>
      <c r="I593" s="62">
        <v>2707442.59</v>
      </c>
      <c r="J593" s="62"/>
      <c r="K593" s="62"/>
      <c r="L593" s="62"/>
      <c r="M593" s="62">
        <v>0</v>
      </c>
      <c r="N593" s="62">
        <v>0</v>
      </c>
      <c r="O593" s="62">
        <v>0</v>
      </c>
      <c r="P593" s="62">
        <v>0</v>
      </c>
      <c r="Q593" s="62">
        <v>0</v>
      </c>
      <c r="R593" s="62"/>
      <c r="S593" s="62"/>
      <c r="T593" s="151"/>
      <c r="V593" s="237">
        <f t="shared" si="58"/>
        <v>1</v>
      </c>
    </row>
    <row r="594" spans="1:68" hidden="1">
      <c r="A594" s="104">
        <f t="shared" si="62"/>
        <v>575</v>
      </c>
      <c r="B594" s="101">
        <f t="shared" si="63"/>
        <v>115</v>
      </c>
      <c r="C594" s="101" t="s">
        <v>185</v>
      </c>
      <c r="D594" s="101" t="s">
        <v>434</v>
      </c>
      <c r="E594" s="28">
        <f t="shared" si="61"/>
        <v>0</v>
      </c>
      <c r="F594" s="62"/>
      <c r="G594" s="62"/>
      <c r="H594" s="62"/>
      <c r="I594" s="62"/>
      <c r="J594" s="62">
        <v>2021918.21</v>
      </c>
      <c r="K594" s="62"/>
      <c r="L594" s="62"/>
      <c r="M594" s="62">
        <v>0</v>
      </c>
      <c r="N594" s="62">
        <v>7247792.2800000003</v>
      </c>
      <c r="O594" s="62">
        <v>0</v>
      </c>
      <c r="P594" s="62"/>
      <c r="Q594" s="62"/>
      <c r="R594" s="62"/>
      <c r="S594" s="62"/>
      <c r="T594" s="151"/>
      <c r="V594" s="237">
        <f t="shared" si="58"/>
        <v>2</v>
      </c>
    </row>
    <row r="595" spans="1:68" hidden="1">
      <c r="A595" s="104">
        <f t="shared" ref="A595:A626" si="64">A594+1</f>
        <v>576</v>
      </c>
      <c r="B595" s="101">
        <f t="shared" si="63"/>
        <v>116</v>
      </c>
      <c r="C595" s="101" t="s">
        <v>185</v>
      </c>
      <c r="D595" s="101" t="s">
        <v>436</v>
      </c>
      <c r="E595" s="28">
        <f t="shared" si="61"/>
        <v>0</v>
      </c>
      <c r="F595" s="62"/>
      <c r="G595" s="62">
        <v>764794.96</v>
      </c>
      <c r="H595" s="62">
        <v>694136.52</v>
      </c>
      <c r="I595" s="62"/>
      <c r="J595" s="62"/>
      <c r="K595" s="62"/>
      <c r="L595" s="62"/>
      <c r="M595" s="62">
        <v>0</v>
      </c>
      <c r="N595" s="62"/>
      <c r="O595" s="62">
        <v>0</v>
      </c>
      <c r="P595" s="62">
        <v>9128488.75</v>
      </c>
      <c r="Q595" s="62"/>
      <c r="R595" s="62"/>
      <c r="S595" s="62"/>
      <c r="T595" s="151"/>
      <c r="V595" s="237">
        <f t="shared" si="58"/>
        <v>3</v>
      </c>
    </row>
    <row r="596" spans="1:68" hidden="1">
      <c r="A596" s="104">
        <f t="shared" si="64"/>
        <v>577</v>
      </c>
      <c r="B596" s="101">
        <f t="shared" si="63"/>
        <v>117</v>
      </c>
      <c r="C596" s="101" t="s">
        <v>185</v>
      </c>
      <c r="D596" s="101" t="s">
        <v>283</v>
      </c>
      <c r="E596" s="28">
        <f t="shared" si="61"/>
        <v>0</v>
      </c>
      <c r="F596" s="62">
        <v>3416530.16</v>
      </c>
      <c r="G596" s="62"/>
      <c r="H596" s="62"/>
      <c r="I596" s="62"/>
      <c r="J596" s="62"/>
      <c r="K596" s="62"/>
      <c r="L596" s="62"/>
      <c r="M596" s="62">
        <v>0</v>
      </c>
      <c r="N596" s="62"/>
      <c r="O596" s="62">
        <v>0</v>
      </c>
      <c r="P596" s="62">
        <v>0</v>
      </c>
      <c r="Q596" s="62">
        <v>0</v>
      </c>
      <c r="R596" s="62"/>
      <c r="S596" s="62"/>
      <c r="T596" s="151"/>
      <c r="V596" s="237">
        <f t="shared" si="58"/>
        <v>1</v>
      </c>
    </row>
    <row r="597" spans="1:68" hidden="1">
      <c r="A597" s="104">
        <f t="shared" si="64"/>
        <v>578</v>
      </c>
      <c r="B597" s="101">
        <f t="shared" ref="B597:B628" si="65">B596+1</f>
        <v>118</v>
      </c>
      <c r="C597" s="101" t="s">
        <v>185</v>
      </c>
      <c r="D597" s="101" t="s">
        <v>440</v>
      </c>
      <c r="E597" s="28">
        <f t="shared" si="61"/>
        <v>0</v>
      </c>
      <c r="F597" s="62">
        <v>2918258.07</v>
      </c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151"/>
      <c r="V597" s="237">
        <f t="shared" si="58"/>
        <v>1</v>
      </c>
    </row>
    <row r="598" spans="1:68" hidden="1">
      <c r="A598" s="104">
        <f t="shared" si="64"/>
        <v>579</v>
      </c>
      <c r="B598" s="101">
        <f t="shared" si="65"/>
        <v>119</v>
      </c>
      <c r="C598" s="101" t="s">
        <v>185</v>
      </c>
      <c r="D598" s="101" t="s">
        <v>443</v>
      </c>
      <c r="E598" s="28">
        <f t="shared" si="61"/>
        <v>0</v>
      </c>
      <c r="F598" s="62">
        <v>3842206.73</v>
      </c>
      <c r="G598" s="62">
        <v>0</v>
      </c>
      <c r="H598" s="62">
        <v>0</v>
      </c>
      <c r="I598" s="62">
        <v>0</v>
      </c>
      <c r="J598" s="62"/>
      <c r="K598" s="62"/>
      <c r="L598" s="62"/>
      <c r="M598" s="62">
        <v>0</v>
      </c>
      <c r="N598" s="62">
        <v>0</v>
      </c>
      <c r="O598" s="62">
        <v>0</v>
      </c>
      <c r="P598" s="62">
        <v>0</v>
      </c>
      <c r="Q598" s="62">
        <v>0</v>
      </c>
      <c r="R598" s="62"/>
      <c r="S598" s="62"/>
      <c r="T598" s="151"/>
      <c r="V598" s="237">
        <f t="shared" si="58"/>
        <v>1</v>
      </c>
    </row>
    <row r="599" spans="1:68" hidden="1">
      <c r="A599" s="104">
        <f t="shared" si="64"/>
        <v>580</v>
      </c>
      <c r="B599" s="101">
        <f t="shared" si="65"/>
        <v>120</v>
      </c>
      <c r="C599" s="101" t="s">
        <v>185</v>
      </c>
      <c r="D599" s="101" t="s">
        <v>445</v>
      </c>
      <c r="E599" s="28">
        <f t="shared" si="61"/>
        <v>0</v>
      </c>
      <c r="F599" s="62">
        <v>4077651.86</v>
      </c>
      <c r="G599" s="62">
        <v>0</v>
      </c>
      <c r="H599" s="62">
        <v>0</v>
      </c>
      <c r="I599" s="62">
        <v>0</v>
      </c>
      <c r="J599" s="62"/>
      <c r="K599" s="62"/>
      <c r="L599" s="62"/>
      <c r="M599" s="62">
        <v>0</v>
      </c>
      <c r="N599" s="62">
        <v>0</v>
      </c>
      <c r="O599" s="62">
        <v>0</v>
      </c>
      <c r="P599" s="62">
        <v>0</v>
      </c>
      <c r="Q599" s="62">
        <v>0</v>
      </c>
      <c r="R599" s="62"/>
      <c r="S599" s="62"/>
      <c r="T599" s="151"/>
      <c r="V599" s="237">
        <f t="shared" si="58"/>
        <v>1</v>
      </c>
    </row>
    <row r="600" spans="1:68" hidden="1">
      <c r="A600" s="104">
        <f t="shared" si="64"/>
        <v>581</v>
      </c>
      <c r="B600" s="101">
        <f t="shared" si="65"/>
        <v>121</v>
      </c>
      <c r="C600" s="101" t="s">
        <v>185</v>
      </c>
      <c r="D600" s="101" t="s">
        <v>285</v>
      </c>
      <c r="E600" s="28">
        <f t="shared" si="61"/>
        <v>0</v>
      </c>
      <c r="F600" s="62"/>
      <c r="G600" s="62"/>
      <c r="H600" s="62"/>
      <c r="I600" s="62">
        <v>1803922.55</v>
      </c>
      <c r="J600" s="62"/>
      <c r="K600" s="62"/>
      <c r="L600" s="62"/>
      <c r="M600" s="62">
        <v>0</v>
      </c>
      <c r="N600" s="62"/>
      <c r="O600" s="62">
        <v>0</v>
      </c>
      <c r="P600" s="62">
        <v>16041753.6</v>
      </c>
      <c r="Q600" s="62"/>
      <c r="R600" s="62"/>
      <c r="S600" s="62"/>
      <c r="T600" s="151"/>
      <c r="V600" s="237">
        <f t="shared" si="58"/>
        <v>2</v>
      </c>
    </row>
    <row r="601" spans="1:68" hidden="1">
      <c r="A601" s="104">
        <f t="shared" si="64"/>
        <v>582</v>
      </c>
      <c r="B601" s="101">
        <f t="shared" si="65"/>
        <v>122</v>
      </c>
      <c r="C601" s="101" t="s">
        <v>185</v>
      </c>
      <c r="D601" s="101" t="s">
        <v>451</v>
      </c>
      <c r="E601" s="28">
        <f t="shared" si="61"/>
        <v>0</v>
      </c>
      <c r="F601" s="62">
        <v>0</v>
      </c>
      <c r="G601" s="62">
        <v>0</v>
      </c>
      <c r="H601" s="62">
        <v>0</v>
      </c>
      <c r="I601" s="62">
        <v>0</v>
      </c>
      <c r="J601" s="62">
        <v>0</v>
      </c>
      <c r="K601" s="62"/>
      <c r="L601" s="62"/>
      <c r="M601" s="62">
        <v>0</v>
      </c>
      <c r="N601" s="62">
        <v>0</v>
      </c>
      <c r="O601" s="62">
        <v>0</v>
      </c>
      <c r="P601" s="62">
        <v>12838297.58</v>
      </c>
      <c r="Q601" s="62">
        <v>0</v>
      </c>
      <c r="R601" s="62"/>
      <c r="S601" s="62"/>
      <c r="T601" s="151"/>
      <c r="V601" s="237">
        <f t="shared" si="58"/>
        <v>1</v>
      </c>
    </row>
    <row r="602" spans="1:68" hidden="1">
      <c r="A602" s="104">
        <f t="shared" si="64"/>
        <v>583</v>
      </c>
      <c r="B602" s="101">
        <f t="shared" si="65"/>
        <v>123</v>
      </c>
      <c r="C602" s="101" t="s">
        <v>185</v>
      </c>
      <c r="D602" s="101" t="s">
        <v>454</v>
      </c>
      <c r="E602" s="28">
        <f t="shared" si="61"/>
        <v>0</v>
      </c>
      <c r="F602" s="62"/>
      <c r="G602" s="62"/>
      <c r="H602" s="62"/>
      <c r="I602" s="62">
        <v>4481041.79</v>
      </c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151"/>
      <c r="V602" s="237">
        <f t="shared" si="58"/>
        <v>1</v>
      </c>
    </row>
    <row r="603" spans="1:68" hidden="1">
      <c r="A603" s="104">
        <f t="shared" si="64"/>
        <v>584</v>
      </c>
      <c r="B603" s="101">
        <f t="shared" si="65"/>
        <v>124</v>
      </c>
      <c r="C603" s="101" t="s">
        <v>185</v>
      </c>
      <c r="D603" s="101" t="s">
        <v>304</v>
      </c>
      <c r="E603" s="28">
        <f t="shared" si="61"/>
        <v>0</v>
      </c>
      <c r="F603" s="62">
        <v>6151696.8300000001</v>
      </c>
      <c r="G603" s="62">
        <v>0</v>
      </c>
      <c r="H603" s="62">
        <v>0</v>
      </c>
      <c r="I603" s="62">
        <v>0</v>
      </c>
      <c r="J603" s="62">
        <v>586245.68000000005</v>
      </c>
      <c r="K603" s="62"/>
      <c r="L603" s="62"/>
      <c r="M603" s="62">
        <v>0</v>
      </c>
      <c r="N603" s="62"/>
      <c r="O603" s="62">
        <v>0</v>
      </c>
      <c r="P603" s="62">
        <v>0</v>
      </c>
      <c r="Q603" s="62">
        <v>5742081.1200000001</v>
      </c>
      <c r="R603" s="62"/>
      <c r="S603" s="62"/>
      <c r="T603" s="151"/>
      <c r="U603" s="305"/>
      <c r="V603" s="237">
        <f t="shared" si="58"/>
        <v>3</v>
      </c>
      <c r="W603" s="305"/>
      <c r="X603" s="305"/>
      <c r="Y603" s="305"/>
      <c r="Z603" s="305"/>
      <c r="AA603" s="305"/>
      <c r="AB603" s="305"/>
      <c r="AC603" s="305"/>
      <c r="AD603" s="305"/>
      <c r="AE603" s="305"/>
      <c r="AF603" s="305"/>
      <c r="AG603" s="305"/>
      <c r="AH603" s="305"/>
      <c r="AI603" s="305"/>
      <c r="AJ603" s="305"/>
      <c r="AK603" s="305"/>
      <c r="AL603" s="305"/>
      <c r="AM603" s="305"/>
      <c r="AN603" s="305"/>
      <c r="AO603" s="305"/>
      <c r="AP603" s="305"/>
      <c r="AQ603" s="305"/>
      <c r="AR603" s="305"/>
      <c r="AS603" s="305"/>
      <c r="AT603" s="305"/>
      <c r="AU603" s="305"/>
      <c r="AV603" s="305"/>
      <c r="AW603" s="305"/>
      <c r="AX603" s="305"/>
      <c r="AY603" s="305"/>
      <c r="AZ603" s="305"/>
      <c r="BA603" s="305"/>
      <c r="BB603" s="305"/>
      <c r="BC603" s="305"/>
      <c r="BD603" s="305"/>
      <c r="BE603" s="305"/>
      <c r="BF603" s="305"/>
      <c r="BG603" s="305"/>
      <c r="BH603" s="305"/>
      <c r="BI603" s="305"/>
      <c r="BJ603" s="305"/>
      <c r="BK603" s="305"/>
      <c r="BL603" s="305"/>
      <c r="BM603" s="305"/>
      <c r="BN603" s="305"/>
      <c r="BO603" s="305"/>
      <c r="BP603" s="305"/>
    </row>
    <row r="604" spans="1:68" hidden="1">
      <c r="A604" s="104">
        <f t="shared" si="64"/>
        <v>585</v>
      </c>
      <c r="B604" s="101">
        <f t="shared" si="65"/>
        <v>125</v>
      </c>
      <c r="C604" s="101" t="s">
        <v>185</v>
      </c>
      <c r="D604" s="101" t="s">
        <v>457</v>
      </c>
      <c r="E604" s="28">
        <f t="shared" si="61"/>
        <v>0</v>
      </c>
      <c r="F604" s="62"/>
      <c r="G604" s="62"/>
      <c r="H604" s="62"/>
      <c r="I604" s="62"/>
      <c r="J604" s="62">
        <v>1690317.6</v>
      </c>
      <c r="K604" s="62"/>
      <c r="L604" s="62"/>
      <c r="M604" s="62"/>
      <c r="N604" s="62"/>
      <c r="O604" s="62"/>
      <c r="P604" s="62"/>
      <c r="Q604" s="62"/>
      <c r="R604" s="62"/>
      <c r="S604" s="62"/>
      <c r="T604" s="151"/>
      <c r="V604" s="237">
        <f t="shared" si="58"/>
        <v>1</v>
      </c>
    </row>
    <row r="605" spans="1:68" hidden="1">
      <c r="A605" s="104">
        <f t="shared" si="64"/>
        <v>586</v>
      </c>
      <c r="B605" s="101">
        <f t="shared" si="65"/>
        <v>126</v>
      </c>
      <c r="C605" s="101" t="s">
        <v>185</v>
      </c>
      <c r="D605" s="101" t="s">
        <v>459</v>
      </c>
      <c r="E605" s="28">
        <f t="shared" si="61"/>
        <v>0</v>
      </c>
      <c r="F605" s="62">
        <v>12033925.76</v>
      </c>
      <c r="G605" s="62"/>
      <c r="H605" s="62"/>
      <c r="I605" s="62"/>
      <c r="J605" s="62"/>
      <c r="K605" s="62"/>
      <c r="L605" s="62"/>
      <c r="M605" s="62"/>
      <c r="N605" s="62"/>
      <c r="O605" s="62"/>
      <c r="P605" s="62">
        <v>36698927.25</v>
      </c>
      <c r="Q605" s="62"/>
      <c r="R605" s="62"/>
      <c r="S605" s="62"/>
      <c r="T605" s="151"/>
      <c r="V605" s="237">
        <f t="shared" si="58"/>
        <v>2</v>
      </c>
    </row>
    <row r="606" spans="1:68" hidden="1">
      <c r="A606" s="104">
        <f t="shared" si="64"/>
        <v>587</v>
      </c>
      <c r="B606" s="101">
        <f t="shared" si="65"/>
        <v>127</v>
      </c>
      <c r="C606" s="101" t="s">
        <v>185</v>
      </c>
      <c r="D606" s="101" t="s">
        <v>307</v>
      </c>
      <c r="E606" s="28">
        <f t="shared" si="61"/>
        <v>0</v>
      </c>
      <c r="F606" s="62"/>
      <c r="G606" s="62"/>
      <c r="H606" s="62"/>
      <c r="I606" s="62"/>
      <c r="J606" s="62"/>
      <c r="K606" s="62"/>
      <c r="L606" s="62"/>
      <c r="M606" s="62"/>
      <c r="N606" s="62"/>
      <c r="O606" s="62">
        <v>0</v>
      </c>
      <c r="P606" s="62">
        <v>21061738.34</v>
      </c>
      <c r="Q606" s="62"/>
      <c r="R606" s="62"/>
      <c r="S606" s="62"/>
      <c r="T606" s="151"/>
      <c r="V606" s="237">
        <f t="shared" si="58"/>
        <v>1</v>
      </c>
    </row>
    <row r="607" spans="1:68" hidden="1">
      <c r="A607" s="104">
        <f t="shared" si="64"/>
        <v>588</v>
      </c>
      <c r="B607" s="101">
        <f t="shared" si="65"/>
        <v>128</v>
      </c>
      <c r="C607" s="101" t="s">
        <v>185</v>
      </c>
      <c r="D607" s="101" t="s">
        <v>460</v>
      </c>
      <c r="E607" s="28">
        <f t="shared" si="61"/>
        <v>0</v>
      </c>
      <c r="F607" s="62">
        <v>8148276.9699999997</v>
      </c>
      <c r="G607" s="62">
        <v>2524696.02</v>
      </c>
      <c r="H607" s="62">
        <v>1505564.28</v>
      </c>
      <c r="I607" s="62">
        <v>2141488.27</v>
      </c>
      <c r="J607" s="62"/>
      <c r="K607" s="62"/>
      <c r="L607" s="62"/>
      <c r="M607" s="62"/>
      <c r="N607" s="62">
        <v>17678518.940000001</v>
      </c>
      <c r="O607" s="62"/>
      <c r="P607" s="62"/>
      <c r="Q607" s="62"/>
      <c r="R607" s="62"/>
      <c r="S607" s="62"/>
      <c r="T607" s="151"/>
      <c r="V607" s="237">
        <f t="shared" ref="V607:V670" si="66">COUNTIF(F607:Q607, "&gt;0")</f>
        <v>5</v>
      </c>
    </row>
    <row r="608" spans="1:68" hidden="1">
      <c r="A608" s="104">
        <f t="shared" si="64"/>
        <v>589</v>
      </c>
      <c r="B608" s="101">
        <f t="shared" si="65"/>
        <v>129</v>
      </c>
      <c r="C608" s="101" t="s">
        <v>185</v>
      </c>
      <c r="D608" s="101" t="s">
        <v>463</v>
      </c>
      <c r="E608" s="28">
        <f t="shared" ref="E608:E671" si="67">SUBTOTAL(9, F608:T608)</f>
        <v>0</v>
      </c>
      <c r="F608" s="62">
        <v>6171316.7599999998</v>
      </c>
      <c r="G608" s="62">
        <v>1336962.2</v>
      </c>
      <c r="H608" s="62">
        <v>0</v>
      </c>
      <c r="I608" s="62">
        <v>2007492.5</v>
      </c>
      <c r="J608" s="62"/>
      <c r="K608" s="62"/>
      <c r="L608" s="62"/>
      <c r="M608" s="62">
        <v>0</v>
      </c>
      <c r="N608" s="62"/>
      <c r="O608" s="62">
        <v>0</v>
      </c>
      <c r="P608" s="62"/>
      <c r="Q608" s="62">
        <v>10058256</v>
      </c>
      <c r="R608" s="62"/>
      <c r="S608" s="62"/>
      <c r="T608" s="151"/>
      <c r="V608" s="237">
        <f t="shared" si="66"/>
        <v>4</v>
      </c>
    </row>
    <row r="609" spans="1:68" hidden="1">
      <c r="A609" s="104">
        <f t="shared" si="64"/>
        <v>590</v>
      </c>
      <c r="B609" s="101">
        <f t="shared" si="65"/>
        <v>130</v>
      </c>
      <c r="C609" s="101" t="s">
        <v>185</v>
      </c>
      <c r="D609" s="101" t="s">
        <v>465</v>
      </c>
      <c r="E609" s="28">
        <f t="shared" si="67"/>
        <v>0</v>
      </c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>
        <v>2811451.2</v>
      </c>
      <c r="R609" s="62"/>
      <c r="S609" s="62"/>
      <c r="T609" s="151"/>
      <c r="U609" s="305"/>
      <c r="V609" s="237">
        <f t="shared" si="66"/>
        <v>1</v>
      </c>
      <c r="W609" s="305"/>
      <c r="X609" s="305"/>
      <c r="Y609" s="305"/>
      <c r="Z609" s="305"/>
      <c r="AA609" s="305"/>
      <c r="AB609" s="305"/>
      <c r="AC609" s="305"/>
      <c r="AD609" s="305"/>
      <c r="AE609" s="305"/>
      <c r="AF609" s="305"/>
      <c r="AG609" s="305"/>
      <c r="AH609" s="305"/>
      <c r="AI609" s="305"/>
      <c r="AJ609" s="305"/>
      <c r="AK609" s="305"/>
      <c r="AL609" s="305"/>
      <c r="AM609" s="305"/>
      <c r="AN609" s="305"/>
      <c r="AO609" s="305"/>
      <c r="AP609" s="305"/>
      <c r="AQ609" s="305"/>
      <c r="AR609" s="305"/>
      <c r="AS609" s="305"/>
      <c r="AT609" s="305"/>
      <c r="AU609" s="305"/>
      <c r="AV609" s="305"/>
      <c r="AW609" s="305"/>
      <c r="AX609" s="305"/>
      <c r="AY609" s="305"/>
      <c r="AZ609" s="305"/>
      <c r="BA609" s="305"/>
      <c r="BB609" s="305"/>
      <c r="BC609" s="305"/>
      <c r="BD609" s="305"/>
      <c r="BE609" s="305"/>
      <c r="BF609" s="305"/>
      <c r="BG609" s="305"/>
      <c r="BH609" s="305"/>
      <c r="BI609" s="305"/>
      <c r="BJ609" s="305"/>
      <c r="BK609" s="305"/>
      <c r="BL609" s="305"/>
      <c r="BM609" s="305"/>
      <c r="BN609" s="305"/>
      <c r="BO609" s="305"/>
      <c r="BP609" s="305"/>
    </row>
    <row r="610" spans="1:68" hidden="1">
      <c r="A610" s="104">
        <f t="shared" si="64"/>
        <v>591</v>
      </c>
      <c r="B610" s="101">
        <f t="shared" si="65"/>
        <v>131</v>
      </c>
      <c r="C610" s="101" t="s">
        <v>185</v>
      </c>
      <c r="D610" s="101" t="s">
        <v>467</v>
      </c>
      <c r="E610" s="28">
        <f t="shared" si="67"/>
        <v>0</v>
      </c>
      <c r="F610" s="62"/>
      <c r="G610" s="62"/>
      <c r="H610" s="62"/>
      <c r="I610" s="62"/>
      <c r="J610" s="62">
        <v>989236.26</v>
      </c>
      <c r="K610" s="62"/>
      <c r="L610" s="62"/>
      <c r="M610" s="62"/>
      <c r="N610" s="62"/>
      <c r="O610" s="62"/>
      <c r="P610" s="62"/>
      <c r="Q610" s="62"/>
      <c r="R610" s="62"/>
      <c r="S610" s="62"/>
      <c r="T610" s="151"/>
      <c r="V610" s="237">
        <f t="shared" si="66"/>
        <v>1</v>
      </c>
    </row>
    <row r="611" spans="1:68" hidden="1">
      <c r="A611" s="104">
        <f t="shared" si="64"/>
        <v>592</v>
      </c>
      <c r="B611" s="101">
        <f t="shared" si="65"/>
        <v>132</v>
      </c>
      <c r="C611" s="101" t="s">
        <v>185</v>
      </c>
      <c r="D611" s="101" t="s">
        <v>317</v>
      </c>
      <c r="E611" s="28">
        <f t="shared" si="67"/>
        <v>0</v>
      </c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>
        <v>630551.78</v>
      </c>
      <c r="Q611" s="62"/>
      <c r="R611" s="62"/>
      <c r="S611" s="62"/>
      <c r="T611" s="151"/>
      <c r="U611" s="305"/>
      <c r="V611" s="237">
        <f t="shared" si="66"/>
        <v>1</v>
      </c>
      <c r="W611" s="305"/>
      <c r="X611" s="305"/>
      <c r="Y611" s="305"/>
      <c r="Z611" s="305"/>
      <c r="AA611" s="305"/>
      <c r="AB611" s="305"/>
      <c r="AC611" s="305"/>
      <c r="AD611" s="305"/>
      <c r="AE611" s="305"/>
      <c r="AF611" s="305"/>
      <c r="AG611" s="305"/>
      <c r="AH611" s="305"/>
      <c r="AI611" s="305"/>
      <c r="AJ611" s="305"/>
      <c r="AK611" s="305"/>
      <c r="AL611" s="305"/>
      <c r="AM611" s="305"/>
      <c r="AN611" s="305"/>
      <c r="AO611" s="305"/>
      <c r="AP611" s="305"/>
      <c r="AQ611" s="305"/>
      <c r="AR611" s="305"/>
      <c r="AS611" s="305"/>
      <c r="AT611" s="305"/>
      <c r="AU611" s="305"/>
      <c r="AV611" s="305"/>
      <c r="AW611" s="305"/>
      <c r="AX611" s="305"/>
      <c r="AY611" s="305"/>
      <c r="AZ611" s="305"/>
      <c r="BA611" s="305"/>
      <c r="BB611" s="305"/>
      <c r="BC611" s="305"/>
      <c r="BD611" s="305"/>
      <c r="BE611" s="305"/>
      <c r="BF611" s="305"/>
      <c r="BG611" s="305"/>
      <c r="BH611" s="305"/>
      <c r="BI611" s="305"/>
      <c r="BJ611" s="305"/>
      <c r="BK611" s="305"/>
      <c r="BL611" s="305"/>
      <c r="BM611" s="305"/>
      <c r="BN611" s="305"/>
      <c r="BO611" s="305"/>
      <c r="BP611" s="305"/>
    </row>
    <row r="612" spans="1:68" hidden="1">
      <c r="A612" s="104">
        <f t="shared" si="64"/>
        <v>593</v>
      </c>
      <c r="B612" s="101">
        <f t="shared" si="65"/>
        <v>133</v>
      </c>
      <c r="C612" s="101" t="s">
        <v>185</v>
      </c>
      <c r="D612" s="101" t="s">
        <v>319</v>
      </c>
      <c r="E612" s="28">
        <f t="shared" si="67"/>
        <v>0</v>
      </c>
      <c r="F612" s="62"/>
      <c r="G612" s="62"/>
      <c r="H612" s="62"/>
      <c r="I612" s="62"/>
      <c r="J612" s="62">
        <v>2808289.43</v>
      </c>
      <c r="K612" s="62"/>
      <c r="L612" s="62"/>
      <c r="M612" s="62"/>
      <c r="N612" s="62"/>
      <c r="O612" s="62"/>
      <c r="P612" s="62"/>
      <c r="Q612" s="62"/>
      <c r="R612" s="62"/>
      <c r="S612" s="62"/>
      <c r="T612" s="151"/>
      <c r="V612" s="237">
        <f t="shared" si="66"/>
        <v>1</v>
      </c>
    </row>
    <row r="613" spans="1:68" hidden="1">
      <c r="A613" s="104">
        <f t="shared" si="64"/>
        <v>594</v>
      </c>
      <c r="B613" s="101">
        <f t="shared" si="65"/>
        <v>134</v>
      </c>
      <c r="C613" s="101" t="s">
        <v>185</v>
      </c>
      <c r="D613" s="101" t="s">
        <v>756</v>
      </c>
      <c r="E613" s="28">
        <f t="shared" si="67"/>
        <v>0</v>
      </c>
      <c r="F613" s="62"/>
      <c r="G613" s="62"/>
      <c r="H613" s="62"/>
      <c r="I613" s="62"/>
      <c r="J613" s="62">
        <v>2752258.84</v>
      </c>
      <c r="K613" s="62"/>
      <c r="L613" s="62"/>
      <c r="M613" s="62"/>
      <c r="N613" s="62"/>
      <c r="O613" s="62"/>
      <c r="P613" s="62">
        <v>31266920.870000001</v>
      </c>
      <c r="Q613" s="62"/>
      <c r="R613" s="62"/>
      <c r="S613" s="62"/>
      <c r="T613" s="151"/>
      <c r="V613" s="237">
        <f t="shared" si="66"/>
        <v>2</v>
      </c>
    </row>
    <row r="614" spans="1:68" hidden="1">
      <c r="A614" s="104">
        <f t="shared" si="64"/>
        <v>595</v>
      </c>
      <c r="B614" s="101">
        <f t="shared" si="65"/>
        <v>135</v>
      </c>
      <c r="C614" s="101" t="s">
        <v>185</v>
      </c>
      <c r="D614" s="101" t="s">
        <v>471</v>
      </c>
      <c r="E614" s="28">
        <f t="shared" si="67"/>
        <v>0</v>
      </c>
      <c r="F614" s="62"/>
      <c r="G614" s="62"/>
      <c r="H614" s="62">
        <v>0</v>
      </c>
      <c r="I614" s="62">
        <v>0</v>
      </c>
      <c r="J614" s="62"/>
      <c r="K614" s="62"/>
      <c r="L614" s="62"/>
      <c r="M614" s="62">
        <v>0</v>
      </c>
      <c r="N614" s="62"/>
      <c r="O614" s="62">
        <v>0</v>
      </c>
      <c r="P614" s="62">
        <v>20923158.34</v>
      </c>
      <c r="Q614" s="62"/>
      <c r="R614" s="62"/>
      <c r="S614" s="62"/>
      <c r="T614" s="151"/>
      <c r="V614" s="237">
        <f t="shared" si="66"/>
        <v>1</v>
      </c>
    </row>
    <row r="615" spans="1:68" hidden="1">
      <c r="A615" s="104">
        <f t="shared" si="64"/>
        <v>596</v>
      </c>
      <c r="B615" s="101">
        <f t="shared" si="65"/>
        <v>136</v>
      </c>
      <c r="C615" s="101" t="s">
        <v>185</v>
      </c>
      <c r="D615" s="101" t="s">
        <v>472</v>
      </c>
      <c r="E615" s="306">
        <f t="shared" si="67"/>
        <v>0</v>
      </c>
      <c r="F615" s="62">
        <v>0</v>
      </c>
      <c r="G615" s="62">
        <v>1739799.32</v>
      </c>
      <c r="H615" s="62">
        <v>0</v>
      </c>
      <c r="I615" s="62">
        <v>956618.14</v>
      </c>
      <c r="J615" s="62"/>
      <c r="K615" s="62"/>
      <c r="L615" s="62"/>
      <c r="M615" s="62">
        <v>0</v>
      </c>
      <c r="N615" s="62">
        <v>0</v>
      </c>
      <c r="O615" s="62">
        <v>0</v>
      </c>
      <c r="P615" s="62">
        <v>10657833.32</v>
      </c>
      <c r="Q615" s="62"/>
      <c r="R615" s="62"/>
      <c r="S615" s="62"/>
      <c r="T615" s="151"/>
      <c r="V615" s="237">
        <f t="shared" si="66"/>
        <v>3</v>
      </c>
    </row>
    <row r="616" spans="1:68" hidden="1">
      <c r="A616" s="104">
        <f t="shared" si="64"/>
        <v>597</v>
      </c>
      <c r="B616" s="101">
        <f t="shared" si="65"/>
        <v>137</v>
      </c>
      <c r="C616" s="101" t="s">
        <v>185</v>
      </c>
      <c r="D616" s="101" t="s">
        <v>474</v>
      </c>
      <c r="E616" s="28">
        <f t="shared" si="67"/>
        <v>0</v>
      </c>
      <c r="F616" s="62"/>
      <c r="G616" s="62"/>
      <c r="H616" s="62"/>
      <c r="I616" s="62"/>
      <c r="J616" s="62">
        <v>1878920.4</v>
      </c>
      <c r="K616" s="62"/>
      <c r="L616" s="62"/>
      <c r="M616" s="62"/>
      <c r="N616" s="62"/>
      <c r="O616" s="62"/>
      <c r="P616" s="62"/>
      <c r="Q616" s="62"/>
      <c r="R616" s="62"/>
      <c r="S616" s="62"/>
      <c r="T616" s="151"/>
      <c r="V616" s="237">
        <f t="shared" si="66"/>
        <v>1</v>
      </c>
    </row>
    <row r="617" spans="1:68" hidden="1">
      <c r="A617" s="104">
        <f t="shared" si="64"/>
        <v>598</v>
      </c>
      <c r="B617" s="101">
        <f t="shared" si="65"/>
        <v>138</v>
      </c>
      <c r="C617" s="101" t="s">
        <v>185</v>
      </c>
      <c r="D617" s="101" t="s">
        <v>475</v>
      </c>
      <c r="E617" s="28">
        <f t="shared" si="67"/>
        <v>0</v>
      </c>
      <c r="F617" s="62"/>
      <c r="G617" s="62"/>
      <c r="H617" s="62"/>
      <c r="I617" s="62"/>
      <c r="J617" s="62">
        <v>1882425.6</v>
      </c>
      <c r="K617" s="62"/>
      <c r="L617" s="62"/>
      <c r="M617" s="62"/>
      <c r="N617" s="62"/>
      <c r="O617" s="62"/>
      <c r="P617" s="62"/>
      <c r="Q617" s="62"/>
      <c r="R617" s="62"/>
      <c r="S617" s="62"/>
      <c r="T617" s="151"/>
      <c r="V617" s="237">
        <f t="shared" si="66"/>
        <v>1</v>
      </c>
    </row>
    <row r="618" spans="1:68" hidden="1">
      <c r="A618" s="104">
        <f t="shared" si="64"/>
        <v>599</v>
      </c>
      <c r="B618" s="101">
        <f t="shared" si="65"/>
        <v>139</v>
      </c>
      <c r="C618" s="101" t="s">
        <v>185</v>
      </c>
      <c r="D618" s="101" t="s">
        <v>476</v>
      </c>
      <c r="E618" s="28">
        <f t="shared" si="67"/>
        <v>0</v>
      </c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>
        <v>10207701.33</v>
      </c>
      <c r="Q618" s="62"/>
      <c r="R618" s="62"/>
      <c r="S618" s="62"/>
      <c r="T618" s="151"/>
      <c r="U618" s="305"/>
      <c r="V618" s="237">
        <f t="shared" si="66"/>
        <v>1</v>
      </c>
      <c r="W618" s="305"/>
      <c r="X618" s="305"/>
      <c r="Y618" s="305"/>
      <c r="Z618" s="305"/>
      <c r="AA618" s="305"/>
      <c r="AB618" s="305"/>
      <c r="AC618" s="305"/>
      <c r="AD618" s="305"/>
      <c r="AE618" s="305"/>
      <c r="AF618" s="305"/>
      <c r="AG618" s="305"/>
      <c r="AH618" s="305"/>
      <c r="AI618" s="305"/>
      <c r="AJ618" s="305"/>
      <c r="AK618" s="305"/>
      <c r="AL618" s="305"/>
      <c r="AM618" s="305"/>
      <c r="AN618" s="305"/>
      <c r="AO618" s="305"/>
      <c r="AP618" s="305"/>
      <c r="AQ618" s="305"/>
      <c r="AR618" s="305"/>
      <c r="AS618" s="305"/>
      <c r="AT618" s="305"/>
      <c r="AU618" s="305"/>
      <c r="AV618" s="305"/>
      <c r="AW618" s="305"/>
      <c r="AX618" s="305"/>
      <c r="AY618" s="305"/>
      <c r="AZ618" s="305"/>
      <c r="BA618" s="305"/>
      <c r="BB618" s="305"/>
      <c r="BC618" s="305"/>
      <c r="BD618" s="305"/>
      <c r="BE618" s="305"/>
      <c r="BF618" s="305"/>
      <c r="BG618" s="305"/>
      <c r="BH618" s="305"/>
      <c r="BI618" s="305"/>
      <c r="BJ618" s="305"/>
      <c r="BK618" s="305"/>
      <c r="BL618" s="305"/>
      <c r="BM618" s="305"/>
      <c r="BN618" s="305"/>
      <c r="BO618" s="305"/>
      <c r="BP618" s="305"/>
    </row>
    <row r="619" spans="1:68" hidden="1">
      <c r="A619" s="104">
        <f t="shared" si="64"/>
        <v>600</v>
      </c>
      <c r="B619" s="101">
        <f t="shared" si="65"/>
        <v>140</v>
      </c>
      <c r="C619" s="101" t="s">
        <v>185</v>
      </c>
      <c r="D619" s="101" t="s">
        <v>331</v>
      </c>
      <c r="E619" s="28">
        <f t="shared" si="67"/>
        <v>0</v>
      </c>
      <c r="F619" s="62"/>
      <c r="G619" s="62"/>
      <c r="H619" s="62"/>
      <c r="I619" s="62"/>
      <c r="J619" s="62"/>
      <c r="K619" s="62"/>
      <c r="L619" s="62"/>
      <c r="M619" s="62">
        <v>0</v>
      </c>
      <c r="N619" s="62"/>
      <c r="O619" s="62">
        <v>0</v>
      </c>
      <c r="P619" s="62"/>
      <c r="Q619" s="62">
        <v>1228299.83</v>
      </c>
      <c r="R619" s="62"/>
      <c r="S619" s="62"/>
      <c r="T619" s="151"/>
      <c r="V619" s="237">
        <f t="shared" si="66"/>
        <v>1</v>
      </c>
    </row>
    <row r="620" spans="1:68" hidden="1">
      <c r="A620" s="104">
        <f t="shared" si="64"/>
        <v>601</v>
      </c>
      <c r="B620" s="101">
        <f t="shared" si="65"/>
        <v>141</v>
      </c>
      <c r="C620" s="101" t="s">
        <v>185</v>
      </c>
      <c r="D620" s="101" t="s">
        <v>334</v>
      </c>
      <c r="E620" s="306">
        <f t="shared" si="67"/>
        <v>0</v>
      </c>
      <c r="F620" s="62">
        <v>2578640.77</v>
      </c>
      <c r="G620" s="62"/>
      <c r="H620" s="62"/>
      <c r="I620" s="62"/>
      <c r="J620" s="62"/>
      <c r="K620" s="62"/>
      <c r="L620" s="62"/>
      <c r="M620" s="62">
        <v>0</v>
      </c>
      <c r="N620" s="62">
        <v>0</v>
      </c>
      <c r="O620" s="62">
        <v>0</v>
      </c>
      <c r="P620" s="62">
        <v>10442932.67</v>
      </c>
      <c r="Q620" s="62">
        <v>0</v>
      </c>
      <c r="R620" s="62"/>
      <c r="S620" s="62"/>
      <c r="T620" s="151"/>
      <c r="V620" s="237">
        <f t="shared" si="66"/>
        <v>2</v>
      </c>
    </row>
    <row r="621" spans="1:68" hidden="1">
      <c r="A621" s="104">
        <f t="shared" si="64"/>
        <v>602</v>
      </c>
      <c r="B621" s="101">
        <f t="shared" si="65"/>
        <v>142</v>
      </c>
      <c r="C621" s="101" t="s">
        <v>185</v>
      </c>
      <c r="D621" s="101" t="s">
        <v>325</v>
      </c>
      <c r="E621" s="306">
        <f t="shared" si="67"/>
        <v>0</v>
      </c>
      <c r="F621" s="62"/>
      <c r="G621" s="62"/>
      <c r="H621" s="62">
        <v>0</v>
      </c>
      <c r="I621" s="62"/>
      <c r="J621" s="62"/>
      <c r="K621" s="62"/>
      <c r="L621" s="62"/>
      <c r="M621" s="62">
        <v>0</v>
      </c>
      <c r="N621" s="62">
        <v>0</v>
      </c>
      <c r="O621" s="62">
        <v>0</v>
      </c>
      <c r="P621" s="62">
        <v>9486269.3399999999</v>
      </c>
      <c r="Q621" s="62">
        <v>0</v>
      </c>
      <c r="R621" s="62"/>
      <c r="S621" s="62"/>
      <c r="T621" s="151"/>
      <c r="V621" s="237">
        <f t="shared" si="66"/>
        <v>1</v>
      </c>
    </row>
    <row r="622" spans="1:68" hidden="1">
      <c r="A622" s="104">
        <f t="shared" si="64"/>
        <v>603</v>
      </c>
      <c r="B622" s="101">
        <f t="shared" si="65"/>
        <v>143</v>
      </c>
      <c r="C622" s="101" t="s">
        <v>185</v>
      </c>
      <c r="D622" s="101" t="s">
        <v>479</v>
      </c>
      <c r="E622" s="306">
        <f t="shared" si="67"/>
        <v>0</v>
      </c>
      <c r="F622" s="62">
        <v>2591376.4300000002</v>
      </c>
      <c r="G622" s="62"/>
      <c r="H622" s="62"/>
      <c r="I622" s="62"/>
      <c r="J622" s="62"/>
      <c r="K622" s="62"/>
      <c r="L622" s="62"/>
      <c r="M622" s="62">
        <v>0</v>
      </c>
      <c r="N622" s="62">
        <v>0</v>
      </c>
      <c r="O622" s="62">
        <v>0</v>
      </c>
      <c r="P622" s="62">
        <v>14410117.710000001</v>
      </c>
      <c r="Q622" s="62">
        <v>0</v>
      </c>
      <c r="R622" s="62"/>
      <c r="S622" s="62"/>
      <c r="T622" s="151"/>
      <c r="V622" s="237">
        <f t="shared" si="66"/>
        <v>2</v>
      </c>
    </row>
    <row r="623" spans="1:68" hidden="1">
      <c r="A623" s="104">
        <f t="shared" si="64"/>
        <v>604</v>
      </c>
      <c r="B623" s="101">
        <f t="shared" si="65"/>
        <v>144</v>
      </c>
      <c r="C623" s="101" t="s">
        <v>185</v>
      </c>
      <c r="D623" s="101" t="s">
        <v>329</v>
      </c>
      <c r="E623" s="306">
        <f t="shared" si="67"/>
        <v>0</v>
      </c>
      <c r="F623" s="62"/>
      <c r="G623" s="62"/>
      <c r="H623" s="62">
        <v>649174.99</v>
      </c>
      <c r="I623" s="62"/>
      <c r="J623" s="62"/>
      <c r="K623" s="62"/>
      <c r="L623" s="62"/>
      <c r="M623" s="62">
        <v>0</v>
      </c>
      <c r="N623" s="62">
        <v>0</v>
      </c>
      <c r="O623" s="62">
        <v>0</v>
      </c>
      <c r="P623" s="62">
        <v>29979693.719999999</v>
      </c>
      <c r="Q623" s="62"/>
      <c r="R623" s="62"/>
      <c r="S623" s="62"/>
      <c r="T623" s="151"/>
      <c r="V623" s="237">
        <f t="shared" si="66"/>
        <v>2</v>
      </c>
    </row>
    <row r="624" spans="1:68" hidden="1">
      <c r="A624" s="104">
        <f t="shared" si="64"/>
        <v>605</v>
      </c>
      <c r="B624" s="101">
        <f t="shared" si="65"/>
        <v>145</v>
      </c>
      <c r="C624" s="101" t="s">
        <v>185</v>
      </c>
      <c r="D624" s="101" t="s">
        <v>482</v>
      </c>
      <c r="E624" s="306">
        <f t="shared" si="67"/>
        <v>0</v>
      </c>
      <c r="F624" s="62">
        <v>4023823.57</v>
      </c>
      <c r="G624" s="62"/>
      <c r="H624" s="62">
        <v>1431973.03</v>
      </c>
      <c r="I624" s="62"/>
      <c r="J624" s="62">
        <v>0</v>
      </c>
      <c r="K624" s="62"/>
      <c r="L624" s="62"/>
      <c r="M624" s="62">
        <v>0</v>
      </c>
      <c r="N624" s="62"/>
      <c r="O624" s="62"/>
      <c r="P624" s="62"/>
      <c r="Q624" s="62">
        <v>0</v>
      </c>
      <c r="R624" s="62"/>
      <c r="S624" s="62"/>
      <c r="T624" s="151"/>
      <c r="V624" s="237">
        <f t="shared" si="66"/>
        <v>2</v>
      </c>
    </row>
    <row r="625" spans="1:68" hidden="1">
      <c r="A625" s="104">
        <f t="shared" si="64"/>
        <v>606</v>
      </c>
      <c r="B625" s="101">
        <f t="shared" si="65"/>
        <v>146</v>
      </c>
      <c r="C625" s="101" t="s">
        <v>484</v>
      </c>
      <c r="D625" s="313" t="s">
        <v>485</v>
      </c>
      <c r="E625" s="306">
        <f t="shared" si="67"/>
        <v>0</v>
      </c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>
        <v>8778997.0399999991</v>
      </c>
      <c r="Q625" s="62"/>
      <c r="R625" s="62"/>
      <c r="S625" s="62"/>
      <c r="T625" s="151"/>
      <c r="V625" s="237">
        <f t="shared" si="66"/>
        <v>1</v>
      </c>
    </row>
    <row r="626" spans="1:68" hidden="1">
      <c r="A626" s="104">
        <f t="shared" si="64"/>
        <v>607</v>
      </c>
      <c r="B626" s="101">
        <f t="shared" si="65"/>
        <v>147</v>
      </c>
      <c r="C626" s="101" t="s">
        <v>22</v>
      </c>
      <c r="D626" s="101" t="s">
        <v>489</v>
      </c>
      <c r="E626" s="306">
        <f t="shared" si="67"/>
        <v>0</v>
      </c>
      <c r="F626" s="62"/>
      <c r="G626" s="62"/>
      <c r="H626" s="62">
        <v>356593.42</v>
      </c>
      <c r="I626" s="62"/>
      <c r="J626" s="62"/>
      <c r="K626" s="62"/>
      <c r="L626" s="62"/>
      <c r="M626" s="62">
        <v>0</v>
      </c>
      <c r="N626" s="62">
        <v>0</v>
      </c>
      <c r="O626" s="62">
        <v>0</v>
      </c>
      <c r="P626" s="62">
        <v>0</v>
      </c>
      <c r="Q626" s="62">
        <v>0</v>
      </c>
      <c r="R626" s="62"/>
      <c r="S626" s="62"/>
      <c r="T626" s="151"/>
      <c r="V626" s="237">
        <f t="shared" si="66"/>
        <v>1</v>
      </c>
    </row>
    <row r="627" spans="1:68" hidden="1">
      <c r="A627" s="104">
        <f t="shared" ref="A627:A658" si="68">A626+1</f>
        <v>608</v>
      </c>
      <c r="B627" s="101">
        <f t="shared" si="65"/>
        <v>148</v>
      </c>
      <c r="C627" s="101" t="s">
        <v>82</v>
      </c>
      <c r="D627" s="101" t="s">
        <v>491</v>
      </c>
      <c r="E627" s="306">
        <f t="shared" si="67"/>
        <v>0</v>
      </c>
      <c r="F627" s="62"/>
      <c r="G627" s="62">
        <v>0</v>
      </c>
      <c r="H627" s="62">
        <v>639862.65</v>
      </c>
      <c r="I627" s="62">
        <v>291099.68</v>
      </c>
      <c r="J627" s="62">
        <v>0</v>
      </c>
      <c r="K627" s="62"/>
      <c r="L627" s="62"/>
      <c r="M627" s="62">
        <v>0</v>
      </c>
      <c r="N627" s="62">
        <v>0</v>
      </c>
      <c r="O627" s="62">
        <v>0</v>
      </c>
      <c r="P627" s="62">
        <v>0</v>
      </c>
      <c r="Q627" s="62">
        <v>0</v>
      </c>
      <c r="R627" s="62"/>
      <c r="S627" s="62"/>
      <c r="T627" s="151"/>
      <c r="V627" s="237">
        <f t="shared" si="66"/>
        <v>2</v>
      </c>
    </row>
    <row r="628" spans="1:68" hidden="1">
      <c r="A628" s="104">
        <f t="shared" si="68"/>
        <v>609</v>
      </c>
      <c r="B628" s="101">
        <f t="shared" si="65"/>
        <v>149</v>
      </c>
      <c r="C628" s="101" t="s">
        <v>82</v>
      </c>
      <c r="D628" s="101" t="s">
        <v>343</v>
      </c>
      <c r="E628" s="306">
        <f t="shared" si="67"/>
        <v>0</v>
      </c>
      <c r="F628" s="62"/>
      <c r="G628" s="62"/>
      <c r="H628" s="62">
        <v>592995.98</v>
      </c>
      <c r="I628" s="62"/>
      <c r="J628" s="62">
        <v>0</v>
      </c>
      <c r="K628" s="62"/>
      <c r="L628" s="62"/>
      <c r="M628" s="62">
        <v>0</v>
      </c>
      <c r="N628" s="62">
        <v>0</v>
      </c>
      <c r="O628" s="62">
        <v>0</v>
      </c>
      <c r="P628" s="62">
        <v>0</v>
      </c>
      <c r="Q628" s="62">
        <v>0</v>
      </c>
      <c r="R628" s="62"/>
      <c r="S628" s="62"/>
      <c r="T628" s="151"/>
      <c r="V628" s="237">
        <f t="shared" si="66"/>
        <v>1</v>
      </c>
    </row>
    <row r="629" spans="1:68" hidden="1">
      <c r="A629" s="104">
        <f t="shared" si="68"/>
        <v>610</v>
      </c>
      <c r="B629" s="101">
        <f t="shared" ref="B629:B660" si="69">B628+1</f>
        <v>150</v>
      </c>
      <c r="C629" s="101" t="s">
        <v>82</v>
      </c>
      <c r="D629" s="101" t="s">
        <v>85</v>
      </c>
      <c r="E629" s="28">
        <f t="shared" si="67"/>
        <v>0</v>
      </c>
      <c r="F629" s="62"/>
      <c r="G629" s="62"/>
      <c r="H629" s="62">
        <v>994275.93</v>
      </c>
      <c r="I629" s="62"/>
      <c r="J629" s="62">
        <v>0</v>
      </c>
      <c r="K629" s="62"/>
      <c r="L629" s="62"/>
      <c r="M629" s="62">
        <v>0</v>
      </c>
      <c r="N629" s="62">
        <v>0</v>
      </c>
      <c r="O629" s="62">
        <v>0</v>
      </c>
      <c r="P629" s="62">
        <v>0</v>
      </c>
      <c r="Q629" s="62">
        <v>0</v>
      </c>
      <c r="R629" s="62"/>
      <c r="S629" s="62"/>
      <c r="T629" s="151"/>
      <c r="U629" s="305"/>
      <c r="V629" s="237">
        <f t="shared" si="66"/>
        <v>1</v>
      </c>
      <c r="W629" s="305"/>
      <c r="X629" s="305"/>
      <c r="Y629" s="305"/>
      <c r="Z629" s="305"/>
      <c r="AA629" s="305"/>
      <c r="AB629" s="305"/>
      <c r="AC629" s="305"/>
      <c r="AD629" s="305"/>
      <c r="AE629" s="305"/>
      <c r="AF629" s="305"/>
      <c r="AG629" s="305"/>
      <c r="AH629" s="305"/>
      <c r="AI629" s="305"/>
      <c r="AJ629" s="305"/>
      <c r="AK629" s="305"/>
      <c r="AL629" s="305"/>
      <c r="AM629" s="305"/>
      <c r="AN629" s="305"/>
      <c r="AO629" s="305"/>
      <c r="AP629" s="305"/>
      <c r="AQ629" s="305"/>
      <c r="AR629" s="305"/>
      <c r="AS629" s="305"/>
      <c r="AT629" s="305"/>
      <c r="AU629" s="305"/>
      <c r="AV629" s="305"/>
      <c r="AW629" s="305"/>
      <c r="AX629" s="305"/>
      <c r="AY629" s="305"/>
      <c r="AZ629" s="305"/>
      <c r="BA629" s="305"/>
      <c r="BB629" s="305"/>
      <c r="BC629" s="305"/>
      <c r="BD629" s="305"/>
      <c r="BE629" s="305"/>
      <c r="BF629" s="305"/>
      <c r="BG629" s="305"/>
      <c r="BH629" s="305"/>
      <c r="BI629" s="305"/>
      <c r="BJ629" s="305"/>
      <c r="BK629" s="305"/>
      <c r="BL629" s="305"/>
      <c r="BM629" s="305"/>
      <c r="BN629" s="305"/>
      <c r="BO629" s="305"/>
      <c r="BP629" s="305"/>
    </row>
    <row r="630" spans="1:68" hidden="1">
      <c r="A630" s="104">
        <f t="shared" si="68"/>
        <v>611</v>
      </c>
      <c r="B630" s="101">
        <f t="shared" si="69"/>
        <v>151</v>
      </c>
      <c r="C630" s="101" t="s">
        <v>496</v>
      </c>
      <c r="D630" s="101" t="s">
        <v>497</v>
      </c>
      <c r="E630" s="306">
        <f t="shared" si="67"/>
        <v>0</v>
      </c>
      <c r="F630" s="62"/>
      <c r="G630" s="62">
        <v>176147.11</v>
      </c>
      <c r="H630" s="62">
        <v>322870.37</v>
      </c>
      <c r="I630" s="62">
        <v>282100.7</v>
      </c>
      <c r="J630" s="62">
        <v>0</v>
      </c>
      <c r="K630" s="62"/>
      <c r="L630" s="62"/>
      <c r="M630" s="62">
        <v>0</v>
      </c>
      <c r="N630" s="62">
        <v>0</v>
      </c>
      <c r="O630" s="62">
        <v>0</v>
      </c>
      <c r="P630" s="62">
        <v>0</v>
      </c>
      <c r="Q630" s="62">
        <v>0</v>
      </c>
      <c r="R630" s="62"/>
      <c r="S630" s="62"/>
      <c r="T630" s="151"/>
      <c r="V630" s="237">
        <f t="shared" si="66"/>
        <v>3</v>
      </c>
    </row>
    <row r="631" spans="1:68" hidden="1">
      <c r="A631" s="104">
        <f t="shared" si="68"/>
        <v>612</v>
      </c>
      <c r="B631" s="101">
        <f t="shared" si="69"/>
        <v>152</v>
      </c>
      <c r="C631" s="101" t="s">
        <v>496</v>
      </c>
      <c r="D631" s="101" t="s">
        <v>499</v>
      </c>
      <c r="E631" s="306">
        <f t="shared" si="67"/>
        <v>0</v>
      </c>
      <c r="F631" s="62"/>
      <c r="G631" s="62">
        <v>739321.72</v>
      </c>
      <c r="H631" s="62">
        <v>0</v>
      </c>
      <c r="I631" s="62">
        <v>0</v>
      </c>
      <c r="J631" s="62">
        <v>0</v>
      </c>
      <c r="K631" s="62"/>
      <c r="L631" s="62"/>
      <c r="M631" s="62">
        <v>0</v>
      </c>
      <c r="N631" s="62"/>
      <c r="O631" s="62">
        <v>0</v>
      </c>
      <c r="P631" s="62">
        <v>0</v>
      </c>
      <c r="Q631" s="62">
        <v>0</v>
      </c>
      <c r="R631" s="62"/>
      <c r="S631" s="62"/>
      <c r="T631" s="151"/>
      <c r="V631" s="237">
        <f t="shared" si="66"/>
        <v>1</v>
      </c>
    </row>
    <row r="632" spans="1:68" hidden="1">
      <c r="A632" s="104">
        <f t="shared" si="68"/>
        <v>613</v>
      </c>
      <c r="B632" s="101">
        <f t="shared" si="69"/>
        <v>153</v>
      </c>
      <c r="C632" s="101" t="s">
        <v>87</v>
      </c>
      <c r="D632" s="101" t="s">
        <v>501</v>
      </c>
      <c r="E632" s="306">
        <f t="shared" si="67"/>
        <v>0</v>
      </c>
      <c r="F632" s="62">
        <v>0</v>
      </c>
      <c r="G632" s="62">
        <v>0</v>
      </c>
      <c r="H632" s="62">
        <v>341993.54</v>
      </c>
      <c r="I632" s="62">
        <v>0</v>
      </c>
      <c r="J632" s="62">
        <v>0</v>
      </c>
      <c r="K632" s="62"/>
      <c r="L632" s="62"/>
      <c r="M632" s="62">
        <v>0</v>
      </c>
      <c r="N632" s="62">
        <v>0</v>
      </c>
      <c r="O632" s="62">
        <v>0</v>
      </c>
      <c r="P632" s="62">
        <v>0</v>
      </c>
      <c r="Q632" s="62">
        <v>0</v>
      </c>
      <c r="R632" s="62"/>
      <c r="S632" s="62"/>
      <c r="T632" s="151"/>
      <c r="V632" s="237">
        <f t="shared" si="66"/>
        <v>1</v>
      </c>
    </row>
    <row r="633" spans="1:68" hidden="1">
      <c r="A633" s="104">
        <f t="shared" si="68"/>
        <v>614</v>
      </c>
      <c r="B633" s="101">
        <f t="shared" si="69"/>
        <v>154</v>
      </c>
      <c r="C633" s="101" t="s">
        <v>87</v>
      </c>
      <c r="D633" s="101" t="s">
        <v>502</v>
      </c>
      <c r="E633" s="306">
        <f t="shared" si="67"/>
        <v>0</v>
      </c>
      <c r="F633" s="62">
        <v>0</v>
      </c>
      <c r="G633" s="62">
        <v>0</v>
      </c>
      <c r="H633" s="62">
        <v>438775.96</v>
      </c>
      <c r="I633" s="62">
        <v>0</v>
      </c>
      <c r="J633" s="62">
        <v>0</v>
      </c>
      <c r="K633" s="62"/>
      <c r="L633" s="62"/>
      <c r="M633" s="62">
        <v>0</v>
      </c>
      <c r="N633" s="62">
        <v>0</v>
      </c>
      <c r="O633" s="62">
        <v>0</v>
      </c>
      <c r="P633" s="62">
        <v>0</v>
      </c>
      <c r="Q633" s="62">
        <v>0</v>
      </c>
      <c r="R633" s="62"/>
      <c r="S633" s="62"/>
      <c r="T633" s="151"/>
      <c r="V633" s="237">
        <f t="shared" si="66"/>
        <v>1</v>
      </c>
    </row>
    <row r="634" spans="1:68" hidden="1">
      <c r="A634" s="104">
        <f t="shared" si="68"/>
        <v>615</v>
      </c>
      <c r="B634" s="101">
        <f t="shared" si="69"/>
        <v>155</v>
      </c>
      <c r="C634" s="101" t="s">
        <v>87</v>
      </c>
      <c r="D634" s="101" t="s">
        <v>94</v>
      </c>
      <c r="E634" s="28">
        <f t="shared" si="67"/>
        <v>0</v>
      </c>
      <c r="F634" s="62">
        <v>1652583.59</v>
      </c>
      <c r="G634" s="62"/>
      <c r="H634" s="62"/>
      <c r="I634" s="62"/>
      <c r="J634" s="62">
        <v>0</v>
      </c>
      <c r="K634" s="62"/>
      <c r="L634" s="62"/>
      <c r="M634" s="62">
        <v>0</v>
      </c>
      <c r="N634" s="62"/>
      <c r="O634" s="62">
        <v>0</v>
      </c>
      <c r="P634" s="62">
        <v>0</v>
      </c>
      <c r="Q634" s="62">
        <v>0</v>
      </c>
      <c r="R634" s="62"/>
      <c r="S634" s="62"/>
      <c r="T634" s="151"/>
      <c r="V634" s="237">
        <f t="shared" si="66"/>
        <v>1</v>
      </c>
    </row>
    <row r="635" spans="1:68" hidden="1">
      <c r="A635" s="104">
        <f t="shared" si="68"/>
        <v>616</v>
      </c>
      <c r="B635" s="101">
        <f t="shared" si="69"/>
        <v>156</v>
      </c>
      <c r="C635" s="101" t="s">
        <v>87</v>
      </c>
      <c r="D635" s="101" t="s">
        <v>504</v>
      </c>
      <c r="E635" s="306">
        <f t="shared" si="67"/>
        <v>0</v>
      </c>
      <c r="F635" s="62">
        <v>0</v>
      </c>
      <c r="G635" s="62">
        <v>0</v>
      </c>
      <c r="H635" s="62">
        <v>432298.63</v>
      </c>
      <c r="I635" s="62">
        <v>0</v>
      </c>
      <c r="J635" s="62">
        <v>0</v>
      </c>
      <c r="K635" s="62"/>
      <c r="L635" s="62"/>
      <c r="M635" s="62">
        <v>0</v>
      </c>
      <c r="N635" s="62">
        <v>0</v>
      </c>
      <c r="O635" s="62">
        <v>0</v>
      </c>
      <c r="P635" s="62">
        <v>0</v>
      </c>
      <c r="Q635" s="62">
        <v>0</v>
      </c>
      <c r="R635" s="62"/>
      <c r="S635" s="62"/>
      <c r="T635" s="151"/>
      <c r="V635" s="237">
        <f t="shared" si="66"/>
        <v>1</v>
      </c>
    </row>
    <row r="636" spans="1:68" hidden="1">
      <c r="A636" s="104">
        <f t="shared" si="68"/>
        <v>617</v>
      </c>
      <c r="B636" s="101">
        <f t="shared" si="69"/>
        <v>157</v>
      </c>
      <c r="C636" s="101" t="s">
        <v>87</v>
      </c>
      <c r="D636" s="101" t="s">
        <v>505</v>
      </c>
      <c r="E636" s="306">
        <f t="shared" si="67"/>
        <v>0</v>
      </c>
      <c r="F636" s="62">
        <v>0</v>
      </c>
      <c r="G636" s="62">
        <v>0</v>
      </c>
      <c r="H636" s="62"/>
      <c r="I636" s="62">
        <v>0</v>
      </c>
      <c r="J636" s="62">
        <v>0</v>
      </c>
      <c r="K636" s="62"/>
      <c r="L636" s="62"/>
      <c r="M636" s="62">
        <v>0</v>
      </c>
      <c r="N636" s="62">
        <v>0</v>
      </c>
      <c r="O636" s="62">
        <v>0</v>
      </c>
      <c r="P636" s="62">
        <v>0</v>
      </c>
      <c r="Q636" s="62">
        <v>2297434.79</v>
      </c>
      <c r="R636" s="62"/>
      <c r="S636" s="62"/>
      <c r="T636" s="151"/>
      <c r="V636" s="237">
        <f t="shared" si="66"/>
        <v>1</v>
      </c>
    </row>
    <row r="637" spans="1:68" hidden="1">
      <c r="A637" s="104">
        <f t="shared" si="68"/>
        <v>618</v>
      </c>
      <c r="B637" s="101">
        <f t="shared" si="69"/>
        <v>158</v>
      </c>
      <c r="C637" s="101" t="s">
        <v>87</v>
      </c>
      <c r="D637" s="101" t="s">
        <v>506</v>
      </c>
      <c r="E637" s="306">
        <f t="shared" si="67"/>
        <v>0</v>
      </c>
      <c r="F637" s="62">
        <v>0</v>
      </c>
      <c r="G637" s="62">
        <v>0</v>
      </c>
      <c r="H637" s="62">
        <v>2013106.51</v>
      </c>
      <c r="I637" s="62">
        <v>0</v>
      </c>
      <c r="J637" s="62">
        <v>0</v>
      </c>
      <c r="K637" s="62"/>
      <c r="L637" s="62"/>
      <c r="M637" s="62">
        <v>0</v>
      </c>
      <c r="N637" s="62">
        <v>0</v>
      </c>
      <c r="O637" s="62">
        <v>0</v>
      </c>
      <c r="P637" s="62">
        <v>0</v>
      </c>
      <c r="Q637" s="62">
        <v>0</v>
      </c>
      <c r="R637" s="62"/>
      <c r="S637" s="62"/>
      <c r="T637" s="151"/>
      <c r="V637" s="237">
        <f t="shared" si="66"/>
        <v>1</v>
      </c>
    </row>
    <row r="638" spans="1:68" hidden="1">
      <c r="A638" s="104">
        <f t="shared" si="68"/>
        <v>619</v>
      </c>
      <c r="B638" s="101">
        <f t="shared" si="69"/>
        <v>159</v>
      </c>
      <c r="C638" s="101" t="s">
        <v>87</v>
      </c>
      <c r="D638" s="101" t="s">
        <v>507</v>
      </c>
      <c r="E638" s="306">
        <f t="shared" si="67"/>
        <v>0</v>
      </c>
      <c r="F638" s="62">
        <v>0</v>
      </c>
      <c r="G638" s="62">
        <v>0</v>
      </c>
      <c r="H638" s="62">
        <v>426037.94</v>
      </c>
      <c r="I638" s="62">
        <v>0</v>
      </c>
      <c r="J638" s="62">
        <v>0</v>
      </c>
      <c r="K638" s="62"/>
      <c r="L638" s="62"/>
      <c r="M638" s="62">
        <v>0</v>
      </c>
      <c r="N638" s="62">
        <v>0</v>
      </c>
      <c r="O638" s="62">
        <v>0</v>
      </c>
      <c r="P638" s="62">
        <v>0</v>
      </c>
      <c r="Q638" s="62">
        <v>0</v>
      </c>
      <c r="R638" s="62"/>
      <c r="S638" s="62"/>
      <c r="T638" s="151"/>
      <c r="V638" s="237">
        <f t="shared" si="66"/>
        <v>1</v>
      </c>
    </row>
    <row r="639" spans="1:68" hidden="1">
      <c r="A639" s="104">
        <f t="shared" si="68"/>
        <v>620</v>
      </c>
      <c r="B639" s="101">
        <f t="shared" si="69"/>
        <v>160</v>
      </c>
      <c r="C639" s="101" t="s">
        <v>87</v>
      </c>
      <c r="D639" s="101" t="s">
        <v>508</v>
      </c>
      <c r="E639" s="306">
        <f t="shared" si="67"/>
        <v>0</v>
      </c>
      <c r="F639" s="62">
        <v>0</v>
      </c>
      <c r="G639" s="62">
        <v>0</v>
      </c>
      <c r="H639" s="62">
        <v>337207.15</v>
      </c>
      <c r="I639" s="62">
        <v>0</v>
      </c>
      <c r="J639" s="62">
        <v>0</v>
      </c>
      <c r="K639" s="62"/>
      <c r="L639" s="62"/>
      <c r="M639" s="62">
        <v>0</v>
      </c>
      <c r="N639" s="62">
        <v>0</v>
      </c>
      <c r="O639" s="62">
        <v>0</v>
      </c>
      <c r="P639" s="62">
        <v>0</v>
      </c>
      <c r="Q639" s="62">
        <v>0</v>
      </c>
      <c r="R639" s="62"/>
      <c r="S639" s="62"/>
      <c r="T639" s="151"/>
      <c r="V639" s="237">
        <f t="shared" si="66"/>
        <v>1</v>
      </c>
    </row>
    <row r="640" spans="1:68" hidden="1">
      <c r="A640" s="104">
        <f t="shared" si="68"/>
        <v>621</v>
      </c>
      <c r="B640" s="101">
        <f t="shared" si="69"/>
        <v>161</v>
      </c>
      <c r="C640" s="101" t="s">
        <v>87</v>
      </c>
      <c r="D640" s="101" t="s">
        <v>509</v>
      </c>
      <c r="E640" s="306">
        <f t="shared" si="67"/>
        <v>0</v>
      </c>
      <c r="F640" s="62">
        <v>0</v>
      </c>
      <c r="G640" s="62">
        <v>0</v>
      </c>
      <c r="H640" s="62">
        <v>472025.63</v>
      </c>
      <c r="I640" s="62">
        <v>0</v>
      </c>
      <c r="J640" s="62">
        <v>0</v>
      </c>
      <c r="K640" s="62"/>
      <c r="L640" s="62"/>
      <c r="M640" s="62">
        <v>0</v>
      </c>
      <c r="N640" s="62">
        <v>0</v>
      </c>
      <c r="O640" s="62">
        <v>0</v>
      </c>
      <c r="P640" s="62">
        <v>0</v>
      </c>
      <c r="Q640" s="62">
        <v>0</v>
      </c>
      <c r="R640" s="62"/>
      <c r="S640" s="62"/>
      <c r="T640" s="151"/>
      <c r="V640" s="237">
        <f t="shared" si="66"/>
        <v>1</v>
      </c>
    </row>
    <row r="641" spans="1:68" hidden="1">
      <c r="A641" s="104">
        <f t="shared" si="68"/>
        <v>622</v>
      </c>
      <c r="B641" s="101">
        <f t="shared" si="69"/>
        <v>162</v>
      </c>
      <c r="C641" s="101" t="s">
        <v>104</v>
      </c>
      <c r="D641" s="101" t="s">
        <v>511</v>
      </c>
      <c r="E641" s="28">
        <f t="shared" si="67"/>
        <v>0</v>
      </c>
      <c r="F641" s="62">
        <v>4711950.83</v>
      </c>
      <c r="G641" s="62"/>
      <c r="H641" s="62"/>
      <c r="I641" s="62"/>
      <c r="J641" s="62">
        <v>0</v>
      </c>
      <c r="K641" s="62"/>
      <c r="L641" s="62"/>
      <c r="M641" s="62">
        <v>0</v>
      </c>
      <c r="N641" s="62">
        <v>0</v>
      </c>
      <c r="O641" s="62">
        <v>0</v>
      </c>
      <c r="P641" s="62">
        <v>0</v>
      </c>
      <c r="Q641" s="62">
        <v>0</v>
      </c>
      <c r="R641" s="62"/>
      <c r="S641" s="62"/>
      <c r="T641" s="151"/>
      <c r="V641" s="237">
        <f t="shared" si="66"/>
        <v>1</v>
      </c>
    </row>
    <row r="642" spans="1:68" hidden="1">
      <c r="A642" s="104">
        <f t="shared" si="68"/>
        <v>623</v>
      </c>
      <c r="B642" s="101">
        <f t="shared" si="69"/>
        <v>163</v>
      </c>
      <c r="C642" s="101" t="s">
        <v>104</v>
      </c>
      <c r="D642" s="101" t="s">
        <v>513</v>
      </c>
      <c r="E642" s="28">
        <f t="shared" si="67"/>
        <v>0</v>
      </c>
      <c r="F642" s="62">
        <v>0</v>
      </c>
      <c r="G642" s="62">
        <v>0</v>
      </c>
      <c r="H642" s="62">
        <v>2252096.81</v>
      </c>
      <c r="I642" s="62"/>
      <c r="J642" s="62">
        <v>0</v>
      </c>
      <c r="K642" s="62"/>
      <c r="L642" s="62"/>
      <c r="M642" s="62">
        <v>0</v>
      </c>
      <c r="N642" s="62">
        <v>0</v>
      </c>
      <c r="O642" s="62">
        <v>0</v>
      </c>
      <c r="P642" s="62">
        <v>0</v>
      </c>
      <c r="Q642" s="62">
        <v>0</v>
      </c>
      <c r="R642" s="62"/>
      <c r="S642" s="62"/>
      <c r="T642" s="151"/>
      <c r="U642" s="305"/>
      <c r="V642" s="237">
        <f t="shared" si="66"/>
        <v>1</v>
      </c>
      <c r="W642" s="305"/>
      <c r="X642" s="305"/>
      <c r="Y642" s="305"/>
      <c r="Z642" s="305"/>
      <c r="AA642" s="305"/>
      <c r="AB642" s="305"/>
      <c r="AC642" s="305"/>
      <c r="AD642" s="305"/>
      <c r="AE642" s="305"/>
      <c r="AF642" s="305"/>
      <c r="AG642" s="305"/>
      <c r="AH642" s="305"/>
      <c r="AI642" s="305"/>
      <c r="AJ642" s="305"/>
      <c r="AK642" s="305"/>
      <c r="AL642" s="305"/>
      <c r="AM642" s="305"/>
      <c r="AN642" s="305"/>
      <c r="AO642" s="305"/>
      <c r="AP642" s="305"/>
      <c r="AQ642" s="305"/>
      <c r="AR642" s="305"/>
      <c r="AS642" s="305"/>
      <c r="AT642" s="305"/>
      <c r="AU642" s="305"/>
      <c r="AV642" s="305"/>
      <c r="AW642" s="305"/>
      <c r="AX642" s="305"/>
      <c r="AY642" s="305"/>
      <c r="AZ642" s="305"/>
      <c r="BA642" s="305"/>
      <c r="BB642" s="305"/>
      <c r="BC642" s="305"/>
      <c r="BD642" s="305"/>
      <c r="BE642" s="305"/>
      <c r="BF642" s="305"/>
      <c r="BG642" s="305"/>
      <c r="BH642" s="305"/>
      <c r="BI642" s="305"/>
      <c r="BJ642" s="305"/>
      <c r="BK642" s="305"/>
      <c r="BL642" s="305"/>
      <c r="BM642" s="305"/>
      <c r="BN642" s="305"/>
      <c r="BO642" s="305"/>
      <c r="BP642" s="305"/>
    </row>
    <row r="643" spans="1:68" hidden="1">
      <c r="A643" s="104">
        <f t="shared" si="68"/>
        <v>624</v>
      </c>
      <c r="B643" s="101">
        <f t="shared" si="69"/>
        <v>164</v>
      </c>
      <c r="C643" s="101" t="s">
        <v>104</v>
      </c>
      <c r="D643" s="101" t="s">
        <v>514</v>
      </c>
      <c r="E643" s="28">
        <f t="shared" si="67"/>
        <v>0</v>
      </c>
      <c r="F643" s="62">
        <v>0</v>
      </c>
      <c r="G643" s="62">
        <v>0</v>
      </c>
      <c r="H643" s="62">
        <v>887392.74</v>
      </c>
      <c r="I643" s="62">
        <v>0</v>
      </c>
      <c r="J643" s="62">
        <v>0</v>
      </c>
      <c r="K643" s="62"/>
      <c r="L643" s="62"/>
      <c r="M643" s="62">
        <v>0</v>
      </c>
      <c r="N643" s="62">
        <v>0</v>
      </c>
      <c r="O643" s="62">
        <v>0</v>
      </c>
      <c r="P643" s="62">
        <v>0</v>
      </c>
      <c r="Q643" s="62">
        <v>0</v>
      </c>
      <c r="R643" s="62"/>
      <c r="S643" s="62"/>
      <c r="T643" s="151"/>
      <c r="V643" s="237">
        <f t="shared" si="66"/>
        <v>1</v>
      </c>
    </row>
    <row r="644" spans="1:68" hidden="1">
      <c r="A644" s="104">
        <f t="shared" si="68"/>
        <v>625</v>
      </c>
      <c r="B644" s="101">
        <f t="shared" si="69"/>
        <v>165</v>
      </c>
      <c r="C644" s="101" t="s">
        <v>104</v>
      </c>
      <c r="D644" s="101" t="s">
        <v>515</v>
      </c>
      <c r="E644" s="28">
        <f t="shared" si="67"/>
        <v>0</v>
      </c>
      <c r="F644" s="62">
        <v>0</v>
      </c>
      <c r="G644" s="62">
        <v>0</v>
      </c>
      <c r="H644" s="62">
        <v>1097208.8899999999</v>
      </c>
      <c r="I644" s="62">
        <v>0</v>
      </c>
      <c r="J644" s="62">
        <v>0</v>
      </c>
      <c r="K644" s="62"/>
      <c r="L644" s="62"/>
      <c r="M644" s="62">
        <v>0</v>
      </c>
      <c r="N644" s="62">
        <v>0</v>
      </c>
      <c r="O644" s="62">
        <v>0</v>
      </c>
      <c r="P644" s="62">
        <v>0</v>
      </c>
      <c r="Q644" s="62">
        <v>0</v>
      </c>
      <c r="R644" s="62"/>
      <c r="S644" s="62"/>
      <c r="T644" s="151"/>
      <c r="V644" s="237">
        <f t="shared" si="66"/>
        <v>1</v>
      </c>
    </row>
    <row r="645" spans="1:68" hidden="1">
      <c r="A645" s="104">
        <f t="shared" si="68"/>
        <v>626</v>
      </c>
      <c r="B645" s="101">
        <f t="shared" si="69"/>
        <v>166</v>
      </c>
      <c r="C645" s="101" t="s">
        <v>104</v>
      </c>
      <c r="D645" s="101" t="s">
        <v>517</v>
      </c>
      <c r="E645" s="28">
        <f t="shared" si="67"/>
        <v>0</v>
      </c>
      <c r="F645" s="62">
        <v>0</v>
      </c>
      <c r="G645" s="62">
        <v>0</v>
      </c>
      <c r="H645" s="62">
        <v>0</v>
      </c>
      <c r="I645" s="62">
        <v>0</v>
      </c>
      <c r="J645" s="62">
        <v>0</v>
      </c>
      <c r="K645" s="62"/>
      <c r="L645" s="62"/>
      <c r="M645" s="62">
        <v>0</v>
      </c>
      <c r="N645" s="62">
        <v>6459939.3799999999</v>
      </c>
      <c r="O645" s="62">
        <v>0</v>
      </c>
      <c r="P645" s="62">
        <v>0</v>
      </c>
      <c r="Q645" s="62">
        <v>0</v>
      </c>
      <c r="R645" s="62"/>
      <c r="S645" s="62"/>
      <c r="T645" s="151"/>
      <c r="V645" s="237">
        <f t="shared" si="66"/>
        <v>1</v>
      </c>
    </row>
    <row r="646" spans="1:68" hidden="1">
      <c r="A646" s="104">
        <f t="shared" si="68"/>
        <v>627</v>
      </c>
      <c r="B646" s="101">
        <f t="shared" si="69"/>
        <v>167</v>
      </c>
      <c r="C646" s="101" t="s">
        <v>104</v>
      </c>
      <c r="D646" s="101" t="s">
        <v>518</v>
      </c>
      <c r="E646" s="28">
        <f t="shared" si="67"/>
        <v>0</v>
      </c>
      <c r="F646" s="62"/>
      <c r="G646" s="62"/>
      <c r="H646" s="62">
        <v>1247379.54</v>
      </c>
      <c r="I646" s="62">
        <v>0</v>
      </c>
      <c r="J646" s="62">
        <v>0</v>
      </c>
      <c r="K646" s="62"/>
      <c r="L646" s="62"/>
      <c r="M646" s="62">
        <v>0</v>
      </c>
      <c r="N646" s="62">
        <v>0</v>
      </c>
      <c r="O646" s="62">
        <v>0</v>
      </c>
      <c r="P646" s="62"/>
      <c r="Q646" s="62">
        <v>0</v>
      </c>
      <c r="R646" s="62"/>
      <c r="S646" s="62"/>
      <c r="T646" s="151"/>
      <c r="V646" s="237">
        <f t="shared" si="66"/>
        <v>1</v>
      </c>
    </row>
    <row r="647" spans="1:68" hidden="1">
      <c r="A647" s="104">
        <f t="shared" si="68"/>
        <v>628</v>
      </c>
      <c r="B647" s="101">
        <f t="shared" si="69"/>
        <v>168</v>
      </c>
      <c r="C647" s="101" t="s">
        <v>104</v>
      </c>
      <c r="D647" s="101" t="s">
        <v>521</v>
      </c>
      <c r="E647" s="28">
        <f t="shared" si="67"/>
        <v>0</v>
      </c>
      <c r="F647" s="62"/>
      <c r="G647" s="62"/>
      <c r="H647" s="62"/>
      <c r="I647" s="62">
        <v>0</v>
      </c>
      <c r="J647" s="62">
        <v>0</v>
      </c>
      <c r="K647" s="62"/>
      <c r="L647" s="62"/>
      <c r="M647" s="62">
        <v>0</v>
      </c>
      <c r="N647" s="62">
        <v>3161258.83</v>
      </c>
      <c r="O647" s="62">
        <v>0</v>
      </c>
      <c r="P647" s="62"/>
      <c r="Q647" s="62">
        <v>0</v>
      </c>
      <c r="R647" s="62"/>
      <c r="S647" s="62"/>
      <c r="T647" s="151"/>
      <c r="V647" s="237">
        <f t="shared" si="66"/>
        <v>1</v>
      </c>
    </row>
    <row r="648" spans="1:68" hidden="1">
      <c r="A648" s="104">
        <f t="shared" si="68"/>
        <v>629</v>
      </c>
      <c r="B648" s="101">
        <f t="shared" si="69"/>
        <v>169</v>
      </c>
      <c r="C648" s="101" t="s">
        <v>104</v>
      </c>
      <c r="D648" s="101" t="s">
        <v>110</v>
      </c>
      <c r="E648" s="28">
        <f t="shared" si="67"/>
        <v>0</v>
      </c>
      <c r="F648" s="62">
        <v>0</v>
      </c>
      <c r="G648" s="62">
        <v>0</v>
      </c>
      <c r="H648" s="62">
        <v>2425802.77</v>
      </c>
      <c r="I648" s="62"/>
      <c r="J648" s="62">
        <v>0</v>
      </c>
      <c r="K648" s="62"/>
      <c r="L648" s="62"/>
      <c r="M648" s="62">
        <v>0</v>
      </c>
      <c r="N648" s="62">
        <v>0</v>
      </c>
      <c r="O648" s="62">
        <v>0</v>
      </c>
      <c r="P648" s="62">
        <v>0</v>
      </c>
      <c r="Q648" s="62">
        <v>0</v>
      </c>
      <c r="R648" s="62"/>
      <c r="S648" s="62"/>
      <c r="T648" s="151"/>
      <c r="V648" s="237">
        <f t="shared" si="66"/>
        <v>1</v>
      </c>
    </row>
    <row r="649" spans="1:68" hidden="1">
      <c r="A649" s="104">
        <f t="shared" si="68"/>
        <v>630</v>
      </c>
      <c r="B649" s="101">
        <f t="shared" si="69"/>
        <v>170</v>
      </c>
      <c r="C649" s="101" t="s">
        <v>104</v>
      </c>
      <c r="D649" s="101" t="s">
        <v>523</v>
      </c>
      <c r="E649" s="28">
        <f t="shared" si="67"/>
        <v>0</v>
      </c>
      <c r="F649" s="62">
        <v>0</v>
      </c>
      <c r="G649" s="62">
        <v>0</v>
      </c>
      <c r="H649" s="62">
        <v>2477308.4900000002</v>
      </c>
      <c r="I649" s="62">
        <v>0</v>
      </c>
      <c r="J649" s="62">
        <v>0</v>
      </c>
      <c r="K649" s="62"/>
      <c r="L649" s="62"/>
      <c r="M649" s="62">
        <v>0</v>
      </c>
      <c r="N649" s="62">
        <v>0</v>
      </c>
      <c r="O649" s="62">
        <v>0</v>
      </c>
      <c r="P649" s="62">
        <v>0</v>
      </c>
      <c r="Q649" s="62">
        <v>0</v>
      </c>
      <c r="R649" s="62"/>
      <c r="S649" s="62"/>
      <c r="T649" s="151"/>
      <c r="V649" s="237">
        <f t="shared" si="66"/>
        <v>1</v>
      </c>
    </row>
    <row r="650" spans="1:68" hidden="1">
      <c r="A650" s="104">
        <f t="shared" si="68"/>
        <v>631</v>
      </c>
      <c r="B650" s="101">
        <f t="shared" si="69"/>
        <v>171</v>
      </c>
      <c r="C650" s="101" t="s">
        <v>355</v>
      </c>
      <c r="D650" s="101" t="s">
        <v>524</v>
      </c>
      <c r="E650" s="306">
        <f t="shared" si="67"/>
        <v>0</v>
      </c>
      <c r="F650" s="62">
        <v>0</v>
      </c>
      <c r="G650" s="62">
        <v>0</v>
      </c>
      <c r="H650" s="62">
        <v>1349826.58</v>
      </c>
      <c r="I650" s="62">
        <v>0</v>
      </c>
      <c r="J650" s="62">
        <v>0</v>
      </c>
      <c r="K650" s="62"/>
      <c r="L650" s="62"/>
      <c r="M650" s="62">
        <v>0</v>
      </c>
      <c r="N650" s="62">
        <v>0</v>
      </c>
      <c r="O650" s="62"/>
      <c r="P650" s="62">
        <v>0</v>
      </c>
      <c r="Q650" s="62">
        <v>87764.87</v>
      </c>
      <c r="R650" s="62"/>
      <c r="S650" s="62"/>
      <c r="T650" s="151"/>
      <c r="V650" s="237">
        <f t="shared" si="66"/>
        <v>2</v>
      </c>
    </row>
    <row r="651" spans="1:68" hidden="1">
      <c r="A651" s="104">
        <f t="shared" si="68"/>
        <v>632</v>
      </c>
      <c r="B651" s="101">
        <f t="shared" si="69"/>
        <v>172</v>
      </c>
      <c r="C651" s="101" t="s">
        <v>355</v>
      </c>
      <c r="D651" s="101" t="s">
        <v>526</v>
      </c>
      <c r="E651" s="306">
        <f t="shared" si="67"/>
        <v>0</v>
      </c>
      <c r="F651" s="62"/>
      <c r="G651" s="62">
        <v>4985424.9000000004</v>
      </c>
      <c r="H651" s="62"/>
      <c r="I651" s="62">
        <v>1839863.46</v>
      </c>
      <c r="J651" s="62">
        <v>0</v>
      </c>
      <c r="K651" s="62"/>
      <c r="L651" s="62"/>
      <c r="M651" s="62">
        <v>0</v>
      </c>
      <c r="N651" s="62">
        <v>15795070.369999999</v>
      </c>
      <c r="O651" s="62">
        <v>0</v>
      </c>
      <c r="P651" s="62"/>
      <c r="Q651" s="62"/>
      <c r="R651" s="62"/>
      <c r="S651" s="62"/>
      <c r="T651" s="151"/>
      <c r="V651" s="237">
        <f t="shared" si="66"/>
        <v>3</v>
      </c>
    </row>
    <row r="652" spans="1:68" hidden="1">
      <c r="A652" s="104">
        <f t="shared" si="68"/>
        <v>633</v>
      </c>
      <c r="B652" s="101">
        <f t="shared" si="69"/>
        <v>173</v>
      </c>
      <c r="C652" s="101" t="s">
        <v>355</v>
      </c>
      <c r="D652" s="101" t="s">
        <v>358</v>
      </c>
      <c r="E652" s="306">
        <f t="shared" si="67"/>
        <v>0</v>
      </c>
      <c r="F652" s="62"/>
      <c r="G652" s="62"/>
      <c r="H652" s="62"/>
      <c r="I652" s="62"/>
      <c r="J652" s="62"/>
      <c r="K652" s="62"/>
      <c r="L652" s="62"/>
      <c r="M652" s="62">
        <v>0</v>
      </c>
      <c r="N652" s="62">
        <v>11157588.460000001</v>
      </c>
      <c r="O652" s="62">
        <v>0</v>
      </c>
      <c r="P652" s="62"/>
      <c r="Q652" s="62"/>
      <c r="R652" s="62"/>
      <c r="S652" s="62"/>
      <c r="T652" s="151"/>
      <c r="V652" s="237">
        <f t="shared" si="66"/>
        <v>1</v>
      </c>
    </row>
    <row r="653" spans="1:68" hidden="1">
      <c r="A653" s="104">
        <f t="shared" si="68"/>
        <v>634</v>
      </c>
      <c r="B653" s="101">
        <f t="shared" si="69"/>
        <v>174</v>
      </c>
      <c r="C653" s="101" t="s">
        <v>355</v>
      </c>
      <c r="D653" s="101" t="s">
        <v>529</v>
      </c>
      <c r="E653" s="306">
        <f t="shared" si="67"/>
        <v>0</v>
      </c>
      <c r="F653" s="62">
        <v>3750729.11</v>
      </c>
      <c r="G653" s="62"/>
      <c r="H653" s="62"/>
      <c r="I653" s="62"/>
      <c r="J653" s="62">
        <v>0</v>
      </c>
      <c r="K653" s="62"/>
      <c r="L653" s="62"/>
      <c r="M653" s="62">
        <v>0</v>
      </c>
      <c r="N653" s="62"/>
      <c r="O653" s="62">
        <v>0</v>
      </c>
      <c r="P653" s="62"/>
      <c r="Q653" s="62"/>
      <c r="R653" s="62"/>
      <c r="S653" s="62"/>
      <c r="T653" s="151"/>
      <c r="V653" s="237">
        <f t="shared" si="66"/>
        <v>1</v>
      </c>
    </row>
    <row r="654" spans="1:68" hidden="1">
      <c r="A654" s="104">
        <f t="shared" si="68"/>
        <v>635</v>
      </c>
      <c r="B654" s="101">
        <f t="shared" si="69"/>
        <v>175</v>
      </c>
      <c r="C654" s="101" t="s">
        <v>355</v>
      </c>
      <c r="D654" s="101" t="s">
        <v>530</v>
      </c>
      <c r="E654" s="306">
        <f t="shared" si="67"/>
        <v>0</v>
      </c>
      <c r="F654" s="62"/>
      <c r="G654" s="62"/>
      <c r="H654" s="62"/>
      <c r="I654" s="62"/>
      <c r="J654" s="62">
        <v>0</v>
      </c>
      <c r="K654" s="62"/>
      <c r="L654" s="62"/>
      <c r="M654" s="62">
        <v>0</v>
      </c>
      <c r="N654" s="62"/>
      <c r="O654" s="62">
        <v>0</v>
      </c>
      <c r="P654" s="62">
        <v>7999221.25</v>
      </c>
      <c r="Q654" s="62"/>
      <c r="R654" s="62"/>
      <c r="S654" s="62"/>
      <c r="T654" s="151"/>
      <c r="V654" s="237">
        <f t="shared" si="66"/>
        <v>1</v>
      </c>
    </row>
    <row r="655" spans="1:68" hidden="1">
      <c r="A655" s="104">
        <f t="shared" si="68"/>
        <v>636</v>
      </c>
      <c r="B655" s="101">
        <f t="shared" si="69"/>
        <v>176</v>
      </c>
      <c r="C655" s="101" t="s">
        <v>355</v>
      </c>
      <c r="D655" s="101" t="s">
        <v>533</v>
      </c>
      <c r="E655" s="306">
        <f t="shared" si="67"/>
        <v>0</v>
      </c>
      <c r="F655" s="62"/>
      <c r="G655" s="62"/>
      <c r="H655" s="62"/>
      <c r="I655" s="62"/>
      <c r="J655" s="62">
        <v>0</v>
      </c>
      <c r="K655" s="62"/>
      <c r="L655" s="62"/>
      <c r="M655" s="62">
        <v>0</v>
      </c>
      <c r="N655" s="62"/>
      <c r="O655" s="62">
        <v>0</v>
      </c>
      <c r="P655" s="62">
        <v>8347771.7000000002</v>
      </c>
      <c r="Q655" s="62"/>
      <c r="R655" s="62"/>
      <c r="S655" s="62"/>
      <c r="T655" s="151"/>
      <c r="V655" s="237">
        <f t="shared" si="66"/>
        <v>1</v>
      </c>
    </row>
    <row r="656" spans="1:68" hidden="1">
      <c r="A656" s="104">
        <f t="shared" si="68"/>
        <v>637</v>
      </c>
      <c r="B656" s="101">
        <f t="shared" si="69"/>
        <v>177</v>
      </c>
      <c r="C656" s="101" t="s">
        <v>355</v>
      </c>
      <c r="D656" s="101" t="s">
        <v>535</v>
      </c>
      <c r="E656" s="306">
        <f t="shared" si="67"/>
        <v>0</v>
      </c>
      <c r="F656" s="62">
        <v>4930681.49</v>
      </c>
      <c r="G656" s="62">
        <v>2500963.5099999998</v>
      </c>
      <c r="H656" s="62">
        <v>1299925.6399999999</v>
      </c>
      <c r="I656" s="62">
        <v>946486.4</v>
      </c>
      <c r="J656" s="62">
        <v>0</v>
      </c>
      <c r="K656" s="62"/>
      <c r="L656" s="62"/>
      <c r="M656" s="62">
        <v>0</v>
      </c>
      <c r="N656" s="62">
        <v>8641835.7400000002</v>
      </c>
      <c r="O656" s="62"/>
      <c r="P656" s="62"/>
      <c r="Q656" s="62">
        <v>617033.82999999996</v>
      </c>
      <c r="R656" s="62"/>
      <c r="S656" s="62"/>
      <c r="T656" s="151"/>
      <c r="V656" s="237">
        <f t="shared" si="66"/>
        <v>6</v>
      </c>
    </row>
    <row r="657" spans="1:22" hidden="1">
      <c r="A657" s="104">
        <f t="shared" si="68"/>
        <v>638</v>
      </c>
      <c r="B657" s="101">
        <f t="shared" si="69"/>
        <v>178</v>
      </c>
      <c r="C657" s="101" t="s">
        <v>355</v>
      </c>
      <c r="D657" s="101" t="s">
        <v>537</v>
      </c>
      <c r="E657" s="306">
        <f t="shared" si="67"/>
        <v>0</v>
      </c>
      <c r="F657" s="62">
        <v>6570890.96</v>
      </c>
      <c r="G657" s="62">
        <v>4107289.9</v>
      </c>
      <c r="H657" s="62">
        <v>2761050.92</v>
      </c>
      <c r="I657" s="62">
        <v>1607542.18</v>
      </c>
      <c r="J657" s="62">
        <v>0</v>
      </c>
      <c r="K657" s="62"/>
      <c r="L657" s="62"/>
      <c r="M657" s="62">
        <v>0</v>
      </c>
      <c r="N657" s="62">
        <v>8901708.0800000001</v>
      </c>
      <c r="O657" s="62"/>
      <c r="P657" s="62"/>
      <c r="Q657" s="62">
        <v>185252.89</v>
      </c>
      <c r="R657" s="62"/>
      <c r="S657" s="62"/>
      <c r="T657" s="151"/>
      <c r="V657" s="237">
        <f t="shared" si="66"/>
        <v>6</v>
      </c>
    </row>
    <row r="658" spans="1:22" hidden="1">
      <c r="A658" s="104">
        <f t="shared" si="68"/>
        <v>639</v>
      </c>
      <c r="B658" s="101">
        <f t="shared" si="69"/>
        <v>179</v>
      </c>
      <c r="C658" s="101" t="s">
        <v>355</v>
      </c>
      <c r="D658" s="101" t="s">
        <v>538</v>
      </c>
      <c r="E658" s="28">
        <f t="shared" si="67"/>
        <v>0</v>
      </c>
      <c r="F658" s="62"/>
      <c r="G658" s="62"/>
      <c r="H658" s="62">
        <v>1288380.8999999999</v>
      </c>
      <c r="I658" s="62"/>
      <c r="J658" s="62">
        <v>0</v>
      </c>
      <c r="K658" s="62"/>
      <c r="L658" s="62"/>
      <c r="M658" s="62">
        <v>0</v>
      </c>
      <c r="N658" s="62"/>
      <c r="O658" s="62">
        <v>0</v>
      </c>
      <c r="P658" s="62"/>
      <c r="Q658" s="62"/>
      <c r="R658" s="62"/>
      <c r="S658" s="62"/>
      <c r="T658" s="151"/>
      <c r="V658" s="237">
        <f t="shared" si="66"/>
        <v>1</v>
      </c>
    </row>
    <row r="659" spans="1:22" hidden="1">
      <c r="A659" s="104">
        <f t="shared" ref="A659:A690" si="70">A658+1</f>
        <v>640</v>
      </c>
      <c r="B659" s="101">
        <f t="shared" si="69"/>
        <v>180</v>
      </c>
      <c r="C659" s="101" t="s">
        <v>355</v>
      </c>
      <c r="D659" s="101" t="s">
        <v>539</v>
      </c>
      <c r="E659" s="306">
        <f t="shared" si="67"/>
        <v>0</v>
      </c>
      <c r="F659" s="62"/>
      <c r="G659" s="62"/>
      <c r="H659" s="62"/>
      <c r="I659" s="62"/>
      <c r="J659" s="62">
        <v>0</v>
      </c>
      <c r="K659" s="62"/>
      <c r="L659" s="62"/>
      <c r="M659" s="62">
        <v>0</v>
      </c>
      <c r="N659" s="62"/>
      <c r="O659" s="62">
        <v>0</v>
      </c>
      <c r="P659" s="62">
        <v>9828015.8100000005</v>
      </c>
      <c r="Q659" s="62"/>
      <c r="R659" s="62"/>
      <c r="S659" s="62"/>
      <c r="T659" s="151"/>
      <c r="V659" s="237">
        <f t="shared" si="66"/>
        <v>1</v>
      </c>
    </row>
    <row r="660" spans="1:22" hidden="1">
      <c r="A660" s="104">
        <f t="shared" si="70"/>
        <v>641</v>
      </c>
      <c r="B660" s="101">
        <f t="shared" si="69"/>
        <v>181</v>
      </c>
      <c r="C660" s="101" t="s">
        <v>116</v>
      </c>
      <c r="D660" s="101" t="s">
        <v>541</v>
      </c>
      <c r="E660" s="306">
        <f t="shared" si="67"/>
        <v>0</v>
      </c>
      <c r="F660" s="62"/>
      <c r="G660" s="62"/>
      <c r="H660" s="62"/>
      <c r="I660" s="62"/>
      <c r="J660" s="62"/>
      <c r="K660" s="62"/>
      <c r="L660" s="62"/>
      <c r="M660" s="62">
        <v>5658352.8899999997</v>
      </c>
      <c r="N660" s="62"/>
      <c r="O660" s="62"/>
      <c r="P660" s="62"/>
      <c r="Q660" s="62"/>
      <c r="R660" s="62">
        <v>256263</v>
      </c>
      <c r="S660" s="62">
        <v>85421</v>
      </c>
      <c r="T660" s="151"/>
      <c r="V660" s="237">
        <f t="shared" si="66"/>
        <v>1</v>
      </c>
    </row>
    <row r="661" spans="1:22" hidden="1">
      <c r="A661" s="104">
        <f t="shared" si="70"/>
        <v>642</v>
      </c>
      <c r="B661" s="101">
        <f t="shared" ref="B661:B692" si="71">B660+1</f>
        <v>182</v>
      </c>
      <c r="C661" s="101" t="s">
        <v>116</v>
      </c>
      <c r="D661" s="101" t="s">
        <v>542</v>
      </c>
      <c r="E661" s="306">
        <f t="shared" si="67"/>
        <v>0</v>
      </c>
      <c r="F661" s="62"/>
      <c r="G661" s="62"/>
      <c r="H661" s="62">
        <v>3308493.9</v>
      </c>
      <c r="I661" s="62"/>
      <c r="J661" s="62"/>
      <c r="K661" s="62"/>
      <c r="L661" s="62"/>
      <c r="M661" s="62">
        <v>2848496.44</v>
      </c>
      <c r="N661" s="62"/>
      <c r="O661" s="62"/>
      <c r="P661" s="62"/>
      <c r="Q661" s="62"/>
      <c r="R661" s="62">
        <v>256263</v>
      </c>
      <c r="S661" s="62">
        <v>85421</v>
      </c>
      <c r="T661" s="151"/>
      <c r="V661" s="237">
        <f t="shared" si="66"/>
        <v>2</v>
      </c>
    </row>
    <row r="662" spans="1:22" hidden="1">
      <c r="A662" s="104">
        <f t="shared" si="70"/>
        <v>643</v>
      </c>
      <c r="B662" s="101">
        <f t="shared" si="71"/>
        <v>183</v>
      </c>
      <c r="C662" s="101" t="s">
        <v>116</v>
      </c>
      <c r="D662" s="101" t="s">
        <v>117</v>
      </c>
      <c r="E662" s="306">
        <f t="shared" si="67"/>
        <v>0</v>
      </c>
      <c r="F662" s="62">
        <v>15222037.560000001</v>
      </c>
      <c r="G662" s="62">
        <v>12234264.949999999</v>
      </c>
      <c r="H662" s="62"/>
      <c r="I662" s="62">
        <v>7411843.3200000003</v>
      </c>
      <c r="J662" s="62">
        <v>0</v>
      </c>
      <c r="K662" s="62"/>
      <c r="L662" s="62"/>
      <c r="M662" s="62">
        <v>5658352.8799999999</v>
      </c>
      <c r="N662" s="62">
        <v>0</v>
      </c>
      <c r="O662" s="62">
        <v>0</v>
      </c>
      <c r="P662" s="62"/>
      <c r="Q662" s="62">
        <v>0</v>
      </c>
      <c r="R662" s="62">
        <v>126233.29</v>
      </c>
      <c r="S662" s="62">
        <v>37539.54</v>
      </c>
      <c r="T662" s="151"/>
      <c r="U662" s="18"/>
      <c r="V662" s="237">
        <f t="shared" si="66"/>
        <v>4</v>
      </c>
    </row>
    <row r="663" spans="1:22" hidden="1">
      <c r="A663" s="104">
        <f t="shared" si="70"/>
        <v>644</v>
      </c>
      <c r="B663" s="101">
        <f t="shared" si="71"/>
        <v>184</v>
      </c>
      <c r="C663" s="101" t="s">
        <v>116</v>
      </c>
      <c r="D663" s="101" t="s">
        <v>119</v>
      </c>
      <c r="E663" s="28">
        <f t="shared" si="67"/>
        <v>0</v>
      </c>
      <c r="F663" s="62">
        <v>14975164.810000001</v>
      </c>
      <c r="G663" s="62"/>
      <c r="H663" s="62"/>
      <c r="I663" s="62"/>
      <c r="J663" s="62">
        <v>0</v>
      </c>
      <c r="K663" s="62"/>
      <c r="L663" s="62"/>
      <c r="M663" s="62">
        <v>0</v>
      </c>
      <c r="N663" s="62"/>
      <c r="O663" s="62">
        <v>0</v>
      </c>
      <c r="P663" s="62"/>
      <c r="Q663" s="62"/>
      <c r="R663" s="62"/>
      <c r="S663" s="62"/>
      <c r="T663" s="151"/>
      <c r="V663" s="237">
        <f t="shared" si="66"/>
        <v>1</v>
      </c>
    </row>
    <row r="664" spans="1:22" hidden="1">
      <c r="A664" s="104">
        <f t="shared" si="70"/>
        <v>645</v>
      </c>
      <c r="B664" s="101">
        <f t="shared" si="71"/>
        <v>185</v>
      </c>
      <c r="C664" s="101" t="s">
        <v>116</v>
      </c>
      <c r="D664" s="101" t="s">
        <v>544</v>
      </c>
      <c r="E664" s="28">
        <f t="shared" si="67"/>
        <v>0</v>
      </c>
      <c r="F664" s="62">
        <v>5093944.38</v>
      </c>
      <c r="G664" s="62">
        <v>3116108.31</v>
      </c>
      <c r="H664" s="62">
        <v>1578977.96</v>
      </c>
      <c r="I664" s="62">
        <v>2133991.29</v>
      </c>
      <c r="J664" s="62">
        <v>0</v>
      </c>
      <c r="K664" s="62"/>
      <c r="L664" s="62"/>
      <c r="M664" s="62">
        <v>0</v>
      </c>
      <c r="N664" s="62"/>
      <c r="O664" s="62">
        <v>0</v>
      </c>
      <c r="P664" s="62">
        <v>0</v>
      </c>
      <c r="Q664" s="62">
        <v>0</v>
      </c>
      <c r="R664" s="62"/>
      <c r="S664" s="62"/>
      <c r="T664" s="151"/>
      <c r="V664" s="237">
        <f t="shared" si="66"/>
        <v>4</v>
      </c>
    </row>
    <row r="665" spans="1:22" hidden="1">
      <c r="A665" s="104">
        <f t="shared" si="70"/>
        <v>646</v>
      </c>
      <c r="B665" s="101">
        <f t="shared" si="71"/>
        <v>186</v>
      </c>
      <c r="C665" s="101" t="s">
        <v>116</v>
      </c>
      <c r="D665" s="101" t="s">
        <v>545</v>
      </c>
      <c r="E665" s="306">
        <f t="shared" si="67"/>
        <v>0</v>
      </c>
      <c r="F665" s="62">
        <v>0</v>
      </c>
      <c r="G665" s="62">
        <v>0</v>
      </c>
      <c r="H665" s="62">
        <v>0</v>
      </c>
      <c r="I665" s="62">
        <v>0</v>
      </c>
      <c r="J665" s="62">
        <v>0</v>
      </c>
      <c r="K665" s="62"/>
      <c r="L665" s="62"/>
      <c r="M665" s="62">
        <v>0</v>
      </c>
      <c r="N665" s="62">
        <v>2750988.65</v>
      </c>
      <c r="O665" s="62">
        <v>0</v>
      </c>
      <c r="P665" s="62">
        <v>0</v>
      </c>
      <c r="Q665" s="62">
        <v>0</v>
      </c>
      <c r="R665" s="62"/>
      <c r="S665" s="62"/>
      <c r="T665" s="151"/>
      <c r="V665" s="237">
        <f t="shared" si="66"/>
        <v>1</v>
      </c>
    </row>
    <row r="666" spans="1:22" hidden="1">
      <c r="A666" s="104">
        <f t="shared" si="70"/>
        <v>647</v>
      </c>
      <c r="B666" s="101">
        <f t="shared" si="71"/>
        <v>187</v>
      </c>
      <c r="C666" s="101" t="s">
        <v>116</v>
      </c>
      <c r="D666" s="101" t="s">
        <v>546</v>
      </c>
      <c r="E666" s="28">
        <f t="shared" si="67"/>
        <v>0</v>
      </c>
      <c r="F666" s="62">
        <v>0</v>
      </c>
      <c r="G666" s="62">
        <v>0</v>
      </c>
      <c r="H666" s="62">
        <v>0</v>
      </c>
      <c r="I666" s="62">
        <v>0</v>
      </c>
      <c r="J666" s="62">
        <v>0</v>
      </c>
      <c r="K666" s="62"/>
      <c r="L666" s="62"/>
      <c r="M666" s="62">
        <v>0</v>
      </c>
      <c r="N666" s="62">
        <v>2948350.34</v>
      </c>
      <c r="O666" s="62">
        <v>0</v>
      </c>
      <c r="P666" s="62">
        <v>0</v>
      </c>
      <c r="Q666" s="62">
        <v>0</v>
      </c>
      <c r="R666" s="62"/>
      <c r="S666" s="62"/>
      <c r="T666" s="151"/>
      <c r="V666" s="237">
        <f t="shared" si="66"/>
        <v>1</v>
      </c>
    </row>
    <row r="667" spans="1:22" hidden="1">
      <c r="A667" s="104">
        <f t="shared" si="70"/>
        <v>648</v>
      </c>
      <c r="B667" s="101">
        <f t="shared" si="71"/>
        <v>188</v>
      </c>
      <c r="C667" s="101" t="s">
        <v>116</v>
      </c>
      <c r="D667" s="101" t="s">
        <v>548</v>
      </c>
      <c r="E667" s="306">
        <f t="shared" si="67"/>
        <v>0</v>
      </c>
      <c r="F667" s="62">
        <v>4773430.7300000004</v>
      </c>
      <c r="G667" s="62"/>
      <c r="H667" s="62">
        <v>0</v>
      </c>
      <c r="I667" s="62"/>
      <c r="J667" s="62">
        <v>0</v>
      </c>
      <c r="K667" s="62"/>
      <c r="L667" s="62"/>
      <c r="M667" s="62">
        <v>0</v>
      </c>
      <c r="N667" s="62"/>
      <c r="O667" s="62"/>
      <c r="P667" s="62"/>
      <c r="Q667" s="62"/>
      <c r="R667" s="62"/>
      <c r="S667" s="62"/>
      <c r="T667" s="151"/>
      <c r="V667" s="237">
        <f t="shared" si="66"/>
        <v>1</v>
      </c>
    </row>
    <row r="668" spans="1:22" hidden="1">
      <c r="A668" s="104">
        <f t="shared" si="70"/>
        <v>649</v>
      </c>
      <c r="B668" s="101">
        <f t="shared" si="71"/>
        <v>189</v>
      </c>
      <c r="C668" s="101" t="s">
        <v>116</v>
      </c>
      <c r="D668" s="101" t="s">
        <v>550</v>
      </c>
      <c r="E668" s="306">
        <f t="shared" si="67"/>
        <v>0</v>
      </c>
      <c r="F668" s="62"/>
      <c r="G668" s="62">
        <v>0</v>
      </c>
      <c r="H668" s="62">
        <v>1457623.55</v>
      </c>
      <c r="I668" s="62">
        <v>0</v>
      </c>
      <c r="J668" s="62">
        <v>0</v>
      </c>
      <c r="K668" s="62"/>
      <c r="L668" s="62"/>
      <c r="M668" s="62">
        <v>0</v>
      </c>
      <c r="N668" s="62"/>
      <c r="O668" s="62">
        <v>0</v>
      </c>
      <c r="P668" s="62">
        <v>0</v>
      </c>
      <c r="Q668" s="62">
        <v>0</v>
      </c>
      <c r="R668" s="62"/>
      <c r="S668" s="62"/>
      <c r="T668" s="151"/>
      <c r="V668" s="237">
        <f t="shared" si="66"/>
        <v>1</v>
      </c>
    </row>
    <row r="669" spans="1:22" hidden="1">
      <c r="A669" s="104">
        <f t="shared" si="70"/>
        <v>650</v>
      </c>
      <c r="B669" s="101">
        <f t="shared" si="71"/>
        <v>190</v>
      </c>
      <c r="C669" s="101" t="s">
        <v>116</v>
      </c>
      <c r="D669" s="101" t="s">
        <v>552</v>
      </c>
      <c r="E669" s="306">
        <f t="shared" si="67"/>
        <v>0</v>
      </c>
      <c r="F669" s="62"/>
      <c r="G669" s="62"/>
      <c r="H669" s="62">
        <v>1424903.2</v>
      </c>
      <c r="I669" s="62"/>
      <c r="J669" s="62">
        <v>0</v>
      </c>
      <c r="K669" s="62"/>
      <c r="L669" s="62"/>
      <c r="M669" s="62">
        <v>0</v>
      </c>
      <c r="N669" s="62"/>
      <c r="O669" s="62">
        <v>0</v>
      </c>
      <c r="P669" s="62">
        <v>0</v>
      </c>
      <c r="Q669" s="62">
        <v>0</v>
      </c>
      <c r="R669" s="62"/>
      <c r="S669" s="62"/>
      <c r="T669" s="151"/>
      <c r="V669" s="237">
        <f t="shared" si="66"/>
        <v>1</v>
      </c>
    </row>
    <row r="670" spans="1:22" hidden="1">
      <c r="A670" s="104">
        <f t="shared" si="70"/>
        <v>651</v>
      </c>
      <c r="B670" s="101">
        <f t="shared" si="71"/>
        <v>191</v>
      </c>
      <c r="C670" s="101" t="s">
        <v>116</v>
      </c>
      <c r="D670" s="101" t="s">
        <v>123</v>
      </c>
      <c r="E670" s="28">
        <f t="shared" si="67"/>
        <v>0</v>
      </c>
      <c r="F670" s="62"/>
      <c r="G670" s="62"/>
      <c r="H670" s="62">
        <v>2172676.31</v>
      </c>
      <c r="I670" s="62"/>
      <c r="J670" s="62">
        <v>0</v>
      </c>
      <c r="K670" s="62"/>
      <c r="L670" s="62"/>
      <c r="M670" s="62"/>
      <c r="N670" s="62"/>
      <c r="O670" s="62">
        <v>0</v>
      </c>
      <c r="P670" s="62">
        <v>0</v>
      </c>
      <c r="Q670" s="62">
        <v>0</v>
      </c>
      <c r="R670" s="62"/>
      <c r="S670" s="62"/>
      <c r="T670" s="151"/>
      <c r="V670" s="237">
        <f t="shared" si="66"/>
        <v>1</v>
      </c>
    </row>
    <row r="671" spans="1:22" hidden="1">
      <c r="A671" s="104">
        <f t="shared" si="70"/>
        <v>652</v>
      </c>
      <c r="B671" s="101">
        <f t="shared" si="71"/>
        <v>192</v>
      </c>
      <c r="C671" s="101" t="s">
        <v>116</v>
      </c>
      <c r="D671" s="101" t="s">
        <v>125</v>
      </c>
      <c r="E671" s="28">
        <f t="shared" si="67"/>
        <v>0</v>
      </c>
      <c r="F671" s="62">
        <v>5075093.5599999996</v>
      </c>
      <c r="G671" s="62">
        <v>3111845.8</v>
      </c>
      <c r="H671" s="62"/>
      <c r="I671" s="62"/>
      <c r="J671" s="62">
        <v>0</v>
      </c>
      <c r="K671" s="62"/>
      <c r="L671" s="62"/>
      <c r="M671" s="62">
        <v>0</v>
      </c>
      <c r="N671" s="62"/>
      <c r="O671" s="62">
        <v>0</v>
      </c>
      <c r="P671" s="62">
        <v>0</v>
      </c>
      <c r="Q671" s="62"/>
      <c r="R671" s="62"/>
      <c r="S671" s="62"/>
      <c r="T671" s="151"/>
      <c r="V671" s="237">
        <f t="shared" ref="V671:V697" si="72">COUNTIF(F671:Q671, "&gt;0")</f>
        <v>2</v>
      </c>
    </row>
    <row r="672" spans="1:22" hidden="1">
      <c r="A672" s="104">
        <f t="shared" si="70"/>
        <v>653</v>
      </c>
      <c r="B672" s="101">
        <f t="shared" si="71"/>
        <v>193</v>
      </c>
      <c r="C672" s="101" t="s">
        <v>116</v>
      </c>
      <c r="D672" s="101" t="s">
        <v>557</v>
      </c>
      <c r="E672" s="28">
        <f t="shared" ref="E672:E699" si="73">SUBTOTAL(9, F672:T672)</f>
        <v>0</v>
      </c>
      <c r="F672" s="62">
        <v>8889465.0700000003</v>
      </c>
      <c r="G672" s="62">
        <v>5652273.4800000004</v>
      </c>
      <c r="H672" s="62"/>
      <c r="I672" s="62"/>
      <c r="J672" s="62"/>
      <c r="K672" s="62"/>
      <c r="L672" s="62"/>
      <c r="M672" s="62">
        <v>0</v>
      </c>
      <c r="N672" s="62"/>
      <c r="O672" s="62">
        <v>0</v>
      </c>
      <c r="P672" s="62">
        <v>0</v>
      </c>
      <c r="Q672" s="62"/>
      <c r="R672" s="62"/>
      <c r="S672" s="62"/>
      <c r="T672" s="151"/>
      <c r="V672" s="237">
        <f t="shared" si="72"/>
        <v>2</v>
      </c>
    </row>
    <row r="673" spans="1:22" hidden="1">
      <c r="A673" s="104">
        <f t="shared" si="70"/>
        <v>654</v>
      </c>
      <c r="B673" s="101">
        <f t="shared" si="71"/>
        <v>194</v>
      </c>
      <c r="C673" s="101" t="s">
        <v>116</v>
      </c>
      <c r="D673" s="101" t="s">
        <v>558</v>
      </c>
      <c r="E673" s="28">
        <f t="shared" si="73"/>
        <v>0</v>
      </c>
      <c r="F673" s="62">
        <v>2092853.18</v>
      </c>
      <c r="G673" s="62">
        <v>0</v>
      </c>
      <c r="H673" s="62">
        <v>0</v>
      </c>
      <c r="I673" s="62">
        <v>0</v>
      </c>
      <c r="J673" s="62">
        <v>0</v>
      </c>
      <c r="K673" s="62"/>
      <c r="L673" s="62"/>
      <c r="M673" s="62">
        <v>0</v>
      </c>
      <c r="N673" s="62">
        <v>0</v>
      </c>
      <c r="O673" s="62">
        <v>0</v>
      </c>
      <c r="P673" s="62">
        <v>0</v>
      </c>
      <c r="Q673" s="62">
        <v>0</v>
      </c>
      <c r="R673" s="62"/>
      <c r="S673" s="62"/>
      <c r="T673" s="151"/>
      <c r="V673" s="237">
        <f t="shared" si="72"/>
        <v>1</v>
      </c>
    </row>
    <row r="674" spans="1:22" hidden="1">
      <c r="A674" s="104">
        <f t="shared" si="70"/>
        <v>655</v>
      </c>
      <c r="B674" s="101">
        <f t="shared" si="71"/>
        <v>195</v>
      </c>
      <c r="C674" s="101" t="s">
        <v>116</v>
      </c>
      <c r="D674" s="101" t="s">
        <v>559</v>
      </c>
      <c r="E674" s="306">
        <f t="shared" si="73"/>
        <v>0</v>
      </c>
      <c r="F674" s="62"/>
      <c r="G674" s="62"/>
      <c r="H674" s="62"/>
      <c r="I674" s="62"/>
      <c r="J674" s="62"/>
      <c r="K674" s="62"/>
      <c r="L674" s="62"/>
      <c r="M674" s="62">
        <v>2829176.44</v>
      </c>
      <c r="N674" s="62"/>
      <c r="O674" s="62"/>
      <c r="P674" s="62"/>
      <c r="Q674" s="62"/>
      <c r="R674" s="62">
        <v>128131.5</v>
      </c>
      <c r="S674" s="62">
        <v>42710.5</v>
      </c>
      <c r="T674" s="151"/>
      <c r="V674" s="237">
        <f t="shared" si="72"/>
        <v>1</v>
      </c>
    </row>
    <row r="675" spans="1:22" hidden="1">
      <c r="A675" s="104">
        <f t="shared" si="70"/>
        <v>656</v>
      </c>
      <c r="B675" s="101">
        <f t="shared" si="71"/>
        <v>196</v>
      </c>
      <c r="C675" s="101" t="s">
        <v>750</v>
      </c>
      <c r="D675" s="101" t="s">
        <v>390</v>
      </c>
      <c r="E675" s="28">
        <f t="shared" si="73"/>
        <v>0</v>
      </c>
      <c r="F675" s="62">
        <v>14980596.93</v>
      </c>
      <c r="G675" s="62">
        <v>5221079.93</v>
      </c>
      <c r="H675" s="62"/>
      <c r="I675" s="62">
        <v>0</v>
      </c>
      <c r="J675" s="62">
        <v>0</v>
      </c>
      <c r="K675" s="62"/>
      <c r="L675" s="62"/>
      <c r="M675" s="62">
        <v>0</v>
      </c>
      <c r="N675" s="62"/>
      <c r="O675" s="62">
        <v>0</v>
      </c>
      <c r="P675" s="62">
        <v>0</v>
      </c>
      <c r="Q675" s="62">
        <v>0</v>
      </c>
      <c r="R675" s="62"/>
      <c r="S675" s="62"/>
      <c r="T675" s="151"/>
      <c r="V675" s="237">
        <f t="shared" si="72"/>
        <v>2</v>
      </c>
    </row>
    <row r="676" spans="1:22" hidden="1">
      <c r="A676" s="104">
        <f t="shared" si="70"/>
        <v>657</v>
      </c>
      <c r="B676" s="101">
        <f t="shared" si="71"/>
        <v>197</v>
      </c>
      <c r="C676" s="101" t="s">
        <v>750</v>
      </c>
      <c r="D676" s="101" t="s">
        <v>561</v>
      </c>
      <c r="E676" s="306">
        <f t="shared" si="73"/>
        <v>0</v>
      </c>
      <c r="F676" s="62"/>
      <c r="G676" s="62"/>
      <c r="H676" s="62">
        <v>0</v>
      </c>
      <c r="I676" s="62">
        <v>0</v>
      </c>
      <c r="J676" s="62">
        <v>0</v>
      </c>
      <c r="K676" s="62"/>
      <c r="L676" s="62"/>
      <c r="M676" s="62">
        <v>0</v>
      </c>
      <c r="N676" s="62">
        <v>13955750.699999999</v>
      </c>
      <c r="O676" s="62">
        <v>0</v>
      </c>
      <c r="P676" s="62">
        <v>0</v>
      </c>
      <c r="Q676" s="62">
        <v>0</v>
      </c>
      <c r="R676" s="62"/>
      <c r="S676" s="62"/>
      <c r="T676" s="151"/>
      <c r="V676" s="237">
        <f t="shared" si="72"/>
        <v>1</v>
      </c>
    </row>
    <row r="677" spans="1:22" hidden="1">
      <c r="A677" s="104">
        <f t="shared" si="70"/>
        <v>658</v>
      </c>
      <c r="B677" s="101">
        <f t="shared" si="71"/>
        <v>198</v>
      </c>
      <c r="C677" s="101" t="s">
        <v>750</v>
      </c>
      <c r="D677" s="101" t="s">
        <v>562</v>
      </c>
      <c r="E677" s="28">
        <f t="shared" si="73"/>
        <v>0</v>
      </c>
      <c r="F677" s="62">
        <v>8418964.8000000007</v>
      </c>
      <c r="G677" s="62">
        <v>3613794.61</v>
      </c>
      <c r="H677" s="62"/>
      <c r="I677" s="62"/>
      <c r="J677" s="62"/>
      <c r="K677" s="62"/>
      <c r="L677" s="62"/>
      <c r="M677" s="62">
        <v>0</v>
      </c>
      <c r="N677" s="62"/>
      <c r="O677" s="62">
        <v>0</v>
      </c>
      <c r="P677" s="62">
        <v>0</v>
      </c>
      <c r="Q677" s="62">
        <v>0</v>
      </c>
      <c r="R677" s="62"/>
      <c r="S677" s="62"/>
      <c r="T677" s="151"/>
      <c r="V677" s="237">
        <f t="shared" si="72"/>
        <v>2</v>
      </c>
    </row>
    <row r="678" spans="1:22" hidden="1">
      <c r="A678" s="104">
        <f t="shared" si="70"/>
        <v>659</v>
      </c>
      <c r="B678" s="101">
        <f t="shared" si="71"/>
        <v>199</v>
      </c>
      <c r="C678" s="101" t="s">
        <v>564</v>
      </c>
      <c r="D678" s="101" t="s">
        <v>565</v>
      </c>
      <c r="E678" s="28">
        <f t="shared" si="73"/>
        <v>0</v>
      </c>
      <c r="F678" s="62">
        <v>0</v>
      </c>
      <c r="G678" s="62">
        <v>0</v>
      </c>
      <c r="H678" s="62">
        <v>0</v>
      </c>
      <c r="I678" s="62">
        <v>0</v>
      </c>
      <c r="J678" s="62">
        <v>0</v>
      </c>
      <c r="K678" s="62"/>
      <c r="L678" s="62"/>
      <c r="M678" s="62">
        <v>0</v>
      </c>
      <c r="N678" s="62">
        <v>8636897.6699999999</v>
      </c>
      <c r="O678" s="62">
        <v>0</v>
      </c>
      <c r="P678" s="62">
        <v>0</v>
      </c>
      <c r="Q678" s="62">
        <v>0</v>
      </c>
      <c r="R678" s="62"/>
      <c r="S678" s="62"/>
      <c r="T678" s="151"/>
      <c r="V678" s="237">
        <f t="shared" si="72"/>
        <v>1</v>
      </c>
    </row>
    <row r="679" spans="1:22" hidden="1">
      <c r="A679" s="104">
        <f t="shared" si="70"/>
        <v>660</v>
      </c>
      <c r="B679" s="101">
        <f t="shared" si="71"/>
        <v>200</v>
      </c>
      <c r="C679" s="101" t="s">
        <v>154</v>
      </c>
      <c r="D679" s="101" t="s">
        <v>567</v>
      </c>
      <c r="E679" s="28">
        <f t="shared" si="73"/>
        <v>0</v>
      </c>
      <c r="F679" s="62">
        <v>2166569.0499999998</v>
      </c>
      <c r="G679" s="62">
        <v>316706.14</v>
      </c>
      <c r="H679" s="62">
        <v>564905.36</v>
      </c>
      <c r="I679" s="62">
        <v>0</v>
      </c>
      <c r="J679" s="62">
        <v>0</v>
      </c>
      <c r="K679" s="62"/>
      <c r="L679" s="62"/>
      <c r="M679" s="62">
        <v>0</v>
      </c>
      <c r="N679" s="62">
        <v>0</v>
      </c>
      <c r="O679" s="62">
        <v>0</v>
      </c>
      <c r="P679" s="62">
        <v>0</v>
      </c>
      <c r="Q679" s="62">
        <v>0</v>
      </c>
      <c r="R679" s="62"/>
      <c r="S679" s="62"/>
      <c r="T679" s="151"/>
      <c r="V679" s="237">
        <f t="shared" si="72"/>
        <v>3</v>
      </c>
    </row>
    <row r="680" spans="1:22" hidden="1">
      <c r="A680" s="104">
        <f t="shared" si="70"/>
        <v>661</v>
      </c>
      <c r="B680" s="101">
        <f t="shared" si="71"/>
        <v>201</v>
      </c>
      <c r="C680" s="101" t="s">
        <v>154</v>
      </c>
      <c r="D680" s="101" t="s">
        <v>569</v>
      </c>
      <c r="E680" s="28">
        <f t="shared" si="73"/>
        <v>0</v>
      </c>
      <c r="F680" s="62"/>
      <c r="G680" s="62"/>
      <c r="H680" s="62"/>
      <c r="I680" s="62"/>
      <c r="J680" s="62">
        <v>0</v>
      </c>
      <c r="K680" s="62"/>
      <c r="L680" s="62"/>
      <c r="M680" s="62">
        <v>0</v>
      </c>
      <c r="N680" s="62">
        <v>0</v>
      </c>
      <c r="O680" s="62">
        <v>0</v>
      </c>
      <c r="P680" s="62">
        <v>5482011.46</v>
      </c>
      <c r="Q680" s="62">
        <v>0</v>
      </c>
      <c r="R680" s="62"/>
      <c r="S680" s="62"/>
      <c r="T680" s="151"/>
      <c r="V680" s="237">
        <f t="shared" si="72"/>
        <v>1</v>
      </c>
    </row>
    <row r="681" spans="1:22" hidden="1">
      <c r="A681" s="104">
        <f t="shared" si="70"/>
        <v>662</v>
      </c>
      <c r="B681" s="101">
        <f t="shared" si="71"/>
        <v>202</v>
      </c>
      <c r="C681" s="101" t="s">
        <v>154</v>
      </c>
      <c r="D681" s="101" t="s">
        <v>571</v>
      </c>
      <c r="E681" s="28">
        <f t="shared" si="73"/>
        <v>0</v>
      </c>
      <c r="F681" s="62"/>
      <c r="G681" s="62"/>
      <c r="H681" s="62">
        <v>1064770.57</v>
      </c>
      <c r="I681" s="62"/>
      <c r="J681" s="62">
        <v>0</v>
      </c>
      <c r="K681" s="62"/>
      <c r="L681" s="62"/>
      <c r="M681" s="62">
        <v>0</v>
      </c>
      <c r="N681" s="62">
        <v>0</v>
      </c>
      <c r="O681" s="62">
        <v>0</v>
      </c>
      <c r="P681" s="62">
        <v>0</v>
      </c>
      <c r="Q681" s="62">
        <v>0</v>
      </c>
      <c r="R681" s="62"/>
      <c r="S681" s="62"/>
      <c r="T681" s="151"/>
      <c r="V681" s="237">
        <f t="shared" si="72"/>
        <v>1</v>
      </c>
    </row>
    <row r="682" spans="1:22" hidden="1">
      <c r="A682" s="104">
        <f t="shared" si="70"/>
        <v>663</v>
      </c>
      <c r="B682" s="101">
        <f t="shared" si="71"/>
        <v>203</v>
      </c>
      <c r="C682" s="101" t="s">
        <v>154</v>
      </c>
      <c r="D682" s="101" t="s">
        <v>573</v>
      </c>
      <c r="E682" s="28">
        <f t="shared" si="73"/>
        <v>0</v>
      </c>
      <c r="F682" s="62">
        <v>7400420.9400000004</v>
      </c>
      <c r="G682" s="62">
        <v>1169531.68</v>
      </c>
      <c r="H682" s="62">
        <v>0</v>
      </c>
      <c r="I682" s="62"/>
      <c r="J682" s="62">
        <v>0</v>
      </c>
      <c r="K682" s="62"/>
      <c r="L682" s="62"/>
      <c r="M682" s="62">
        <v>0</v>
      </c>
      <c r="N682" s="62">
        <v>0</v>
      </c>
      <c r="O682" s="62">
        <v>0</v>
      </c>
      <c r="P682" s="62">
        <v>0</v>
      </c>
      <c r="Q682" s="62">
        <v>0</v>
      </c>
      <c r="R682" s="62"/>
      <c r="S682" s="62"/>
      <c r="T682" s="151"/>
      <c r="V682" s="237">
        <f t="shared" si="72"/>
        <v>2</v>
      </c>
    </row>
    <row r="683" spans="1:22" hidden="1">
      <c r="A683" s="104">
        <f t="shared" si="70"/>
        <v>664</v>
      </c>
      <c r="B683" s="101">
        <f t="shared" si="71"/>
        <v>204</v>
      </c>
      <c r="C683" s="101" t="s">
        <v>574</v>
      </c>
      <c r="D683" s="101" t="s">
        <v>575</v>
      </c>
      <c r="E683" s="306">
        <f t="shared" si="73"/>
        <v>0</v>
      </c>
      <c r="F683" s="62"/>
      <c r="G683" s="62"/>
      <c r="H683" s="62"/>
      <c r="I683" s="62">
        <v>1901235.6</v>
      </c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151"/>
      <c r="V683" s="237">
        <f t="shared" si="72"/>
        <v>1</v>
      </c>
    </row>
    <row r="684" spans="1:22" hidden="1">
      <c r="A684" s="104">
        <f t="shared" si="70"/>
        <v>665</v>
      </c>
      <c r="B684" s="101">
        <f t="shared" si="71"/>
        <v>205</v>
      </c>
      <c r="C684" s="101" t="s">
        <v>574</v>
      </c>
      <c r="D684" s="101" t="s">
        <v>576</v>
      </c>
      <c r="E684" s="306">
        <f t="shared" si="73"/>
        <v>0</v>
      </c>
      <c r="F684" s="62"/>
      <c r="G684" s="62"/>
      <c r="H684" s="62"/>
      <c r="I684" s="62">
        <v>2844579.8399999999</v>
      </c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151"/>
      <c r="V684" s="237">
        <f t="shared" si="72"/>
        <v>1</v>
      </c>
    </row>
    <row r="685" spans="1:22" hidden="1">
      <c r="A685" s="104">
        <f t="shared" si="70"/>
        <v>666</v>
      </c>
      <c r="B685" s="101">
        <f t="shared" si="71"/>
        <v>206</v>
      </c>
      <c r="C685" s="101" t="s">
        <v>399</v>
      </c>
      <c r="D685" s="101" t="s">
        <v>578</v>
      </c>
      <c r="E685" s="28">
        <f t="shared" si="73"/>
        <v>0</v>
      </c>
      <c r="F685" s="62">
        <v>3095717.34</v>
      </c>
      <c r="G685" s="62">
        <v>827311.2</v>
      </c>
      <c r="H685" s="62"/>
      <c r="I685" s="62">
        <v>2447805.96</v>
      </c>
      <c r="J685" s="62">
        <v>0</v>
      </c>
      <c r="K685" s="62"/>
      <c r="L685" s="62"/>
      <c r="M685" s="62"/>
      <c r="N685" s="62"/>
      <c r="O685" s="62">
        <v>0</v>
      </c>
      <c r="P685" s="62">
        <v>0</v>
      </c>
      <c r="Q685" s="62">
        <v>0</v>
      </c>
      <c r="R685" s="62"/>
      <c r="S685" s="62"/>
      <c r="T685" s="151"/>
      <c r="V685" s="237">
        <f t="shared" si="72"/>
        <v>3</v>
      </c>
    </row>
    <row r="686" spans="1:22" hidden="1">
      <c r="A686" s="104">
        <f t="shared" si="70"/>
        <v>667</v>
      </c>
      <c r="B686" s="101">
        <f t="shared" si="71"/>
        <v>207</v>
      </c>
      <c r="C686" s="101" t="s">
        <v>399</v>
      </c>
      <c r="D686" s="101" t="s">
        <v>402</v>
      </c>
      <c r="E686" s="28">
        <f t="shared" si="73"/>
        <v>0</v>
      </c>
      <c r="F686" s="62">
        <v>0</v>
      </c>
      <c r="G686" s="62">
        <v>0</v>
      </c>
      <c r="H686" s="62">
        <v>0</v>
      </c>
      <c r="I686" s="62">
        <v>0</v>
      </c>
      <c r="J686" s="62">
        <v>0</v>
      </c>
      <c r="K686" s="62"/>
      <c r="L686" s="62"/>
      <c r="M686" s="62">
        <v>0</v>
      </c>
      <c r="N686" s="62"/>
      <c r="O686" s="62">
        <v>0</v>
      </c>
      <c r="P686" s="62">
        <v>0</v>
      </c>
      <c r="Q686" s="62">
        <v>6183525.54</v>
      </c>
      <c r="R686" s="62"/>
      <c r="S686" s="62"/>
      <c r="T686" s="151"/>
      <c r="V686" s="237">
        <f t="shared" si="72"/>
        <v>1</v>
      </c>
    </row>
    <row r="687" spans="1:22" hidden="1">
      <c r="A687" s="104">
        <f t="shared" si="70"/>
        <v>668</v>
      </c>
      <c r="B687" s="101">
        <f t="shared" si="71"/>
        <v>208</v>
      </c>
      <c r="C687" s="101" t="s">
        <v>580</v>
      </c>
      <c r="D687" s="101" t="s">
        <v>581</v>
      </c>
      <c r="E687" s="28">
        <f t="shared" si="73"/>
        <v>0</v>
      </c>
      <c r="F687" s="62">
        <v>1472677.42</v>
      </c>
      <c r="G687" s="62">
        <v>710689.9</v>
      </c>
      <c r="H687" s="62">
        <v>274938.06</v>
      </c>
      <c r="I687" s="62">
        <v>418011.7</v>
      </c>
      <c r="J687" s="62">
        <v>0</v>
      </c>
      <c r="K687" s="62"/>
      <c r="L687" s="62"/>
      <c r="M687" s="62">
        <v>0</v>
      </c>
      <c r="N687" s="62"/>
      <c r="O687" s="62">
        <v>0</v>
      </c>
      <c r="P687" s="62">
        <v>2139438.17</v>
      </c>
      <c r="Q687" s="62"/>
      <c r="R687" s="62"/>
      <c r="S687" s="62"/>
      <c r="T687" s="151"/>
      <c r="V687" s="237">
        <f t="shared" si="72"/>
        <v>5</v>
      </c>
    </row>
    <row r="688" spans="1:22" hidden="1">
      <c r="A688" s="104">
        <f t="shared" si="70"/>
        <v>669</v>
      </c>
      <c r="B688" s="101">
        <f t="shared" si="71"/>
        <v>209</v>
      </c>
      <c r="C688" s="101" t="s">
        <v>582</v>
      </c>
      <c r="D688" s="101" t="s">
        <v>583</v>
      </c>
      <c r="E688" s="306">
        <f t="shared" si="73"/>
        <v>0</v>
      </c>
      <c r="F688" s="62">
        <v>0</v>
      </c>
      <c r="G688" s="62">
        <v>0</v>
      </c>
      <c r="H688" s="62">
        <v>0</v>
      </c>
      <c r="I688" s="62">
        <v>0</v>
      </c>
      <c r="J688" s="62">
        <v>0</v>
      </c>
      <c r="K688" s="62"/>
      <c r="L688" s="62"/>
      <c r="M688" s="62">
        <v>0</v>
      </c>
      <c r="N688" s="62">
        <v>1320116.3500000001</v>
      </c>
      <c r="O688" s="62">
        <v>0</v>
      </c>
      <c r="P688" s="62">
        <v>0</v>
      </c>
      <c r="Q688" s="62"/>
      <c r="R688" s="62"/>
      <c r="S688" s="62"/>
      <c r="T688" s="151"/>
      <c r="V688" s="237">
        <f t="shared" si="72"/>
        <v>1</v>
      </c>
    </row>
    <row r="689" spans="1:68" hidden="1">
      <c r="A689" s="104">
        <f t="shared" si="70"/>
        <v>670</v>
      </c>
      <c r="B689" s="101">
        <f t="shared" si="71"/>
        <v>210</v>
      </c>
      <c r="C689" s="101" t="s">
        <v>582</v>
      </c>
      <c r="D689" s="101" t="s">
        <v>585</v>
      </c>
      <c r="E689" s="28">
        <f t="shared" si="73"/>
        <v>0</v>
      </c>
      <c r="F689" s="62">
        <v>710185.51</v>
      </c>
      <c r="G689" s="62">
        <v>0</v>
      </c>
      <c r="H689" s="62">
        <v>0</v>
      </c>
      <c r="I689" s="62">
        <v>391579.08</v>
      </c>
      <c r="J689" s="62">
        <v>0</v>
      </c>
      <c r="K689" s="62"/>
      <c r="L689" s="62"/>
      <c r="M689" s="62">
        <v>0</v>
      </c>
      <c r="N689" s="62">
        <v>1367704.78</v>
      </c>
      <c r="O689" s="62">
        <v>0</v>
      </c>
      <c r="P689" s="62">
        <v>3127013.96</v>
      </c>
      <c r="Q689" s="62">
        <v>0</v>
      </c>
      <c r="R689" s="62"/>
      <c r="S689" s="62"/>
      <c r="T689" s="151"/>
      <c r="V689" s="237">
        <f t="shared" si="72"/>
        <v>4</v>
      </c>
    </row>
    <row r="690" spans="1:68" hidden="1">
      <c r="A690" s="104">
        <f t="shared" si="70"/>
        <v>671</v>
      </c>
      <c r="B690" s="101">
        <f t="shared" si="71"/>
        <v>211</v>
      </c>
      <c r="C690" s="101" t="s">
        <v>582</v>
      </c>
      <c r="D690" s="101" t="s">
        <v>586</v>
      </c>
      <c r="E690" s="306">
        <f t="shared" si="73"/>
        <v>0</v>
      </c>
      <c r="F690" s="62">
        <v>0</v>
      </c>
      <c r="G690" s="62">
        <v>0</v>
      </c>
      <c r="H690" s="62"/>
      <c r="I690" s="62">
        <v>0</v>
      </c>
      <c r="J690" s="62">
        <v>0</v>
      </c>
      <c r="K690" s="62"/>
      <c r="L690" s="62"/>
      <c r="M690" s="62">
        <v>0</v>
      </c>
      <c r="N690" s="62">
        <v>0</v>
      </c>
      <c r="O690" s="62">
        <v>0</v>
      </c>
      <c r="P690" s="62">
        <v>333999.73</v>
      </c>
      <c r="Q690" s="62">
        <v>0</v>
      </c>
      <c r="R690" s="62"/>
      <c r="S690" s="62"/>
      <c r="T690" s="151"/>
      <c r="V690" s="237">
        <f t="shared" si="72"/>
        <v>1</v>
      </c>
    </row>
    <row r="691" spans="1:68" hidden="1">
      <c r="A691" s="104">
        <f t="shared" ref="A691:A699" si="74">A690+1</f>
        <v>672</v>
      </c>
      <c r="B691" s="101">
        <f t="shared" si="71"/>
        <v>212</v>
      </c>
      <c r="C691" s="101" t="s">
        <v>582</v>
      </c>
      <c r="D691" s="101" t="s">
        <v>587</v>
      </c>
      <c r="E691" s="306">
        <f t="shared" si="73"/>
        <v>0</v>
      </c>
      <c r="F691" s="62"/>
      <c r="G691" s="62">
        <v>0</v>
      </c>
      <c r="H691" s="62"/>
      <c r="I691" s="62"/>
      <c r="J691" s="62">
        <v>0</v>
      </c>
      <c r="K691" s="62"/>
      <c r="L691" s="62"/>
      <c r="M691" s="62">
        <v>0</v>
      </c>
      <c r="N691" s="62"/>
      <c r="O691" s="62">
        <v>0</v>
      </c>
      <c r="P691" s="62">
        <v>6025508.04</v>
      </c>
      <c r="Q691" s="62"/>
      <c r="R691" s="62"/>
      <c r="S691" s="62"/>
      <c r="T691" s="151"/>
      <c r="V691" s="237">
        <f t="shared" si="72"/>
        <v>1</v>
      </c>
    </row>
    <row r="692" spans="1:68" hidden="1">
      <c r="A692" s="104">
        <f t="shared" si="74"/>
        <v>673</v>
      </c>
      <c r="B692" s="101">
        <f t="shared" si="71"/>
        <v>213</v>
      </c>
      <c r="C692" s="101" t="s">
        <v>582</v>
      </c>
      <c r="D692" s="101" t="s">
        <v>588</v>
      </c>
      <c r="E692" s="306">
        <f t="shared" si="73"/>
        <v>0</v>
      </c>
      <c r="F692" s="62">
        <v>643642.56000000006</v>
      </c>
      <c r="G692" s="62">
        <v>0</v>
      </c>
      <c r="H692" s="62">
        <v>0</v>
      </c>
      <c r="I692" s="62"/>
      <c r="J692" s="62">
        <v>0</v>
      </c>
      <c r="K692" s="62"/>
      <c r="L692" s="62"/>
      <c r="M692" s="62">
        <v>0</v>
      </c>
      <c r="N692" s="62">
        <v>1495444.76</v>
      </c>
      <c r="O692" s="62">
        <v>0</v>
      </c>
      <c r="P692" s="62">
        <v>3305178.52</v>
      </c>
      <c r="Q692" s="62"/>
      <c r="R692" s="62"/>
      <c r="S692" s="62"/>
      <c r="T692" s="151"/>
      <c r="V692" s="237">
        <f t="shared" si="72"/>
        <v>3</v>
      </c>
    </row>
    <row r="693" spans="1:68" hidden="1">
      <c r="A693" s="104">
        <f t="shared" si="74"/>
        <v>674</v>
      </c>
      <c r="B693" s="101">
        <f t="shared" ref="B693:B699" si="75">B692+1</f>
        <v>214</v>
      </c>
      <c r="C693" s="101" t="s">
        <v>582</v>
      </c>
      <c r="D693" s="101" t="s">
        <v>590</v>
      </c>
      <c r="E693" s="28">
        <f t="shared" si="73"/>
        <v>0</v>
      </c>
      <c r="F693" s="62">
        <v>712780.99</v>
      </c>
      <c r="G693" s="62">
        <v>0</v>
      </c>
      <c r="H693" s="62">
        <v>0</v>
      </c>
      <c r="I693" s="62"/>
      <c r="J693" s="62">
        <v>0</v>
      </c>
      <c r="K693" s="62"/>
      <c r="L693" s="62"/>
      <c r="M693" s="62">
        <v>0</v>
      </c>
      <c r="N693" s="62">
        <v>1012916.36</v>
      </c>
      <c r="O693" s="62">
        <v>0</v>
      </c>
      <c r="P693" s="62">
        <v>3105824.19</v>
      </c>
      <c r="Q693" s="62"/>
      <c r="R693" s="62"/>
      <c r="S693" s="62"/>
      <c r="T693" s="151"/>
      <c r="V693" s="237">
        <f t="shared" si="72"/>
        <v>3</v>
      </c>
    </row>
    <row r="694" spans="1:68" hidden="1">
      <c r="A694" s="104">
        <f t="shared" si="74"/>
        <v>675</v>
      </c>
      <c r="B694" s="101">
        <f t="shared" si="75"/>
        <v>215</v>
      </c>
      <c r="C694" s="101" t="s">
        <v>162</v>
      </c>
      <c r="D694" s="101" t="s">
        <v>591</v>
      </c>
      <c r="E694" s="306">
        <f t="shared" si="73"/>
        <v>0</v>
      </c>
      <c r="F694" s="62">
        <v>0</v>
      </c>
      <c r="G694" s="62">
        <v>0</v>
      </c>
      <c r="H694" s="62">
        <v>0</v>
      </c>
      <c r="I694" s="62">
        <v>0</v>
      </c>
      <c r="J694" s="62">
        <v>1986359.66</v>
      </c>
      <c r="K694" s="62"/>
      <c r="L694" s="62"/>
      <c r="M694" s="62">
        <v>0</v>
      </c>
      <c r="N694" s="62">
        <v>0</v>
      </c>
      <c r="O694" s="62">
        <v>0</v>
      </c>
      <c r="P694" s="62">
        <v>0</v>
      </c>
      <c r="Q694" s="62">
        <v>0</v>
      </c>
      <c r="R694" s="62"/>
      <c r="S694" s="62"/>
      <c r="T694" s="151"/>
      <c r="V694" s="237">
        <f t="shared" si="72"/>
        <v>1</v>
      </c>
    </row>
    <row r="695" spans="1:68" hidden="1">
      <c r="A695" s="104">
        <f t="shared" si="74"/>
        <v>676</v>
      </c>
      <c r="B695" s="101">
        <f t="shared" si="75"/>
        <v>216</v>
      </c>
      <c r="C695" s="101" t="s">
        <v>162</v>
      </c>
      <c r="D695" s="101" t="s">
        <v>593</v>
      </c>
      <c r="E695" s="306">
        <f t="shared" si="73"/>
        <v>0</v>
      </c>
      <c r="F695" s="62">
        <v>0</v>
      </c>
      <c r="G695" s="62">
        <v>0</v>
      </c>
      <c r="H695" s="62">
        <v>0</v>
      </c>
      <c r="I695" s="62">
        <v>0</v>
      </c>
      <c r="J695" s="62">
        <v>2702611.31</v>
      </c>
      <c r="K695" s="62"/>
      <c r="L695" s="62"/>
      <c r="M695" s="62">
        <v>0</v>
      </c>
      <c r="N695" s="62">
        <v>0</v>
      </c>
      <c r="O695" s="62">
        <v>0</v>
      </c>
      <c r="P695" s="62">
        <v>0</v>
      </c>
      <c r="Q695" s="62">
        <v>0</v>
      </c>
      <c r="R695" s="62"/>
      <c r="S695" s="62"/>
      <c r="T695" s="151"/>
      <c r="V695" s="237">
        <f t="shared" si="72"/>
        <v>1</v>
      </c>
    </row>
    <row r="696" spans="1:68" hidden="1">
      <c r="A696" s="104">
        <f t="shared" si="74"/>
        <v>677</v>
      </c>
      <c r="B696" s="101">
        <f t="shared" si="75"/>
        <v>217</v>
      </c>
      <c r="C696" s="101" t="s">
        <v>162</v>
      </c>
      <c r="D696" s="101" t="s">
        <v>595</v>
      </c>
      <c r="E696" s="306">
        <f t="shared" si="73"/>
        <v>0</v>
      </c>
      <c r="F696" s="62">
        <v>0</v>
      </c>
      <c r="G696" s="62">
        <v>0</v>
      </c>
      <c r="H696" s="62">
        <v>0</v>
      </c>
      <c r="I696" s="62">
        <v>0</v>
      </c>
      <c r="J696" s="62">
        <v>2298025.2799999998</v>
      </c>
      <c r="K696" s="62"/>
      <c r="L696" s="62"/>
      <c r="M696" s="62">
        <v>0</v>
      </c>
      <c r="N696" s="62">
        <v>0</v>
      </c>
      <c r="O696" s="62">
        <v>0</v>
      </c>
      <c r="P696" s="62">
        <v>0</v>
      </c>
      <c r="Q696" s="62">
        <v>0</v>
      </c>
      <c r="R696" s="62"/>
      <c r="S696" s="62"/>
      <c r="T696" s="151"/>
      <c r="V696" s="237">
        <f t="shared" si="72"/>
        <v>1</v>
      </c>
    </row>
    <row r="697" spans="1:68" hidden="1">
      <c r="A697" s="104">
        <f t="shared" si="74"/>
        <v>678</v>
      </c>
      <c r="B697" s="101">
        <f t="shared" si="75"/>
        <v>218</v>
      </c>
      <c r="C697" s="101" t="s">
        <v>598</v>
      </c>
      <c r="D697" s="101" t="s">
        <v>599</v>
      </c>
      <c r="E697" s="306">
        <f t="shared" si="73"/>
        <v>0</v>
      </c>
      <c r="F697" s="62">
        <v>959344.45</v>
      </c>
      <c r="G697" s="62"/>
      <c r="H697" s="62">
        <v>229438</v>
      </c>
      <c r="I697" s="62">
        <v>0</v>
      </c>
      <c r="J697" s="62">
        <v>0</v>
      </c>
      <c r="K697" s="62"/>
      <c r="L697" s="62"/>
      <c r="M697" s="62">
        <v>0</v>
      </c>
      <c r="N697" s="62"/>
      <c r="O697" s="62">
        <v>0</v>
      </c>
      <c r="P697" s="62">
        <v>1542542.95</v>
      </c>
      <c r="Q697" s="62">
        <v>1435591</v>
      </c>
      <c r="R697" s="62"/>
      <c r="S697" s="62"/>
      <c r="T697" s="151"/>
      <c r="V697" s="237">
        <f t="shared" si="72"/>
        <v>4</v>
      </c>
    </row>
    <row r="698" spans="1:68" hidden="1">
      <c r="A698" s="104">
        <f t="shared" si="74"/>
        <v>679</v>
      </c>
      <c r="B698" s="101">
        <f t="shared" si="75"/>
        <v>219</v>
      </c>
      <c r="C698" s="101" t="s">
        <v>185</v>
      </c>
      <c r="D698" s="101" t="s">
        <v>601</v>
      </c>
      <c r="E698" s="306">
        <f t="shared" si="73"/>
        <v>0</v>
      </c>
      <c r="F698" s="62"/>
      <c r="G698" s="62"/>
      <c r="H698" s="62"/>
      <c r="I698" s="62"/>
      <c r="J698" s="62"/>
      <c r="K698" s="62"/>
      <c r="L698" s="62"/>
      <c r="M698" s="62"/>
      <c r="N698" s="62">
        <v>564707.89</v>
      </c>
      <c r="O698" s="62"/>
      <c r="P698" s="62"/>
      <c r="Q698" s="62"/>
      <c r="R698" s="62"/>
      <c r="S698" s="62"/>
      <c r="T698" s="151"/>
    </row>
    <row r="699" spans="1:68" hidden="1">
      <c r="A699" s="104">
        <f t="shared" si="74"/>
        <v>680</v>
      </c>
      <c r="B699" s="101">
        <f t="shared" si="75"/>
        <v>220</v>
      </c>
      <c r="C699" s="101" t="s">
        <v>185</v>
      </c>
      <c r="D699" s="101" t="s">
        <v>603</v>
      </c>
      <c r="E699" s="28">
        <f t="shared" si="73"/>
        <v>0</v>
      </c>
      <c r="F699" s="62"/>
      <c r="G699" s="62">
        <v>0</v>
      </c>
      <c r="H699" s="62">
        <v>112569.58</v>
      </c>
      <c r="I699" s="62">
        <v>0</v>
      </c>
      <c r="J699" s="62">
        <v>0</v>
      </c>
      <c r="K699" s="62"/>
      <c r="L699" s="62"/>
      <c r="M699" s="62">
        <v>0</v>
      </c>
      <c r="N699" s="62">
        <v>54292.9</v>
      </c>
      <c r="O699" s="62">
        <v>0</v>
      </c>
      <c r="P699" s="62">
        <v>0</v>
      </c>
      <c r="Q699" s="62">
        <v>0</v>
      </c>
      <c r="R699" s="62"/>
      <c r="S699" s="62"/>
      <c r="T699" s="151"/>
      <c r="V699" s="237">
        <f>COUNTIF(F699:Q699, "&gt;0")</f>
        <v>2</v>
      </c>
    </row>
    <row r="700" spans="1:68" s="122" customFormat="1" ht="21" hidden="1" customHeight="1">
      <c r="A700" s="233"/>
      <c r="B700" s="233"/>
      <c r="C700" s="233"/>
      <c r="D700" s="314" t="s">
        <v>86</v>
      </c>
      <c r="E700" s="233">
        <v>5419367.75</v>
      </c>
      <c r="F700" s="233">
        <f t="shared" ref="F700:T700" si="76">F701+F702</f>
        <v>0</v>
      </c>
      <c r="G700" s="233">
        <f t="shared" si="76"/>
        <v>0</v>
      </c>
      <c r="H700" s="233">
        <f t="shared" si="76"/>
        <v>0</v>
      </c>
      <c r="I700" s="233">
        <f t="shared" si="76"/>
        <v>0</v>
      </c>
      <c r="J700" s="233">
        <f t="shared" si="76"/>
        <v>0</v>
      </c>
      <c r="K700" s="233">
        <f t="shared" si="76"/>
        <v>0</v>
      </c>
      <c r="L700" s="233">
        <f t="shared" si="76"/>
        <v>0</v>
      </c>
      <c r="M700" s="233">
        <f t="shared" si="76"/>
        <v>0</v>
      </c>
      <c r="N700" s="233">
        <f t="shared" si="76"/>
        <v>0</v>
      </c>
      <c r="O700" s="233">
        <f t="shared" si="76"/>
        <v>0</v>
      </c>
      <c r="P700" s="233">
        <f t="shared" si="76"/>
        <v>0</v>
      </c>
      <c r="Q700" s="233">
        <f t="shared" si="76"/>
        <v>0</v>
      </c>
      <c r="R700" s="233">
        <f t="shared" si="76"/>
        <v>0</v>
      </c>
      <c r="S700" s="233">
        <f t="shared" si="76"/>
        <v>0</v>
      </c>
      <c r="T700" s="233">
        <f t="shared" si="76"/>
        <v>0</v>
      </c>
      <c r="U700" s="1"/>
      <c r="V700" s="14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</row>
    <row r="701" spans="1:68" hidden="1">
      <c r="A701" s="295" t="s">
        <v>96</v>
      </c>
      <c r="B701" s="12" t="s">
        <v>96</v>
      </c>
      <c r="C701" s="101" t="s">
        <v>484</v>
      </c>
      <c r="D701" s="313" t="s">
        <v>607</v>
      </c>
      <c r="E701" s="177">
        <v>3901065.96</v>
      </c>
      <c r="F701" s="62"/>
      <c r="G701" s="30"/>
      <c r="H701" s="30"/>
      <c r="I701" s="30"/>
      <c r="J701" s="30"/>
      <c r="K701" s="30"/>
      <c r="L701" s="62"/>
      <c r="M701" s="30"/>
      <c r="N701" s="30"/>
      <c r="O701" s="30"/>
      <c r="P701" s="30"/>
      <c r="Q701" s="30"/>
      <c r="R701" s="30"/>
      <c r="S701" s="153"/>
      <c r="T701" s="148"/>
      <c r="V701" s="149">
        <f>COUNTIF(F701:Q701, "&gt;0")</f>
        <v>0</v>
      </c>
    </row>
    <row r="702" spans="1:68" hidden="1">
      <c r="A702" s="295" t="s">
        <v>96</v>
      </c>
      <c r="B702" s="12" t="s">
        <v>96</v>
      </c>
      <c r="C702" s="101" t="s">
        <v>484</v>
      </c>
      <c r="D702" s="313" t="s">
        <v>485</v>
      </c>
      <c r="E702" s="177">
        <v>1518301.79</v>
      </c>
      <c r="F702" s="62"/>
      <c r="G702" s="30"/>
      <c r="H702" s="30"/>
      <c r="I702" s="30"/>
      <c r="J702" s="30"/>
      <c r="K702" s="30"/>
      <c r="L702" s="62"/>
      <c r="M702" s="30"/>
      <c r="N702" s="30"/>
      <c r="O702" s="30"/>
      <c r="P702" s="30"/>
      <c r="Q702" s="30"/>
      <c r="R702" s="30"/>
      <c r="S702" s="153"/>
      <c r="T702" s="148"/>
      <c r="V702" s="149">
        <f>COUNTIF(F702:Q702, "&gt;0")</f>
        <v>0</v>
      </c>
    </row>
    <row r="703" spans="1:68" hidden="1">
      <c r="A703" s="303"/>
      <c r="B703" s="224"/>
      <c r="C703" s="304"/>
      <c r="D703" s="133" t="s">
        <v>758</v>
      </c>
      <c r="E703" s="233">
        <f>SUM(E704:E812)</f>
        <v>4957923.9000000004</v>
      </c>
      <c r="F703" s="233">
        <f t="shared" ref="F703:T703" si="77">SUM(F737)</f>
        <v>0</v>
      </c>
      <c r="G703" s="233">
        <f t="shared" si="77"/>
        <v>0</v>
      </c>
      <c r="H703" s="233">
        <f t="shared" si="77"/>
        <v>1303632.49</v>
      </c>
      <c r="I703" s="233">
        <f t="shared" si="77"/>
        <v>0</v>
      </c>
      <c r="J703" s="233">
        <f t="shared" si="77"/>
        <v>0</v>
      </c>
      <c r="K703" s="233">
        <f t="shared" si="77"/>
        <v>0</v>
      </c>
      <c r="L703" s="233">
        <f t="shared" si="77"/>
        <v>0</v>
      </c>
      <c r="M703" s="233">
        <f t="shared" si="77"/>
        <v>0</v>
      </c>
      <c r="N703" s="233">
        <f t="shared" si="77"/>
        <v>0</v>
      </c>
      <c r="O703" s="233">
        <f t="shared" si="77"/>
        <v>0</v>
      </c>
      <c r="P703" s="233">
        <f t="shared" si="77"/>
        <v>0</v>
      </c>
      <c r="Q703" s="233">
        <f t="shared" si="77"/>
        <v>0</v>
      </c>
      <c r="R703" s="233">
        <f t="shared" si="77"/>
        <v>0</v>
      </c>
      <c r="S703" s="233">
        <f t="shared" si="77"/>
        <v>0</v>
      </c>
      <c r="T703" s="233">
        <f t="shared" si="77"/>
        <v>0</v>
      </c>
      <c r="V703" s="149"/>
    </row>
    <row r="704" spans="1:68" hidden="1">
      <c r="A704" s="104">
        <f>A699+1</f>
        <v>681</v>
      </c>
      <c r="B704" s="101" t="s">
        <v>96</v>
      </c>
      <c r="C704" s="101" t="s">
        <v>171</v>
      </c>
      <c r="D704" s="101" t="s">
        <v>179</v>
      </c>
      <c r="E704" s="28">
        <f t="shared" ref="E704:E735" si="78">SUBTOTAL(9, F704:T704)</f>
        <v>0</v>
      </c>
      <c r="F704" s="62">
        <v>2320624.2799999998</v>
      </c>
      <c r="G704" s="62">
        <v>1208886.8700000001</v>
      </c>
      <c r="H704" s="62"/>
      <c r="I704" s="62"/>
      <c r="J704" s="62">
        <v>0</v>
      </c>
      <c r="K704" s="62"/>
      <c r="L704" s="62"/>
      <c r="M704" s="62">
        <v>0</v>
      </c>
      <c r="N704" s="62">
        <v>4272787.71</v>
      </c>
      <c r="O704" s="62">
        <v>4924704.8499999996</v>
      </c>
      <c r="P704" s="62">
        <v>5939807.0499999998</v>
      </c>
      <c r="Q704" s="62"/>
      <c r="R704" s="62"/>
      <c r="S704" s="62"/>
      <c r="T704" s="151">
        <v>217969.4</v>
      </c>
      <c r="V704" s="237">
        <f t="shared" ref="V704:V735" si="79">COUNTIF(F704:Q704, "&gt;0")</f>
        <v>5</v>
      </c>
    </row>
    <row r="705" spans="1:68" hidden="1">
      <c r="A705" s="104">
        <f t="shared" ref="A705:A745" si="80">+A704+1</f>
        <v>682</v>
      </c>
      <c r="B705" s="101">
        <f>B699+1</f>
        <v>221</v>
      </c>
      <c r="C705" s="101" t="s">
        <v>106</v>
      </c>
      <c r="D705" s="101" t="s">
        <v>109</v>
      </c>
      <c r="E705" s="28">
        <f t="shared" si="78"/>
        <v>0</v>
      </c>
      <c r="F705" s="62">
        <v>6755517.9199999999</v>
      </c>
      <c r="G705" s="62"/>
      <c r="H705" s="62"/>
      <c r="I705" s="62">
        <v>4050089.45</v>
      </c>
      <c r="J705" s="62">
        <v>0</v>
      </c>
      <c r="K705" s="62"/>
      <c r="L705" s="62"/>
      <c r="M705" s="62">
        <v>0</v>
      </c>
      <c r="N705" s="62">
        <v>0</v>
      </c>
      <c r="O705" s="62">
        <v>0</v>
      </c>
      <c r="P705" s="62">
        <v>0</v>
      </c>
      <c r="Q705" s="62"/>
      <c r="R705" s="62"/>
      <c r="S705" s="62"/>
      <c r="T705" s="151"/>
      <c r="U705" s="18"/>
      <c r="V705" s="237">
        <f t="shared" si="79"/>
        <v>2</v>
      </c>
    </row>
    <row r="706" spans="1:68" hidden="1">
      <c r="A706" s="104">
        <f t="shared" si="80"/>
        <v>683</v>
      </c>
      <c r="B706" s="101">
        <f>B705+1</f>
        <v>222</v>
      </c>
      <c r="C706" s="101" t="s">
        <v>114</v>
      </c>
      <c r="D706" s="101" t="s">
        <v>613</v>
      </c>
      <c r="E706" s="28">
        <f t="shared" si="78"/>
        <v>0</v>
      </c>
      <c r="F706" s="62">
        <v>0</v>
      </c>
      <c r="G706" s="62">
        <v>0</v>
      </c>
      <c r="H706" s="62">
        <v>0</v>
      </c>
      <c r="I706" s="62">
        <v>0</v>
      </c>
      <c r="J706" s="62">
        <v>0</v>
      </c>
      <c r="K706" s="62"/>
      <c r="L706" s="62"/>
      <c r="M706" s="62">
        <v>0</v>
      </c>
      <c r="N706" s="62">
        <v>2622854.5099999998</v>
      </c>
      <c r="O706" s="62">
        <v>0</v>
      </c>
      <c r="P706" s="62">
        <v>0</v>
      </c>
      <c r="Q706" s="62">
        <v>0</v>
      </c>
      <c r="R706" s="62"/>
      <c r="S706" s="62"/>
      <c r="T706" s="151"/>
      <c r="V706" s="237">
        <f t="shared" si="79"/>
        <v>1</v>
      </c>
    </row>
    <row r="707" spans="1:68" hidden="1">
      <c r="A707" s="104">
        <f t="shared" si="80"/>
        <v>684</v>
      </c>
      <c r="B707" s="101" t="s">
        <v>96</v>
      </c>
      <c r="C707" s="101" t="s">
        <v>114</v>
      </c>
      <c r="D707" s="101" t="s">
        <v>273</v>
      </c>
      <c r="E707" s="28">
        <f t="shared" si="78"/>
        <v>0</v>
      </c>
      <c r="F707" s="62"/>
      <c r="G707" s="62"/>
      <c r="H707" s="62">
        <v>0</v>
      </c>
      <c r="I707" s="62">
        <v>0</v>
      </c>
      <c r="J707" s="62">
        <v>0</v>
      </c>
      <c r="K707" s="62"/>
      <c r="L707" s="62">
        <v>0</v>
      </c>
      <c r="M707" s="62"/>
      <c r="N707" s="62">
        <v>2460076.9700000002</v>
      </c>
      <c r="O707" s="62"/>
      <c r="P707" s="62">
        <v>0</v>
      </c>
      <c r="Q707" s="62">
        <v>0</v>
      </c>
      <c r="R707" s="62"/>
      <c r="S707" s="62"/>
      <c r="T707" s="151"/>
      <c r="V707" s="237">
        <f t="shared" si="79"/>
        <v>1</v>
      </c>
    </row>
    <row r="708" spans="1:68" hidden="1">
      <c r="A708" s="104">
        <f t="shared" si="80"/>
        <v>685</v>
      </c>
      <c r="B708" s="101">
        <f>+B706+1</f>
        <v>223</v>
      </c>
      <c r="C708" s="101" t="s">
        <v>114</v>
      </c>
      <c r="D708" s="101" t="s">
        <v>137</v>
      </c>
      <c r="E708" s="28">
        <f t="shared" si="78"/>
        <v>0</v>
      </c>
      <c r="F708" s="62"/>
      <c r="G708" s="62"/>
      <c r="H708" s="62"/>
      <c r="I708" s="62"/>
      <c r="J708" s="62">
        <v>0</v>
      </c>
      <c r="K708" s="62"/>
      <c r="L708" s="62"/>
      <c r="M708" s="62">
        <v>0</v>
      </c>
      <c r="N708" s="62">
        <v>0</v>
      </c>
      <c r="O708" s="62">
        <v>3968655.74</v>
      </c>
      <c r="P708" s="62">
        <v>0</v>
      </c>
      <c r="Q708" s="62">
        <v>0</v>
      </c>
      <c r="R708" s="62"/>
      <c r="S708" s="62"/>
      <c r="T708" s="151">
        <v>54013.82</v>
      </c>
      <c r="V708" s="237">
        <f t="shared" si="79"/>
        <v>1</v>
      </c>
    </row>
    <row r="709" spans="1:68" hidden="1">
      <c r="A709" s="104">
        <f t="shared" si="80"/>
        <v>686</v>
      </c>
      <c r="B709" s="101" t="s">
        <v>96</v>
      </c>
      <c r="C709" s="101" t="s">
        <v>114</v>
      </c>
      <c r="D709" s="101" t="s">
        <v>295</v>
      </c>
      <c r="E709" s="28">
        <f t="shared" si="78"/>
        <v>0</v>
      </c>
      <c r="F709" s="62">
        <v>6483838.3799999999</v>
      </c>
      <c r="G709" s="62">
        <v>0</v>
      </c>
      <c r="H709" s="62">
        <v>0</v>
      </c>
      <c r="I709" s="62"/>
      <c r="J709" s="62">
        <v>0</v>
      </c>
      <c r="K709" s="62"/>
      <c r="L709" s="62"/>
      <c r="M709" s="62">
        <v>0</v>
      </c>
      <c r="N709" s="62">
        <v>0</v>
      </c>
      <c r="O709" s="62"/>
      <c r="P709" s="62">
        <v>0</v>
      </c>
      <c r="Q709" s="62">
        <v>0</v>
      </c>
      <c r="R709" s="62"/>
      <c r="S709" s="62"/>
      <c r="T709" s="151">
        <v>32379.62</v>
      </c>
      <c r="V709" s="237">
        <f t="shared" si="79"/>
        <v>1</v>
      </c>
    </row>
    <row r="710" spans="1:68" hidden="1">
      <c r="A710" s="104">
        <f t="shared" si="80"/>
        <v>687</v>
      </c>
      <c r="B710" s="101">
        <f>B708+1</f>
        <v>224</v>
      </c>
      <c r="C710" s="101" t="s">
        <v>114</v>
      </c>
      <c r="D710" s="101" t="s">
        <v>617</v>
      </c>
      <c r="E710" s="28">
        <f t="shared" si="78"/>
        <v>0</v>
      </c>
      <c r="F710" s="62">
        <v>0</v>
      </c>
      <c r="G710" s="62">
        <v>0</v>
      </c>
      <c r="H710" s="62">
        <v>0</v>
      </c>
      <c r="I710" s="62">
        <v>0</v>
      </c>
      <c r="J710" s="62">
        <v>0</v>
      </c>
      <c r="K710" s="62"/>
      <c r="L710" s="62"/>
      <c r="M710" s="62">
        <v>0</v>
      </c>
      <c r="N710" s="62">
        <v>9169688.3499999996</v>
      </c>
      <c r="O710" s="62">
        <v>0</v>
      </c>
      <c r="P710" s="62">
        <v>0</v>
      </c>
      <c r="Q710" s="62">
        <v>0</v>
      </c>
      <c r="R710" s="62"/>
      <c r="S710" s="62"/>
      <c r="T710" s="151">
        <v>78775.990000000005</v>
      </c>
      <c r="V710" s="237">
        <f t="shared" si="79"/>
        <v>1</v>
      </c>
    </row>
    <row r="711" spans="1:68" hidden="1">
      <c r="A711" s="104">
        <f t="shared" si="80"/>
        <v>688</v>
      </c>
      <c r="B711" s="101" t="s">
        <v>96</v>
      </c>
      <c r="C711" s="101" t="s">
        <v>114</v>
      </c>
      <c r="D711" s="101" t="s">
        <v>312</v>
      </c>
      <c r="E711" s="28">
        <f t="shared" si="78"/>
        <v>0</v>
      </c>
      <c r="F711" s="62">
        <v>0</v>
      </c>
      <c r="G711" s="62">
        <v>0</v>
      </c>
      <c r="H711" s="62">
        <v>0</v>
      </c>
      <c r="I711" s="62">
        <v>0</v>
      </c>
      <c r="J711" s="62">
        <v>0</v>
      </c>
      <c r="K711" s="62"/>
      <c r="L711" s="62"/>
      <c r="M711" s="62">
        <v>0</v>
      </c>
      <c r="N711" s="62">
        <v>5103601.54</v>
      </c>
      <c r="O711" s="62">
        <v>0</v>
      </c>
      <c r="P711" s="62"/>
      <c r="Q711" s="62">
        <v>0</v>
      </c>
      <c r="R711" s="62"/>
      <c r="S711" s="62"/>
      <c r="T711" s="151"/>
      <c r="V711" s="237">
        <f t="shared" si="79"/>
        <v>1</v>
      </c>
    </row>
    <row r="712" spans="1:68" hidden="1">
      <c r="A712" s="104">
        <f t="shared" si="80"/>
        <v>689</v>
      </c>
      <c r="B712" s="101">
        <f>B710+1</f>
        <v>225</v>
      </c>
      <c r="C712" s="101" t="s">
        <v>114</v>
      </c>
      <c r="D712" s="101" t="s">
        <v>619</v>
      </c>
      <c r="E712" s="28">
        <f t="shared" si="78"/>
        <v>0</v>
      </c>
      <c r="F712" s="62">
        <v>0</v>
      </c>
      <c r="G712" s="62">
        <v>0</v>
      </c>
      <c r="H712" s="62">
        <v>0</v>
      </c>
      <c r="I712" s="62">
        <v>0</v>
      </c>
      <c r="J712" s="62">
        <v>0</v>
      </c>
      <c r="K712" s="62"/>
      <c r="L712" s="62"/>
      <c r="M712" s="62">
        <v>0</v>
      </c>
      <c r="N712" s="62">
        <v>0</v>
      </c>
      <c r="O712" s="62">
        <v>0</v>
      </c>
      <c r="P712" s="62">
        <v>10768790.210000001</v>
      </c>
      <c r="Q712" s="62">
        <v>0</v>
      </c>
      <c r="R712" s="62"/>
      <c r="S712" s="62"/>
      <c r="T712" s="151"/>
      <c r="V712" s="237">
        <f t="shared" si="79"/>
        <v>1</v>
      </c>
    </row>
    <row r="713" spans="1:68" hidden="1">
      <c r="A713" s="104">
        <f t="shared" si="80"/>
        <v>690</v>
      </c>
      <c r="B713" s="101" t="s">
        <v>96</v>
      </c>
      <c r="C713" s="101" t="s">
        <v>185</v>
      </c>
      <c r="D713" s="101" t="s">
        <v>227</v>
      </c>
      <c r="E713" s="28">
        <f t="shared" si="78"/>
        <v>0</v>
      </c>
      <c r="F713" s="62">
        <v>6402530.3799999999</v>
      </c>
      <c r="G713" s="62"/>
      <c r="H713" s="62"/>
      <c r="I713" s="62"/>
      <c r="J713" s="62">
        <v>0</v>
      </c>
      <c r="K713" s="62"/>
      <c r="L713" s="62"/>
      <c r="M713" s="62">
        <v>0</v>
      </c>
      <c r="N713" s="62"/>
      <c r="O713" s="62">
        <v>0</v>
      </c>
      <c r="P713" s="62"/>
      <c r="Q713" s="62">
        <v>0</v>
      </c>
      <c r="R713" s="62"/>
      <c r="S713" s="62"/>
      <c r="T713" s="151"/>
      <c r="V713" s="237">
        <f t="shared" si="79"/>
        <v>1</v>
      </c>
    </row>
    <row r="714" spans="1:68" hidden="1">
      <c r="A714" s="104">
        <f t="shared" si="80"/>
        <v>691</v>
      </c>
      <c r="B714" s="101" t="s">
        <v>96</v>
      </c>
      <c r="C714" s="101" t="s">
        <v>185</v>
      </c>
      <c r="D714" s="101" t="s">
        <v>231</v>
      </c>
      <c r="E714" s="28">
        <f t="shared" si="78"/>
        <v>0</v>
      </c>
      <c r="F714" s="62">
        <v>4667209.49</v>
      </c>
      <c r="G714" s="62">
        <v>0</v>
      </c>
      <c r="H714" s="62"/>
      <c r="I714" s="62"/>
      <c r="J714" s="62"/>
      <c r="K714" s="62"/>
      <c r="L714" s="62"/>
      <c r="M714" s="62">
        <v>0</v>
      </c>
      <c r="N714" s="62"/>
      <c r="O714" s="62">
        <v>0</v>
      </c>
      <c r="P714" s="62"/>
      <c r="Q714" s="62">
        <v>0</v>
      </c>
      <c r="R714" s="62"/>
      <c r="S714" s="62"/>
      <c r="T714" s="151"/>
      <c r="U714" s="305"/>
      <c r="V714" s="237">
        <f t="shared" si="79"/>
        <v>1</v>
      </c>
      <c r="W714" s="305"/>
      <c r="X714" s="305"/>
      <c r="Y714" s="305"/>
      <c r="Z714" s="305"/>
      <c r="AA714" s="305"/>
      <c r="AB714" s="305"/>
      <c r="AC714" s="305"/>
      <c r="AD714" s="305"/>
      <c r="AE714" s="305"/>
      <c r="AF714" s="305"/>
      <c r="AG714" s="305"/>
      <c r="AH714" s="305"/>
      <c r="AI714" s="305"/>
      <c r="AJ714" s="305"/>
      <c r="AK714" s="305"/>
      <c r="AL714" s="305"/>
      <c r="AM714" s="305"/>
      <c r="AN714" s="305"/>
      <c r="AO714" s="305"/>
      <c r="AP714" s="305"/>
      <c r="AQ714" s="305"/>
      <c r="AR714" s="305"/>
      <c r="AS714" s="305"/>
      <c r="AT714" s="305"/>
      <c r="AU714" s="305"/>
      <c r="AV714" s="305"/>
      <c r="AW714" s="305"/>
      <c r="AX714" s="305"/>
      <c r="AY714" s="305"/>
      <c r="AZ714" s="305"/>
      <c r="BA714" s="305"/>
      <c r="BB714" s="305"/>
      <c r="BC714" s="305"/>
      <c r="BD714" s="305"/>
      <c r="BE714" s="305"/>
      <c r="BF714" s="305"/>
      <c r="BG714" s="305"/>
      <c r="BH714" s="305"/>
      <c r="BI714" s="305"/>
      <c r="BJ714" s="305"/>
      <c r="BK714" s="305"/>
      <c r="BL714" s="305"/>
      <c r="BM714" s="305"/>
      <c r="BN714" s="305"/>
      <c r="BO714" s="305"/>
      <c r="BP714" s="305"/>
    </row>
    <row r="715" spans="1:68" hidden="1">
      <c r="A715" s="104">
        <f t="shared" si="80"/>
        <v>692</v>
      </c>
      <c r="B715" s="101" t="s">
        <v>96</v>
      </c>
      <c r="C715" s="101" t="s">
        <v>185</v>
      </c>
      <c r="D715" s="101" t="s">
        <v>380</v>
      </c>
      <c r="E715" s="28">
        <f t="shared" si="78"/>
        <v>0</v>
      </c>
      <c r="F715" s="62">
        <v>2813800.8</v>
      </c>
      <c r="G715" s="62"/>
      <c r="H715" s="62"/>
      <c r="I715" s="62"/>
      <c r="J715" s="62"/>
      <c r="K715" s="62"/>
      <c r="L715" s="62"/>
      <c r="M715" s="62">
        <v>0</v>
      </c>
      <c r="N715" s="62"/>
      <c r="O715" s="62">
        <v>0</v>
      </c>
      <c r="P715" s="62"/>
      <c r="Q715" s="62"/>
      <c r="R715" s="62"/>
      <c r="S715" s="62"/>
      <c r="T715" s="151"/>
      <c r="V715" s="237">
        <f t="shared" si="79"/>
        <v>1</v>
      </c>
    </row>
    <row r="716" spans="1:68" hidden="1">
      <c r="A716" s="104">
        <f t="shared" si="80"/>
        <v>693</v>
      </c>
      <c r="B716" s="101">
        <f>B712+1</f>
        <v>226</v>
      </c>
      <c r="C716" s="101" t="s">
        <v>185</v>
      </c>
      <c r="D716" s="101" t="s">
        <v>532</v>
      </c>
      <c r="E716" s="28">
        <f t="shared" si="78"/>
        <v>0</v>
      </c>
      <c r="F716" s="62"/>
      <c r="G716" s="62"/>
      <c r="H716" s="62"/>
      <c r="I716" s="62"/>
      <c r="J716" s="62">
        <v>1429584.02</v>
      </c>
      <c r="K716" s="62"/>
      <c r="L716" s="62">
        <v>0</v>
      </c>
      <c r="M716" s="62">
        <v>0</v>
      </c>
      <c r="N716" s="62"/>
      <c r="O716" s="62">
        <v>0</v>
      </c>
      <c r="P716" s="62"/>
      <c r="Q716" s="62"/>
      <c r="R716" s="62"/>
      <c r="S716" s="62"/>
      <c r="T716" s="151"/>
      <c r="V716" s="237">
        <f t="shared" si="79"/>
        <v>1</v>
      </c>
    </row>
    <row r="717" spans="1:68" hidden="1">
      <c r="A717" s="104">
        <f t="shared" si="80"/>
        <v>694</v>
      </c>
      <c r="B717" s="101">
        <f>B716+1</f>
        <v>227</v>
      </c>
      <c r="C717" s="101" t="s">
        <v>185</v>
      </c>
      <c r="D717" s="101" t="s">
        <v>276</v>
      </c>
      <c r="E717" s="28">
        <f t="shared" si="78"/>
        <v>0</v>
      </c>
      <c r="F717" s="62"/>
      <c r="G717" s="62">
        <v>773824.99</v>
      </c>
      <c r="H717" s="62"/>
      <c r="I717" s="62">
        <v>492005.51</v>
      </c>
      <c r="J717" s="62"/>
      <c r="K717" s="62"/>
      <c r="L717" s="62"/>
      <c r="M717" s="62">
        <v>0</v>
      </c>
      <c r="N717" s="62"/>
      <c r="O717" s="62">
        <v>0</v>
      </c>
      <c r="P717" s="62">
        <v>0</v>
      </c>
      <c r="Q717" s="62">
        <v>0</v>
      </c>
      <c r="R717" s="62"/>
      <c r="S717" s="62"/>
      <c r="T717" s="151"/>
      <c r="U717" s="305"/>
      <c r="V717" s="237">
        <f t="shared" si="79"/>
        <v>2</v>
      </c>
      <c r="W717" s="305"/>
      <c r="X717" s="305"/>
      <c r="Y717" s="305"/>
      <c r="Z717" s="305"/>
      <c r="AA717" s="305"/>
      <c r="AB717" s="305"/>
      <c r="AC717" s="305"/>
      <c r="AD717" s="305"/>
      <c r="AE717" s="305"/>
      <c r="AF717" s="305"/>
      <c r="AG717" s="305"/>
      <c r="AH717" s="305"/>
      <c r="AI717" s="305"/>
      <c r="AJ717" s="305"/>
      <c r="AK717" s="305"/>
      <c r="AL717" s="305"/>
      <c r="AM717" s="305"/>
      <c r="AN717" s="305"/>
      <c r="AO717" s="305"/>
      <c r="AP717" s="305"/>
      <c r="AQ717" s="305"/>
      <c r="AR717" s="305"/>
      <c r="AS717" s="305"/>
      <c r="AT717" s="305"/>
      <c r="AU717" s="305"/>
      <c r="AV717" s="305"/>
      <c r="AW717" s="305"/>
      <c r="AX717" s="305"/>
      <c r="AY717" s="305"/>
      <c r="AZ717" s="305"/>
      <c r="BA717" s="305"/>
      <c r="BB717" s="305"/>
      <c r="BC717" s="305"/>
      <c r="BD717" s="305"/>
      <c r="BE717" s="305"/>
      <c r="BF717" s="305"/>
      <c r="BG717" s="305"/>
      <c r="BH717" s="305"/>
      <c r="BI717" s="305"/>
      <c r="BJ717" s="305"/>
      <c r="BK717" s="305"/>
      <c r="BL717" s="305"/>
      <c r="BM717" s="305"/>
      <c r="BN717" s="305"/>
      <c r="BO717" s="305"/>
      <c r="BP717" s="305"/>
    </row>
    <row r="718" spans="1:68" hidden="1">
      <c r="A718" s="104">
        <f t="shared" si="80"/>
        <v>695</v>
      </c>
      <c r="B718" s="101" t="s">
        <v>96</v>
      </c>
      <c r="C718" s="101" t="s">
        <v>185</v>
      </c>
      <c r="D718" s="101" t="s">
        <v>434</v>
      </c>
      <c r="E718" s="28">
        <f t="shared" si="78"/>
        <v>0</v>
      </c>
      <c r="F718" s="62">
        <v>9534404.9800000004</v>
      </c>
      <c r="G718" s="62">
        <v>5463949.4500000002</v>
      </c>
      <c r="H718" s="62"/>
      <c r="I718" s="62">
        <v>3729173.38</v>
      </c>
      <c r="J718" s="62"/>
      <c r="K718" s="62"/>
      <c r="L718" s="62"/>
      <c r="M718" s="62"/>
      <c r="N718" s="62"/>
      <c r="O718" s="62">
        <v>0</v>
      </c>
      <c r="P718" s="62"/>
      <c r="Q718" s="62"/>
      <c r="R718" s="62"/>
      <c r="S718" s="62"/>
      <c r="T718" s="151"/>
      <c r="V718" s="237">
        <f t="shared" si="79"/>
        <v>3</v>
      </c>
    </row>
    <row r="719" spans="1:68" hidden="1">
      <c r="A719" s="104">
        <f t="shared" si="80"/>
        <v>696</v>
      </c>
      <c r="B719" s="101">
        <f>B717+1</f>
        <v>228</v>
      </c>
      <c r="C719" s="101" t="s">
        <v>185</v>
      </c>
      <c r="D719" s="101" t="s">
        <v>568</v>
      </c>
      <c r="E719" s="28">
        <f t="shared" si="78"/>
        <v>0</v>
      </c>
      <c r="F719" s="62">
        <v>0</v>
      </c>
      <c r="G719" s="62">
        <v>0</v>
      </c>
      <c r="H719" s="62">
        <v>1864807.79</v>
      </c>
      <c r="I719" s="62">
        <v>0</v>
      </c>
      <c r="J719" s="62">
        <v>0</v>
      </c>
      <c r="K719" s="62"/>
      <c r="L719" s="62"/>
      <c r="M719" s="62">
        <v>0</v>
      </c>
      <c r="N719" s="62"/>
      <c r="O719" s="62">
        <v>0</v>
      </c>
      <c r="P719" s="62"/>
      <c r="Q719" s="62">
        <v>0</v>
      </c>
      <c r="R719" s="62"/>
      <c r="S719" s="62"/>
      <c r="T719" s="151"/>
      <c r="U719" s="305"/>
      <c r="V719" s="237">
        <f t="shared" si="79"/>
        <v>1</v>
      </c>
      <c r="W719" s="305"/>
      <c r="X719" s="305"/>
      <c r="Y719" s="305"/>
      <c r="Z719" s="305"/>
      <c r="AA719" s="305"/>
      <c r="AB719" s="305"/>
      <c r="AC719" s="305"/>
      <c r="AD719" s="305"/>
      <c r="AE719" s="305"/>
      <c r="AF719" s="305"/>
      <c r="AG719" s="305"/>
      <c r="AH719" s="305"/>
      <c r="AI719" s="305"/>
      <c r="AJ719" s="305"/>
      <c r="AK719" s="305"/>
      <c r="AL719" s="305"/>
      <c r="AM719" s="305"/>
      <c r="AN719" s="305"/>
      <c r="AO719" s="305"/>
      <c r="AP719" s="305"/>
      <c r="AQ719" s="305"/>
      <c r="AR719" s="305"/>
      <c r="AS719" s="305"/>
      <c r="AT719" s="305"/>
      <c r="AU719" s="305"/>
      <c r="AV719" s="305"/>
      <c r="AW719" s="305"/>
      <c r="AX719" s="305"/>
      <c r="AY719" s="305"/>
      <c r="AZ719" s="305"/>
      <c r="BA719" s="305"/>
      <c r="BB719" s="305"/>
      <c r="BC719" s="305"/>
      <c r="BD719" s="305"/>
      <c r="BE719" s="305"/>
      <c r="BF719" s="305"/>
      <c r="BG719" s="305"/>
      <c r="BH719" s="305"/>
      <c r="BI719" s="305"/>
      <c r="BJ719" s="305"/>
      <c r="BK719" s="305"/>
      <c r="BL719" s="305"/>
      <c r="BM719" s="305"/>
      <c r="BN719" s="305"/>
      <c r="BO719" s="305"/>
      <c r="BP719" s="305"/>
    </row>
    <row r="720" spans="1:68" hidden="1">
      <c r="A720" s="104">
        <f t="shared" si="80"/>
        <v>697</v>
      </c>
      <c r="B720" s="101" t="s">
        <v>96</v>
      </c>
      <c r="C720" s="101" t="s">
        <v>185</v>
      </c>
      <c r="D720" s="101" t="s">
        <v>307</v>
      </c>
      <c r="E720" s="28">
        <f t="shared" si="78"/>
        <v>0</v>
      </c>
      <c r="F720" s="62"/>
      <c r="G720" s="62">
        <v>1245773.46</v>
      </c>
      <c r="H720" s="62"/>
      <c r="I720" s="62"/>
      <c r="J720" s="62"/>
      <c r="K720" s="62"/>
      <c r="L720" s="62"/>
      <c r="M720" s="62"/>
      <c r="N720" s="62"/>
      <c r="O720" s="62">
        <v>0</v>
      </c>
      <c r="P720" s="62"/>
      <c r="Q720" s="62"/>
      <c r="R720" s="62"/>
      <c r="S720" s="62"/>
      <c r="T720" s="151"/>
      <c r="V720" s="237">
        <f t="shared" si="79"/>
        <v>1</v>
      </c>
    </row>
    <row r="721" spans="1:68" hidden="1">
      <c r="A721" s="104">
        <f t="shared" si="80"/>
        <v>698</v>
      </c>
      <c r="B721" s="101">
        <f>B719+1</f>
        <v>229</v>
      </c>
      <c r="C721" s="101" t="s">
        <v>185</v>
      </c>
      <c r="D721" s="101" t="s">
        <v>579</v>
      </c>
      <c r="E721" s="28">
        <f t="shared" si="78"/>
        <v>0</v>
      </c>
      <c r="F721" s="62"/>
      <c r="G721" s="62"/>
      <c r="H721" s="62">
        <v>1676753.94</v>
      </c>
      <c r="I721" s="62"/>
      <c r="J721" s="62"/>
      <c r="K721" s="62"/>
      <c r="L721" s="62"/>
      <c r="M721" s="62"/>
      <c r="N721" s="62"/>
      <c r="O721" s="62"/>
      <c r="P721" s="62"/>
      <c r="Q721" s="62">
        <v>0</v>
      </c>
      <c r="R721" s="62"/>
      <c r="S721" s="62"/>
      <c r="T721" s="151"/>
      <c r="U721" s="305"/>
      <c r="V721" s="237">
        <f t="shared" si="79"/>
        <v>1</v>
      </c>
      <c r="W721" s="305"/>
      <c r="X721" s="305"/>
      <c r="Y721" s="305"/>
      <c r="Z721" s="305"/>
      <c r="AA721" s="305"/>
      <c r="AB721" s="305"/>
      <c r="AC721" s="305"/>
      <c r="AD721" s="305"/>
      <c r="AE721" s="305"/>
      <c r="AF721" s="305"/>
      <c r="AG721" s="305"/>
      <c r="AH721" s="305"/>
      <c r="AI721" s="305"/>
      <c r="AJ721" s="305"/>
      <c r="AK721" s="305"/>
      <c r="AL721" s="305"/>
      <c r="AM721" s="305"/>
      <c r="AN721" s="305"/>
      <c r="AO721" s="305"/>
      <c r="AP721" s="305"/>
      <c r="AQ721" s="305"/>
      <c r="AR721" s="305"/>
      <c r="AS721" s="305"/>
      <c r="AT721" s="305"/>
      <c r="AU721" s="305"/>
      <c r="AV721" s="305"/>
      <c r="AW721" s="305"/>
      <c r="AX721" s="305"/>
      <c r="AY721" s="305"/>
      <c r="AZ721" s="305"/>
      <c r="BA721" s="305"/>
      <c r="BB721" s="305"/>
      <c r="BC721" s="305"/>
      <c r="BD721" s="305"/>
      <c r="BE721" s="305"/>
      <c r="BF721" s="305"/>
      <c r="BG721" s="305"/>
      <c r="BH721" s="305"/>
      <c r="BI721" s="305"/>
      <c r="BJ721" s="305"/>
      <c r="BK721" s="305"/>
      <c r="BL721" s="305"/>
      <c r="BM721" s="305"/>
      <c r="BN721" s="305"/>
      <c r="BO721" s="305"/>
      <c r="BP721" s="305"/>
    </row>
    <row r="722" spans="1:68" hidden="1">
      <c r="A722" s="104">
        <f t="shared" si="80"/>
        <v>699</v>
      </c>
      <c r="B722" s="101" t="s">
        <v>96</v>
      </c>
      <c r="C722" s="101" t="s">
        <v>185</v>
      </c>
      <c r="D722" s="101" t="s">
        <v>319</v>
      </c>
      <c r="E722" s="28">
        <f t="shared" si="78"/>
        <v>0</v>
      </c>
      <c r="F722" s="62">
        <v>8642752.7599999998</v>
      </c>
      <c r="G722" s="62">
        <v>3166684.8</v>
      </c>
      <c r="H722" s="62">
        <v>3336135.89</v>
      </c>
      <c r="I722" s="62">
        <v>4214244.96</v>
      </c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151"/>
      <c r="V722" s="237">
        <f t="shared" si="79"/>
        <v>4</v>
      </c>
    </row>
    <row r="723" spans="1:68" hidden="1">
      <c r="A723" s="104">
        <f t="shared" si="80"/>
        <v>700</v>
      </c>
      <c r="B723" s="101" t="s">
        <v>96</v>
      </c>
      <c r="C723" s="101" t="s">
        <v>185</v>
      </c>
      <c r="D723" s="101" t="s">
        <v>756</v>
      </c>
      <c r="E723" s="28">
        <f t="shared" si="78"/>
        <v>0</v>
      </c>
      <c r="F723" s="62">
        <v>8489249.9199999999</v>
      </c>
      <c r="G723" s="62">
        <v>3460760.4</v>
      </c>
      <c r="H723" s="62">
        <v>3336135.89</v>
      </c>
      <c r="I723" s="62">
        <v>4124794.39</v>
      </c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151"/>
      <c r="V723" s="237">
        <f t="shared" si="79"/>
        <v>4</v>
      </c>
    </row>
    <row r="724" spans="1:68" hidden="1">
      <c r="A724" s="104">
        <f t="shared" si="80"/>
        <v>701</v>
      </c>
      <c r="B724" s="101" t="s">
        <v>96</v>
      </c>
      <c r="C724" s="101" t="s">
        <v>185</v>
      </c>
      <c r="D724" s="101" t="s">
        <v>331</v>
      </c>
      <c r="E724" s="28">
        <f t="shared" si="78"/>
        <v>0</v>
      </c>
      <c r="F724" s="62"/>
      <c r="G724" s="62">
        <v>5039032.72</v>
      </c>
      <c r="H724" s="62"/>
      <c r="I724" s="62">
        <v>2545605.9</v>
      </c>
      <c r="J724" s="62"/>
      <c r="K724" s="62"/>
      <c r="L724" s="62"/>
      <c r="M724" s="62">
        <v>0</v>
      </c>
      <c r="N724" s="62"/>
      <c r="O724" s="62">
        <v>0</v>
      </c>
      <c r="P724" s="62"/>
      <c r="Q724" s="62"/>
      <c r="R724" s="62"/>
      <c r="S724" s="62"/>
      <c r="T724" s="151">
        <v>66195.03</v>
      </c>
      <c r="V724" s="237">
        <f t="shared" si="79"/>
        <v>2</v>
      </c>
    </row>
    <row r="725" spans="1:68" hidden="1">
      <c r="A725" s="104">
        <f t="shared" si="80"/>
        <v>702</v>
      </c>
      <c r="B725" s="101">
        <f>B721+1</f>
        <v>230</v>
      </c>
      <c r="C725" s="101" t="s">
        <v>185</v>
      </c>
      <c r="D725" s="101" t="s">
        <v>333</v>
      </c>
      <c r="E725" s="28">
        <f t="shared" si="78"/>
        <v>0</v>
      </c>
      <c r="F725" s="62"/>
      <c r="G725" s="62">
        <v>1950514.3</v>
      </c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151"/>
      <c r="V725" s="237">
        <f t="shared" si="79"/>
        <v>1</v>
      </c>
    </row>
    <row r="726" spans="1:68" hidden="1">
      <c r="A726" s="104">
        <f t="shared" si="80"/>
        <v>703</v>
      </c>
      <c r="B726" s="101" t="s">
        <v>96</v>
      </c>
      <c r="C726" s="101" t="s">
        <v>185</v>
      </c>
      <c r="D726" s="101" t="s">
        <v>334</v>
      </c>
      <c r="E726" s="306">
        <f t="shared" si="78"/>
        <v>0</v>
      </c>
      <c r="F726" s="62"/>
      <c r="G726" s="62">
        <v>1397547.49</v>
      </c>
      <c r="H726" s="62"/>
      <c r="I726" s="62"/>
      <c r="J726" s="62"/>
      <c r="K726" s="62"/>
      <c r="L726" s="62"/>
      <c r="M726" s="62">
        <v>0</v>
      </c>
      <c r="N726" s="62">
        <v>0</v>
      </c>
      <c r="O726" s="62">
        <v>0</v>
      </c>
      <c r="P726" s="62"/>
      <c r="Q726" s="62">
        <v>0</v>
      </c>
      <c r="R726" s="62"/>
      <c r="S726" s="62"/>
      <c r="T726" s="151"/>
      <c r="V726" s="237">
        <f t="shared" si="79"/>
        <v>1</v>
      </c>
    </row>
    <row r="727" spans="1:68" hidden="1">
      <c r="A727" s="104">
        <f t="shared" si="80"/>
        <v>704</v>
      </c>
      <c r="B727" s="101" t="s">
        <v>96</v>
      </c>
      <c r="C727" s="101" t="s">
        <v>185</v>
      </c>
      <c r="D727" s="101" t="s">
        <v>325</v>
      </c>
      <c r="E727" s="306">
        <f t="shared" si="78"/>
        <v>0</v>
      </c>
      <c r="F727" s="62"/>
      <c r="G727" s="62">
        <v>1063489.17</v>
      </c>
      <c r="H727" s="62">
        <v>0</v>
      </c>
      <c r="I727" s="62">
        <v>1045305.74</v>
      </c>
      <c r="J727" s="62"/>
      <c r="K727" s="62"/>
      <c r="L727" s="62"/>
      <c r="M727" s="62">
        <v>0</v>
      </c>
      <c r="N727" s="62">
        <v>0</v>
      </c>
      <c r="O727" s="62">
        <v>0</v>
      </c>
      <c r="P727" s="62"/>
      <c r="Q727" s="62">
        <v>0</v>
      </c>
      <c r="R727" s="62"/>
      <c r="S727" s="62"/>
      <c r="T727" s="151"/>
      <c r="V727" s="237">
        <f t="shared" si="79"/>
        <v>2</v>
      </c>
    </row>
    <row r="728" spans="1:68" hidden="1">
      <c r="A728" s="104">
        <f t="shared" si="80"/>
        <v>705</v>
      </c>
      <c r="B728" s="101" t="s">
        <v>96</v>
      </c>
      <c r="C728" s="101" t="s">
        <v>185</v>
      </c>
      <c r="D728" s="101" t="s">
        <v>479</v>
      </c>
      <c r="E728" s="306">
        <f t="shared" si="78"/>
        <v>0</v>
      </c>
      <c r="F728" s="62"/>
      <c r="G728" s="62">
        <v>1063489.17</v>
      </c>
      <c r="H728" s="62"/>
      <c r="I728" s="62">
        <v>1307914.6299999999</v>
      </c>
      <c r="J728" s="62"/>
      <c r="K728" s="62"/>
      <c r="L728" s="62"/>
      <c r="M728" s="62">
        <v>0</v>
      </c>
      <c r="N728" s="62">
        <v>0</v>
      </c>
      <c r="O728" s="62">
        <v>0</v>
      </c>
      <c r="P728" s="62"/>
      <c r="Q728" s="62">
        <v>0</v>
      </c>
      <c r="R728" s="62"/>
      <c r="S728" s="62"/>
      <c r="T728" s="151"/>
      <c r="V728" s="237">
        <f t="shared" si="79"/>
        <v>2</v>
      </c>
    </row>
    <row r="729" spans="1:68" hidden="1">
      <c r="A729" s="104">
        <f t="shared" si="80"/>
        <v>706</v>
      </c>
      <c r="B729" s="101">
        <f>B725+1</f>
        <v>231</v>
      </c>
      <c r="C729" s="101" t="s">
        <v>104</v>
      </c>
      <c r="D729" s="101" t="s">
        <v>625</v>
      </c>
      <c r="E729" s="28">
        <f t="shared" si="78"/>
        <v>0</v>
      </c>
      <c r="F729" s="62"/>
      <c r="G729" s="62"/>
      <c r="H729" s="62"/>
      <c r="I729" s="62">
        <v>520542.46</v>
      </c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151"/>
      <c r="U729" s="305"/>
      <c r="V729" s="237">
        <f t="shared" si="79"/>
        <v>1</v>
      </c>
      <c r="W729" s="305"/>
      <c r="X729" s="305"/>
      <c r="Y729" s="305"/>
      <c r="Z729" s="305"/>
      <c r="AA729" s="305"/>
      <c r="AB729" s="305"/>
      <c r="AC729" s="305"/>
      <c r="AD729" s="305"/>
      <c r="AE729" s="305"/>
      <c r="AF729" s="305"/>
      <c r="AG729" s="305"/>
      <c r="AH729" s="305"/>
      <c r="AI729" s="305"/>
      <c r="AJ729" s="305"/>
      <c r="AK729" s="305"/>
      <c r="AL729" s="305"/>
      <c r="AM729" s="305"/>
      <c r="AN729" s="305"/>
      <c r="AO729" s="305"/>
      <c r="AP729" s="305"/>
      <c r="AQ729" s="305"/>
      <c r="AR729" s="305"/>
      <c r="AS729" s="305"/>
      <c r="AT729" s="305"/>
      <c r="AU729" s="305"/>
      <c r="AV729" s="305"/>
      <c r="AW729" s="305"/>
      <c r="AX729" s="305"/>
      <c r="AY729" s="305"/>
      <c r="AZ729" s="305"/>
      <c r="BA729" s="305"/>
      <c r="BB729" s="305"/>
      <c r="BC729" s="305"/>
      <c r="BD729" s="305"/>
      <c r="BE729" s="305"/>
      <c r="BF729" s="305"/>
      <c r="BG729" s="305"/>
      <c r="BH729" s="305"/>
      <c r="BI729" s="305"/>
      <c r="BJ729" s="305"/>
      <c r="BK729" s="305"/>
      <c r="BL729" s="305"/>
      <c r="BM729" s="305"/>
      <c r="BN729" s="305"/>
      <c r="BO729" s="305"/>
      <c r="BP729" s="305"/>
    </row>
    <row r="730" spans="1:68" hidden="1">
      <c r="A730" s="104">
        <f t="shared" si="80"/>
        <v>707</v>
      </c>
      <c r="B730" s="101">
        <f>B729+1</f>
        <v>232</v>
      </c>
      <c r="C730" s="101" t="s">
        <v>104</v>
      </c>
      <c r="D730" s="101" t="s">
        <v>627</v>
      </c>
      <c r="E730" s="28">
        <f t="shared" si="78"/>
        <v>0</v>
      </c>
      <c r="F730" s="62"/>
      <c r="G730" s="62"/>
      <c r="H730" s="62">
        <v>1293781.6000000001</v>
      </c>
      <c r="I730" s="62">
        <v>0</v>
      </c>
      <c r="J730" s="62">
        <v>0</v>
      </c>
      <c r="K730" s="62"/>
      <c r="L730" s="62"/>
      <c r="M730" s="62">
        <v>0</v>
      </c>
      <c r="N730" s="62">
        <v>0</v>
      </c>
      <c r="O730" s="62">
        <v>0</v>
      </c>
      <c r="P730" s="62">
        <v>0</v>
      </c>
      <c r="Q730" s="62">
        <v>0</v>
      </c>
      <c r="R730" s="62"/>
      <c r="S730" s="62"/>
      <c r="T730" s="151"/>
      <c r="V730" s="237">
        <f t="shared" si="79"/>
        <v>1</v>
      </c>
    </row>
    <row r="731" spans="1:68" hidden="1">
      <c r="A731" s="104">
        <f t="shared" si="80"/>
        <v>708</v>
      </c>
      <c r="B731" s="101" t="s">
        <v>96</v>
      </c>
      <c r="C731" s="101" t="s">
        <v>104</v>
      </c>
      <c r="D731" s="101" t="s">
        <v>513</v>
      </c>
      <c r="E731" s="28">
        <f t="shared" si="78"/>
        <v>0</v>
      </c>
      <c r="F731" s="62">
        <v>0</v>
      </c>
      <c r="G731" s="62">
        <v>0</v>
      </c>
      <c r="H731" s="62"/>
      <c r="I731" s="62">
        <v>1598147.38</v>
      </c>
      <c r="J731" s="62">
        <v>0</v>
      </c>
      <c r="K731" s="62"/>
      <c r="L731" s="62"/>
      <c r="M731" s="62">
        <v>0</v>
      </c>
      <c r="N731" s="62">
        <v>0</v>
      </c>
      <c r="O731" s="62">
        <v>0</v>
      </c>
      <c r="P731" s="62">
        <v>0</v>
      </c>
      <c r="Q731" s="62">
        <v>0</v>
      </c>
      <c r="R731" s="62"/>
      <c r="S731" s="62"/>
      <c r="T731" s="151"/>
      <c r="U731" s="305"/>
      <c r="V731" s="237">
        <f t="shared" si="79"/>
        <v>1</v>
      </c>
      <c r="W731" s="305"/>
      <c r="X731" s="305"/>
      <c r="Y731" s="305"/>
      <c r="Z731" s="305"/>
      <c r="AA731" s="305"/>
      <c r="AB731" s="305"/>
      <c r="AC731" s="305"/>
      <c r="AD731" s="305"/>
      <c r="AE731" s="305"/>
      <c r="AF731" s="305"/>
      <c r="AG731" s="305"/>
      <c r="AH731" s="305"/>
      <c r="AI731" s="305"/>
      <c r="AJ731" s="305"/>
      <c r="AK731" s="305"/>
      <c r="AL731" s="305"/>
      <c r="AM731" s="305"/>
      <c r="AN731" s="305"/>
      <c r="AO731" s="305"/>
      <c r="AP731" s="305"/>
      <c r="AQ731" s="305"/>
      <c r="AR731" s="305"/>
      <c r="AS731" s="305"/>
      <c r="AT731" s="305"/>
      <c r="AU731" s="305"/>
      <c r="AV731" s="305"/>
      <c r="AW731" s="305"/>
      <c r="AX731" s="305"/>
      <c r="AY731" s="305"/>
      <c r="AZ731" s="305"/>
      <c r="BA731" s="305"/>
      <c r="BB731" s="305"/>
      <c r="BC731" s="305"/>
      <c r="BD731" s="305"/>
      <c r="BE731" s="305"/>
      <c r="BF731" s="305"/>
      <c r="BG731" s="305"/>
      <c r="BH731" s="305"/>
      <c r="BI731" s="305"/>
      <c r="BJ731" s="305"/>
      <c r="BK731" s="305"/>
      <c r="BL731" s="305"/>
      <c r="BM731" s="305"/>
      <c r="BN731" s="305"/>
      <c r="BO731" s="305"/>
      <c r="BP731" s="305"/>
    </row>
    <row r="732" spans="1:68" hidden="1">
      <c r="A732" s="104">
        <f t="shared" si="80"/>
        <v>709</v>
      </c>
      <c r="B732" s="101" t="s">
        <v>96</v>
      </c>
      <c r="C732" s="101" t="s">
        <v>104</v>
      </c>
      <c r="D732" s="101" t="s">
        <v>521</v>
      </c>
      <c r="E732" s="28">
        <f t="shared" si="78"/>
        <v>0</v>
      </c>
      <c r="F732" s="62"/>
      <c r="G732" s="62"/>
      <c r="H732" s="62">
        <v>1245617.8799999999</v>
      </c>
      <c r="I732" s="62">
        <v>0</v>
      </c>
      <c r="J732" s="62">
        <v>0</v>
      </c>
      <c r="K732" s="62"/>
      <c r="L732" s="62"/>
      <c r="M732" s="62">
        <v>0</v>
      </c>
      <c r="N732" s="62"/>
      <c r="O732" s="62">
        <v>0</v>
      </c>
      <c r="P732" s="62"/>
      <c r="Q732" s="62">
        <v>0</v>
      </c>
      <c r="R732" s="62"/>
      <c r="S732" s="62"/>
      <c r="T732" s="151"/>
      <c r="V732" s="237">
        <f t="shared" si="79"/>
        <v>1</v>
      </c>
    </row>
    <row r="733" spans="1:68" hidden="1">
      <c r="A733" s="104">
        <f t="shared" si="80"/>
        <v>710</v>
      </c>
      <c r="B733" s="101">
        <f>B730+1</f>
        <v>233</v>
      </c>
      <c r="C733" s="101" t="s">
        <v>104</v>
      </c>
      <c r="D733" s="101" t="s">
        <v>630</v>
      </c>
      <c r="E733" s="28">
        <f t="shared" si="78"/>
        <v>0</v>
      </c>
      <c r="F733" s="62"/>
      <c r="G733" s="62"/>
      <c r="H733" s="62"/>
      <c r="I733" s="62">
        <v>640276.6</v>
      </c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151"/>
      <c r="V733" s="237">
        <f t="shared" si="79"/>
        <v>1</v>
      </c>
    </row>
    <row r="734" spans="1:68" hidden="1">
      <c r="A734" s="104">
        <f t="shared" si="80"/>
        <v>711</v>
      </c>
      <c r="B734" s="101">
        <f>B733+1</f>
        <v>234</v>
      </c>
      <c r="C734" s="101" t="s">
        <v>104</v>
      </c>
      <c r="D734" s="101" t="s">
        <v>632</v>
      </c>
      <c r="E734" s="28">
        <f t="shared" si="78"/>
        <v>0</v>
      </c>
      <c r="F734" s="62">
        <v>0</v>
      </c>
      <c r="G734" s="62">
        <v>0</v>
      </c>
      <c r="H734" s="62">
        <v>2435971.4900000002</v>
      </c>
      <c r="I734" s="62">
        <v>0</v>
      </c>
      <c r="J734" s="62">
        <v>0</v>
      </c>
      <c r="K734" s="62"/>
      <c r="L734" s="62"/>
      <c r="M734" s="62">
        <v>0</v>
      </c>
      <c r="N734" s="62">
        <v>0</v>
      </c>
      <c r="O734" s="62">
        <v>0</v>
      </c>
      <c r="P734" s="62">
        <v>0</v>
      </c>
      <c r="Q734" s="62">
        <v>0</v>
      </c>
      <c r="R734" s="62"/>
      <c r="S734" s="62"/>
      <c r="T734" s="151"/>
      <c r="V734" s="237">
        <f t="shared" si="79"/>
        <v>1</v>
      </c>
    </row>
    <row r="735" spans="1:68" hidden="1">
      <c r="A735" s="104">
        <f t="shared" si="80"/>
        <v>712</v>
      </c>
      <c r="B735" s="101">
        <f>B734+1</f>
        <v>235</v>
      </c>
      <c r="C735" s="101" t="s">
        <v>104</v>
      </c>
      <c r="D735" s="101" t="s">
        <v>633</v>
      </c>
      <c r="E735" s="28">
        <f t="shared" si="78"/>
        <v>0</v>
      </c>
      <c r="F735" s="62"/>
      <c r="G735" s="62"/>
      <c r="H735" s="62"/>
      <c r="I735" s="62">
        <v>1357157.63</v>
      </c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151"/>
      <c r="V735" s="237">
        <f t="shared" si="79"/>
        <v>1</v>
      </c>
    </row>
    <row r="736" spans="1:68" hidden="1">
      <c r="A736" s="104">
        <f t="shared" si="80"/>
        <v>713</v>
      </c>
      <c r="B736" s="101">
        <f>B735+1</f>
        <v>236</v>
      </c>
      <c r="C736" s="101" t="s">
        <v>104</v>
      </c>
      <c r="D736" s="101" t="s">
        <v>634</v>
      </c>
      <c r="E736" s="28">
        <f t="shared" ref="E736:E767" si="81">SUBTOTAL(9, F736:T736)</f>
        <v>0</v>
      </c>
      <c r="F736" s="62"/>
      <c r="G736" s="62"/>
      <c r="H736" s="62"/>
      <c r="I736" s="62">
        <v>530132.51</v>
      </c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151"/>
      <c r="V736" s="237">
        <f t="shared" ref="V736:V767" si="82">COUNTIF(F736:Q736, "&gt;0")</f>
        <v>1</v>
      </c>
    </row>
    <row r="737" spans="1:22" hidden="1">
      <c r="A737" s="104">
        <f t="shared" si="80"/>
        <v>714</v>
      </c>
      <c r="B737" s="101" t="s">
        <v>96</v>
      </c>
      <c r="C737" s="101" t="s">
        <v>355</v>
      </c>
      <c r="D737" s="101" t="s">
        <v>358</v>
      </c>
      <c r="E737" s="306">
        <f t="shared" si="81"/>
        <v>0</v>
      </c>
      <c r="F737" s="62"/>
      <c r="G737" s="62"/>
      <c r="H737" s="62">
        <v>1303632.49</v>
      </c>
      <c r="I737" s="62"/>
      <c r="J737" s="62"/>
      <c r="K737" s="62"/>
      <c r="L737" s="62"/>
      <c r="M737" s="62">
        <v>0</v>
      </c>
      <c r="N737" s="62"/>
      <c r="O737" s="62">
        <v>0</v>
      </c>
      <c r="P737" s="62"/>
      <c r="Q737" s="62"/>
      <c r="R737" s="62"/>
      <c r="S737" s="62"/>
      <c r="T737" s="151"/>
      <c r="V737" s="237">
        <f t="shared" si="82"/>
        <v>1</v>
      </c>
    </row>
    <row r="738" spans="1:22" hidden="1">
      <c r="A738" s="104">
        <f t="shared" si="80"/>
        <v>715</v>
      </c>
      <c r="B738" s="101" t="s">
        <v>96</v>
      </c>
      <c r="C738" s="101" t="s">
        <v>355</v>
      </c>
      <c r="D738" s="101" t="s">
        <v>529</v>
      </c>
      <c r="E738" s="306">
        <f t="shared" si="81"/>
        <v>0</v>
      </c>
      <c r="F738" s="62"/>
      <c r="G738" s="62"/>
      <c r="H738" s="62">
        <v>1313261.1200000001</v>
      </c>
      <c r="I738" s="62"/>
      <c r="J738" s="62">
        <v>0</v>
      </c>
      <c r="K738" s="62"/>
      <c r="L738" s="62"/>
      <c r="M738" s="62">
        <v>0</v>
      </c>
      <c r="N738" s="62"/>
      <c r="O738" s="62">
        <v>0</v>
      </c>
      <c r="P738" s="62"/>
      <c r="Q738" s="62"/>
      <c r="R738" s="62"/>
      <c r="S738" s="62"/>
      <c r="T738" s="151"/>
      <c r="V738" s="237">
        <f t="shared" si="82"/>
        <v>1</v>
      </c>
    </row>
    <row r="739" spans="1:22" hidden="1">
      <c r="A739" s="104">
        <f t="shared" si="80"/>
        <v>716</v>
      </c>
      <c r="B739" s="101" t="s">
        <v>96</v>
      </c>
      <c r="C739" s="101" t="s">
        <v>116</v>
      </c>
      <c r="D739" s="101" t="s">
        <v>548</v>
      </c>
      <c r="E739" s="306">
        <f t="shared" si="81"/>
        <v>0</v>
      </c>
      <c r="F739" s="62"/>
      <c r="G739" s="62">
        <v>3247130.72</v>
      </c>
      <c r="H739" s="62">
        <v>0</v>
      </c>
      <c r="I739" s="62">
        <v>1746893.03</v>
      </c>
      <c r="J739" s="62">
        <v>0</v>
      </c>
      <c r="K739" s="62"/>
      <c r="L739" s="62"/>
      <c r="M739" s="62">
        <v>0</v>
      </c>
      <c r="N739" s="62"/>
      <c r="O739" s="62"/>
      <c r="P739" s="62"/>
      <c r="Q739" s="62"/>
      <c r="R739" s="62"/>
      <c r="S739" s="62"/>
      <c r="T739" s="151"/>
      <c r="V739" s="237">
        <f t="shared" si="82"/>
        <v>2</v>
      </c>
    </row>
    <row r="740" spans="1:22" hidden="1">
      <c r="A740" s="104">
        <f t="shared" si="80"/>
        <v>717</v>
      </c>
      <c r="B740" s="101">
        <f>B736+1</f>
        <v>237</v>
      </c>
      <c r="C740" s="101" t="s">
        <v>116</v>
      </c>
      <c r="D740" s="101" t="s">
        <v>640</v>
      </c>
      <c r="E740" s="306">
        <f t="shared" si="81"/>
        <v>0</v>
      </c>
      <c r="F740" s="62"/>
      <c r="G740" s="62"/>
      <c r="H740" s="62">
        <v>1259175.3500000001</v>
      </c>
      <c r="I740" s="62"/>
      <c r="J740" s="62">
        <v>0</v>
      </c>
      <c r="K740" s="62"/>
      <c r="L740" s="62"/>
      <c r="M740" s="62">
        <v>0</v>
      </c>
      <c r="N740" s="62">
        <v>0</v>
      </c>
      <c r="O740" s="62">
        <v>0</v>
      </c>
      <c r="P740" s="62">
        <v>0</v>
      </c>
      <c r="Q740" s="62">
        <v>0</v>
      </c>
      <c r="R740" s="62"/>
      <c r="S740" s="62"/>
      <c r="T740" s="151"/>
      <c r="V740" s="237">
        <f t="shared" si="82"/>
        <v>1</v>
      </c>
    </row>
    <row r="741" spans="1:22" hidden="1">
      <c r="A741" s="104">
        <f t="shared" si="80"/>
        <v>718</v>
      </c>
      <c r="B741" s="101">
        <f>+B740+1</f>
        <v>238</v>
      </c>
      <c r="C741" s="101" t="s">
        <v>116</v>
      </c>
      <c r="D741" s="101" t="s">
        <v>642</v>
      </c>
      <c r="E741" s="28">
        <f t="shared" si="81"/>
        <v>0</v>
      </c>
      <c r="F741" s="62"/>
      <c r="G741" s="62"/>
      <c r="H741" s="62">
        <v>1521569.9</v>
      </c>
      <c r="I741" s="62"/>
      <c r="J741" s="62">
        <v>0</v>
      </c>
      <c r="K741" s="62"/>
      <c r="L741" s="62"/>
      <c r="M741" s="62"/>
      <c r="N741" s="62"/>
      <c r="O741" s="62">
        <v>0</v>
      </c>
      <c r="P741" s="62">
        <v>0</v>
      </c>
      <c r="Q741" s="62">
        <v>0</v>
      </c>
      <c r="R741" s="62"/>
      <c r="S741" s="62"/>
      <c r="T741" s="151"/>
      <c r="V741" s="237">
        <f t="shared" si="82"/>
        <v>1</v>
      </c>
    </row>
    <row r="742" spans="1:22" hidden="1">
      <c r="A742" s="104">
        <f t="shared" si="80"/>
        <v>719</v>
      </c>
      <c r="B742" s="101">
        <f>B741+1</f>
        <v>239</v>
      </c>
      <c r="C742" s="101" t="s">
        <v>116</v>
      </c>
      <c r="D742" s="101" t="s">
        <v>644</v>
      </c>
      <c r="E742" s="28">
        <f t="shared" si="81"/>
        <v>0</v>
      </c>
      <c r="F742" s="62">
        <v>0</v>
      </c>
      <c r="G742" s="62">
        <v>0</v>
      </c>
      <c r="H742" s="62">
        <v>1525697.72</v>
      </c>
      <c r="I742" s="62">
        <v>0</v>
      </c>
      <c r="J742" s="62">
        <v>0</v>
      </c>
      <c r="K742" s="62"/>
      <c r="L742" s="62"/>
      <c r="M742" s="62">
        <v>0</v>
      </c>
      <c r="N742" s="62">
        <v>0</v>
      </c>
      <c r="O742" s="62">
        <v>0</v>
      </c>
      <c r="P742" s="62">
        <v>0</v>
      </c>
      <c r="Q742" s="62">
        <v>0</v>
      </c>
      <c r="R742" s="62"/>
      <c r="S742" s="62"/>
      <c r="T742" s="151"/>
      <c r="V742" s="237">
        <f t="shared" si="82"/>
        <v>1</v>
      </c>
    </row>
    <row r="743" spans="1:22" hidden="1">
      <c r="A743" s="104">
        <f t="shared" si="80"/>
        <v>720</v>
      </c>
      <c r="B743" s="101" t="s">
        <v>96</v>
      </c>
      <c r="C743" s="101" t="s">
        <v>116</v>
      </c>
      <c r="D743" s="101" t="s">
        <v>125</v>
      </c>
      <c r="E743" s="28">
        <f t="shared" si="81"/>
        <v>0</v>
      </c>
      <c r="F743" s="62"/>
      <c r="G743" s="62"/>
      <c r="H743" s="62">
        <v>589782.92330999998</v>
      </c>
      <c r="I743" s="62">
        <v>1773515.76</v>
      </c>
      <c r="J743" s="62">
        <v>0</v>
      </c>
      <c r="K743" s="62"/>
      <c r="L743" s="62"/>
      <c r="M743" s="62">
        <v>0</v>
      </c>
      <c r="N743" s="62"/>
      <c r="O743" s="62">
        <v>0</v>
      </c>
      <c r="P743" s="62">
        <v>0</v>
      </c>
      <c r="Q743" s="62"/>
      <c r="R743" s="62"/>
      <c r="S743" s="62"/>
      <c r="T743" s="151"/>
      <c r="V743" s="237">
        <f t="shared" si="82"/>
        <v>2</v>
      </c>
    </row>
    <row r="744" spans="1:22" hidden="1">
      <c r="A744" s="104">
        <f t="shared" si="80"/>
        <v>721</v>
      </c>
      <c r="B744" s="101">
        <f>B742+1</f>
        <v>240</v>
      </c>
      <c r="C744" s="101" t="s">
        <v>750</v>
      </c>
      <c r="D744" s="101" t="s">
        <v>389</v>
      </c>
      <c r="E744" s="28">
        <f t="shared" si="81"/>
        <v>0</v>
      </c>
      <c r="F744" s="62">
        <v>11804046.439999999</v>
      </c>
      <c r="G744" s="62">
        <v>4788354.08</v>
      </c>
      <c r="H744" s="62">
        <v>0</v>
      </c>
      <c r="I744" s="62">
        <v>0</v>
      </c>
      <c r="J744" s="62">
        <v>0</v>
      </c>
      <c r="K744" s="62"/>
      <c r="L744" s="62"/>
      <c r="M744" s="62">
        <v>0</v>
      </c>
      <c r="N744" s="62"/>
      <c r="O744" s="62">
        <v>0</v>
      </c>
      <c r="P744" s="62">
        <v>0</v>
      </c>
      <c r="Q744" s="62">
        <v>0</v>
      </c>
      <c r="R744" s="62"/>
      <c r="S744" s="62"/>
      <c r="T744" s="151"/>
      <c r="V744" s="237">
        <f t="shared" si="82"/>
        <v>2</v>
      </c>
    </row>
    <row r="745" spans="1:22" hidden="1">
      <c r="A745" s="104">
        <f t="shared" si="80"/>
        <v>722</v>
      </c>
      <c r="B745" s="101" t="s">
        <v>96</v>
      </c>
      <c r="C745" s="101" t="s">
        <v>750</v>
      </c>
      <c r="D745" s="101" t="s">
        <v>390</v>
      </c>
      <c r="E745" s="28">
        <f t="shared" si="81"/>
        <v>0</v>
      </c>
      <c r="F745" s="62"/>
      <c r="G745" s="62"/>
      <c r="H745" s="62">
        <v>3470786.32</v>
      </c>
      <c r="I745" s="62">
        <v>0</v>
      </c>
      <c r="J745" s="62">
        <v>0</v>
      </c>
      <c r="K745" s="62"/>
      <c r="L745" s="62"/>
      <c r="M745" s="62">
        <v>0</v>
      </c>
      <c r="N745" s="62"/>
      <c r="O745" s="62">
        <v>0</v>
      </c>
      <c r="P745" s="62">
        <v>0</v>
      </c>
      <c r="Q745" s="62">
        <v>0</v>
      </c>
      <c r="R745" s="62"/>
      <c r="S745" s="62"/>
      <c r="T745" s="151"/>
      <c r="V745" s="237">
        <f t="shared" si="82"/>
        <v>1</v>
      </c>
    </row>
    <row r="746" spans="1:22" hidden="1">
      <c r="A746" s="104">
        <f t="shared" ref="A746:A790" si="83">A745+1</f>
        <v>723</v>
      </c>
      <c r="B746" s="101" t="s">
        <v>96</v>
      </c>
      <c r="C746" s="101" t="s">
        <v>106</v>
      </c>
      <c r="D746" s="101" t="s">
        <v>109</v>
      </c>
      <c r="E746" s="28">
        <f t="shared" si="81"/>
        <v>0</v>
      </c>
      <c r="F746" s="62"/>
      <c r="G746" s="62">
        <v>5827642.5300000003</v>
      </c>
      <c r="H746" s="62"/>
      <c r="I746" s="62"/>
      <c r="J746" s="62">
        <v>0</v>
      </c>
      <c r="K746" s="62"/>
      <c r="L746" s="62"/>
      <c r="M746" s="62">
        <v>0</v>
      </c>
      <c r="N746" s="62">
        <v>0</v>
      </c>
      <c r="O746" s="62">
        <v>0</v>
      </c>
      <c r="P746" s="62">
        <v>0</v>
      </c>
      <c r="Q746" s="62"/>
      <c r="R746" s="62">
        <v>109454.06</v>
      </c>
      <c r="S746" s="62">
        <v>24000</v>
      </c>
      <c r="T746" s="151"/>
      <c r="V746" s="237">
        <f t="shared" si="82"/>
        <v>1</v>
      </c>
    </row>
    <row r="747" spans="1:22" hidden="1">
      <c r="A747" s="104">
        <f t="shared" si="83"/>
        <v>724</v>
      </c>
      <c r="B747" s="101">
        <f>B744+1</f>
        <v>241</v>
      </c>
      <c r="C747" s="101" t="s">
        <v>114</v>
      </c>
      <c r="D747" s="101" t="s">
        <v>650</v>
      </c>
      <c r="E747" s="28">
        <f t="shared" si="81"/>
        <v>0</v>
      </c>
      <c r="F747" s="62">
        <v>0</v>
      </c>
      <c r="G747" s="62">
        <v>0</v>
      </c>
      <c r="H747" s="62">
        <v>0</v>
      </c>
      <c r="I747" s="62">
        <v>0</v>
      </c>
      <c r="J747" s="62">
        <v>0</v>
      </c>
      <c r="K747" s="62"/>
      <c r="L747" s="62"/>
      <c r="M747" s="62">
        <v>0</v>
      </c>
      <c r="N747" s="62">
        <v>0</v>
      </c>
      <c r="O747" s="62">
        <v>0</v>
      </c>
      <c r="P747" s="34">
        <v>23188520.370000001</v>
      </c>
      <c r="Q747" s="62">
        <v>0</v>
      </c>
      <c r="R747" s="62">
        <v>224935.93</v>
      </c>
      <c r="S747" s="62">
        <v>24000</v>
      </c>
      <c r="T747" s="151"/>
      <c r="U747" s="18"/>
      <c r="V747" s="237">
        <f t="shared" si="82"/>
        <v>1</v>
      </c>
    </row>
    <row r="748" spans="1:22" hidden="1">
      <c r="A748" s="104">
        <f t="shared" si="83"/>
        <v>725</v>
      </c>
      <c r="B748" s="101">
        <f>B747+1</f>
        <v>242</v>
      </c>
      <c r="C748" s="101" t="s">
        <v>185</v>
      </c>
      <c r="D748" s="101" t="s">
        <v>516</v>
      </c>
      <c r="E748" s="28">
        <f t="shared" si="81"/>
        <v>0</v>
      </c>
      <c r="F748" s="62"/>
      <c r="G748" s="62"/>
      <c r="H748" s="62"/>
      <c r="I748" s="62"/>
      <c r="J748" s="62">
        <v>1683109.2</v>
      </c>
      <c r="K748" s="62"/>
      <c r="L748" s="62"/>
      <c r="M748" s="62">
        <v>0</v>
      </c>
      <c r="N748" s="62">
        <v>0</v>
      </c>
      <c r="O748" s="62">
        <v>0</v>
      </c>
      <c r="P748" s="62">
        <v>0</v>
      </c>
      <c r="Q748" s="62">
        <v>0</v>
      </c>
      <c r="R748" s="62">
        <v>56489.71</v>
      </c>
      <c r="S748" s="62">
        <v>24000</v>
      </c>
      <c r="T748" s="151"/>
      <c r="U748" s="18"/>
      <c r="V748" s="237">
        <f t="shared" si="82"/>
        <v>1</v>
      </c>
    </row>
    <row r="749" spans="1:22" hidden="1">
      <c r="A749" s="104">
        <f t="shared" si="83"/>
        <v>726</v>
      </c>
      <c r="B749" s="101" t="s">
        <v>96</v>
      </c>
      <c r="C749" s="101" t="s">
        <v>185</v>
      </c>
      <c r="D749" s="101" t="s">
        <v>372</v>
      </c>
      <c r="E749" s="28">
        <f t="shared" si="81"/>
        <v>0</v>
      </c>
      <c r="F749" s="62"/>
      <c r="G749" s="62"/>
      <c r="H749" s="62"/>
      <c r="I749" s="62"/>
      <c r="J749" s="62">
        <v>1315142.3999999999</v>
      </c>
      <c r="K749" s="62"/>
      <c r="L749" s="62"/>
      <c r="M749" s="62"/>
      <c r="N749" s="62"/>
      <c r="O749" s="62"/>
      <c r="P749" s="62"/>
      <c r="Q749" s="62"/>
      <c r="R749" s="62">
        <v>11344.96</v>
      </c>
      <c r="S749" s="62">
        <v>24000</v>
      </c>
      <c r="T749" s="151"/>
      <c r="U749" s="18"/>
      <c r="V749" s="237">
        <f t="shared" si="82"/>
        <v>1</v>
      </c>
    </row>
    <row r="750" spans="1:22" hidden="1">
      <c r="A750" s="104">
        <f t="shared" si="83"/>
        <v>727</v>
      </c>
      <c r="B750" s="101">
        <f>B748+1</f>
        <v>243</v>
      </c>
      <c r="C750" s="101" t="s">
        <v>185</v>
      </c>
      <c r="D750" s="101" t="s">
        <v>572</v>
      </c>
      <c r="E750" s="28">
        <f t="shared" si="81"/>
        <v>0</v>
      </c>
      <c r="F750" s="62"/>
      <c r="G750" s="62"/>
      <c r="H750" s="62"/>
      <c r="I750" s="62"/>
      <c r="J750" s="62">
        <v>986268</v>
      </c>
      <c r="K750" s="62"/>
      <c r="L750" s="62"/>
      <c r="M750" s="62">
        <v>0</v>
      </c>
      <c r="N750" s="62">
        <v>0</v>
      </c>
      <c r="O750" s="62">
        <v>0</v>
      </c>
      <c r="P750" s="62"/>
      <c r="Q750" s="62"/>
      <c r="R750" s="62"/>
      <c r="S750" s="62"/>
      <c r="T750" s="151"/>
      <c r="V750" s="237">
        <f t="shared" si="82"/>
        <v>1</v>
      </c>
    </row>
    <row r="751" spans="1:22" hidden="1">
      <c r="A751" s="104">
        <f t="shared" si="83"/>
        <v>728</v>
      </c>
      <c r="B751" s="101" t="s">
        <v>96</v>
      </c>
      <c r="C751" s="101" t="s">
        <v>185</v>
      </c>
      <c r="D751" s="101" t="s">
        <v>459</v>
      </c>
      <c r="E751" s="28">
        <f t="shared" si="81"/>
        <v>0</v>
      </c>
      <c r="F751" s="62"/>
      <c r="G751" s="62"/>
      <c r="H751" s="62"/>
      <c r="I751" s="62"/>
      <c r="J751" s="62">
        <v>2311917.12</v>
      </c>
      <c r="K751" s="62"/>
      <c r="L751" s="62"/>
      <c r="M751" s="62"/>
      <c r="N751" s="62"/>
      <c r="O751" s="62"/>
      <c r="P751" s="62"/>
      <c r="Q751" s="62"/>
      <c r="R751" s="62"/>
      <c r="S751" s="62"/>
      <c r="T751" s="151"/>
      <c r="V751" s="237">
        <f t="shared" si="82"/>
        <v>1</v>
      </c>
    </row>
    <row r="752" spans="1:22" hidden="1">
      <c r="A752" s="104">
        <f t="shared" si="83"/>
        <v>729</v>
      </c>
      <c r="B752" s="101">
        <f>+B750+1</f>
        <v>244</v>
      </c>
      <c r="C752" s="101" t="s">
        <v>185</v>
      </c>
      <c r="D752" s="101" t="s">
        <v>652</v>
      </c>
      <c r="E752" s="28">
        <f t="shared" si="81"/>
        <v>0</v>
      </c>
      <c r="F752" s="62"/>
      <c r="G752" s="62"/>
      <c r="H752" s="62"/>
      <c r="I752" s="62"/>
      <c r="J752" s="62">
        <v>1551166.55</v>
      </c>
      <c r="K752" s="62"/>
      <c r="L752" s="62"/>
      <c r="M752" s="62"/>
      <c r="N752" s="62"/>
      <c r="O752" s="62"/>
      <c r="P752" s="62"/>
      <c r="Q752" s="62"/>
      <c r="R752" s="62"/>
      <c r="S752" s="62"/>
      <c r="T752" s="151"/>
      <c r="U752" s="34"/>
      <c r="V752" s="237">
        <f t="shared" si="82"/>
        <v>1</v>
      </c>
    </row>
    <row r="753" spans="1:22" hidden="1">
      <c r="A753" s="104">
        <f t="shared" si="83"/>
        <v>730</v>
      </c>
      <c r="B753" s="101" t="s">
        <v>96</v>
      </c>
      <c r="C753" s="101" t="s">
        <v>185</v>
      </c>
      <c r="D753" s="101" t="s">
        <v>460</v>
      </c>
      <c r="E753" s="28">
        <f t="shared" si="81"/>
        <v>0</v>
      </c>
      <c r="F753" s="62"/>
      <c r="G753" s="62"/>
      <c r="H753" s="62"/>
      <c r="I753" s="62">
        <v>650392.02</v>
      </c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151"/>
      <c r="V753" s="237">
        <f t="shared" si="82"/>
        <v>1</v>
      </c>
    </row>
    <row r="754" spans="1:22" hidden="1">
      <c r="A754" s="104">
        <f t="shared" si="83"/>
        <v>731</v>
      </c>
      <c r="B754" s="101">
        <f>B752+1</f>
        <v>245</v>
      </c>
      <c r="C754" s="101" t="s">
        <v>185</v>
      </c>
      <c r="D754" s="101" t="s">
        <v>584</v>
      </c>
      <c r="E754" s="28">
        <f t="shared" si="81"/>
        <v>0</v>
      </c>
      <c r="F754" s="62"/>
      <c r="G754" s="62"/>
      <c r="H754" s="62"/>
      <c r="I754" s="62"/>
      <c r="J754" s="62">
        <v>2420008.7999999998</v>
      </c>
      <c r="K754" s="62"/>
      <c r="L754" s="62"/>
      <c r="M754" s="62"/>
      <c r="N754" s="62"/>
      <c r="O754" s="62"/>
      <c r="P754" s="62"/>
      <c r="Q754" s="62"/>
      <c r="R754" s="62"/>
      <c r="S754" s="62"/>
      <c r="T754" s="151"/>
      <c r="U754" s="315"/>
      <c r="V754" s="237">
        <f t="shared" si="82"/>
        <v>1</v>
      </c>
    </row>
    <row r="755" spans="1:22">
      <c r="A755" s="104">
        <f t="shared" si="83"/>
        <v>732</v>
      </c>
      <c r="B755" s="101">
        <f t="shared" ref="B755:B780" si="84">B754+1</f>
        <v>246</v>
      </c>
      <c r="C755" s="101" t="s">
        <v>496</v>
      </c>
      <c r="D755" s="101" t="s">
        <v>655</v>
      </c>
      <c r="E755" s="306">
        <f t="shared" si="81"/>
        <v>2493649.58</v>
      </c>
      <c r="F755" s="62">
        <v>1948256.76</v>
      </c>
      <c r="G755" s="62"/>
      <c r="H755" s="62">
        <v>545392.81999999995</v>
      </c>
      <c r="I755" s="62"/>
      <c r="J755" s="62">
        <v>0</v>
      </c>
      <c r="K755" s="62"/>
      <c r="L755" s="62"/>
      <c r="M755" s="62">
        <v>0</v>
      </c>
      <c r="N755" s="62">
        <v>0</v>
      </c>
      <c r="O755" s="62">
        <v>0</v>
      </c>
      <c r="P755" s="62">
        <v>0</v>
      </c>
      <c r="Q755" s="62">
        <v>0</v>
      </c>
      <c r="R755" s="62"/>
      <c r="S755" s="62"/>
      <c r="T755" s="151"/>
      <c r="V755" s="237">
        <f t="shared" si="82"/>
        <v>2</v>
      </c>
    </row>
    <row r="756" spans="1:22" hidden="1">
      <c r="A756" s="104">
        <f t="shared" si="83"/>
        <v>733</v>
      </c>
      <c r="B756" s="101">
        <f t="shared" si="84"/>
        <v>247</v>
      </c>
      <c r="C756" s="101" t="s">
        <v>355</v>
      </c>
      <c r="D756" s="101" t="s">
        <v>656</v>
      </c>
      <c r="E756" s="306">
        <f t="shared" si="81"/>
        <v>0</v>
      </c>
      <c r="F756" s="62"/>
      <c r="G756" s="62"/>
      <c r="H756" s="62"/>
      <c r="I756" s="62"/>
      <c r="J756" s="62"/>
      <c r="K756" s="62"/>
      <c r="L756" s="62"/>
      <c r="M756" s="62">
        <v>8024927.0999999996</v>
      </c>
      <c r="N756" s="62"/>
      <c r="O756" s="62"/>
      <c r="P756" s="62"/>
      <c r="Q756" s="62"/>
      <c r="R756" s="62">
        <v>587347.78423019999</v>
      </c>
      <c r="S756" s="62">
        <v>24000</v>
      </c>
      <c r="T756" s="151"/>
      <c r="U756" s="18"/>
      <c r="V756" s="237">
        <f t="shared" si="82"/>
        <v>1</v>
      </c>
    </row>
    <row r="757" spans="1:22" hidden="1">
      <c r="A757" s="104">
        <f t="shared" si="83"/>
        <v>734</v>
      </c>
      <c r="B757" s="101">
        <f t="shared" si="84"/>
        <v>248</v>
      </c>
      <c r="C757" s="101" t="s">
        <v>355</v>
      </c>
      <c r="D757" s="101" t="s">
        <v>659</v>
      </c>
      <c r="E757" s="306">
        <f t="shared" si="81"/>
        <v>0</v>
      </c>
      <c r="F757" s="62"/>
      <c r="G757" s="62"/>
      <c r="H757" s="62"/>
      <c r="I757" s="62"/>
      <c r="J757" s="62"/>
      <c r="K757" s="62"/>
      <c r="L757" s="62"/>
      <c r="M757" s="62"/>
      <c r="N757" s="62">
        <v>19326534.879999999</v>
      </c>
      <c r="O757" s="62">
        <v>0</v>
      </c>
      <c r="P757" s="62">
        <v>0</v>
      </c>
      <c r="Q757" s="62">
        <v>0</v>
      </c>
      <c r="R757" s="62"/>
      <c r="S757" s="62"/>
      <c r="T757" s="151"/>
      <c r="U757" s="18"/>
      <c r="V757" s="237">
        <f t="shared" si="82"/>
        <v>1</v>
      </c>
    </row>
    <row r="758" spans="1:22" hidden="1">
      <c r="A758" s="104">
        <f t="shared" si="83"/>
        <v>735</v>
      </c>
      <c r="B758" s="101">
        <f t="shared" si="84"/>
        <v>249</v>
      </c>
      <c r="C758" s="101" t="s">
        <v>116</v>
      </c>
      <c r="D758" s="101" t="s">
        <v>660</v>
      </c>
      <c r="E758" s="306">
        <f t="shared" si="81"/>
        <v>0</v>
      </c>
      <c r="F758" s="62">
        <v>10346375.1</v>
      </c>
      <c r="G758" s="62">
        <v>0</v>
      </c>
      <c r="H758" s="62">
        <v>0</v>
      </c>
      <c r="I758" s="62">
        <v>0</v>
      </c>
      <c r="J758" s="62">
        <v>0</v>
      </c>
      <c r="K758" s="62"/>
      <c r="L758" s="62"/>
      <c r="M758" s="62">
        <v>0</v>
      </c>
      <c r="N758" s="62">
        <v>0</v>
      </c>
      <c r="O758" s="62">
        <v>0</v>
      </c>
      <c r="P758" s="62">
        <v>0</v>
      </c>
      <c r="Q758" s="62">
        <v>11672543.449999999</v>
      </c>
      <c r="R758" s="62"/>
      <c r="S758" s="62"/>
      <c r="T758" s="151"/>
      <c r="V758" s="237">
        <f t="shared" si="82"/>
        <v>2</v>
      </c>
    </row>
    <row r="759" spans="1:22" hidden="1">
      <c r="A759" s="104">
        <f t="shared" si="83"/>
        <v>736</v>
      </c>
      <c r="B759" s="101">
        <f t="shared" si="84"/>
        <v>250</v>
      </c>
      <c r="C759" s="101" t="s">
        <v>116</v>
      </c>
      <c r="D759" s="101" t="s">
        <v>661</v>
      </c>
      <c r="E759" s="306">
        <f t="shared" si="81"/>
        <v>0</v>
      </c>
      <c r="F759" s="62">
        <v>6785155.6399999997</v>
      </c>
      <c r="G759" s="62">
        <v>5341814.82</v>
      </c>
      <c r="H759" s="62">
        <v>1480113.38</v>
      </c>
      <c r="I759" s="62"/>
      <c r="J759" s="62">
        <v>0</v>
      </c>
      <c r="K759" s="62"/>
      <c r="L759" s="62"/>
      <c r="M759" s="62">
        <v>0</v>
      </c>
      <c r="N759" s="62">
        <v>12645571.93</v>
      </c>
      <c r="O759" s="62">
        <v>0</v>
      </c>
      <c r="P759" s="62">
        <v>0</v>
      </c>
      <c r="Q759" s="62">
        <v>0</v>
      </c>
      <c r="R759" s="62"/>
      <c r="S759" s="62"/>
      <c r="T759" s="151"/>
      <c r="V759" s="237">
        <f t="shared" si="82"/>
        <v>4</v>
      </c>
    </row>
    <row r="760" spans="1:22" hidden="1">
      <c r="A760" s="104">
        <f t="shared" si="83"/>
        <v>737</v>
      </c>
      <c r="B760" s="101">
        <f t="shared" si="84"/>
        <v>251</v>
      </c>
      <c r="C760" s="101" t="s">
        <v>116</v>
      </c>
      <c r="D760" s="101" t="s">
        <v>663</v>
      </c>
      <c r="E760" s="306">
        <f t="shared" si="81"/>
        <v>0</v>
      </c>
      <c r="F760" s="62">
        <v>4332206.6500000004</v>
      </c>
      <c r="G760" s="62"/>
      <c r="H760" s="62">
        <v>1146753.78</v>
      </c>
      <c r="I760" s="62"/>
      <c r="J760" s="62">
        <v>0</v>
      </c>
      <c r="K760" s="62"/>
      <c r="L760" s="62"/>
      <c r="M760" s="62">
        <v>0</v>
      </c>
      <c r="N760" s="62">
        <v>4358865.08</v>
      </c>
      <c r="O760" s="62">
        <v>0</v>
      </c>
      <c r="P760" s="62">
        <v>0</v>
      </c>
      <c r="Q760" s="62">
        <v>0</v>
      </c>
      <c r="R760" s="62"/>
      <c r="S760" s="62"/>
      <c r="T760" s="151"/>
      <c r="V760" s="237">
        <f t="shared" si="82"/>
        <v>3</v>
      </c>
    </row>
    <row r="761" spans="1:22" hidden="1">
      <c r="A761" s="104">
        <f t="shared" si="83"/>
        <v>738</v>
      </c>
      <c r="B761" s="101">
        <f t="shared" si="84"/>
        <v>252</v>
      </c>
      <c r="C761" s="101" t="s">
        <v>116</v>
      </c>
      <c r="D761" s="101" t="s">
        <v>665</v>
      </c>
      <c r="E761" s="306">
        <f t="shared" si="81"/>
        <v>0</v>
      </c>
      <c r="F761" s="62">
        <v>5307164.59</v>
      </c>
      <c r="G761" s="62">
        <v>4670595</v>
      </c>
      <c r="H761" s="62">
        <v>1449191.12</v>
      </c>
      <c r="I761" s="62"/>
      <c r="J761" s="62">
        <v>0</v>
      </c>
      <c r="K761" s="62"/>
      <c r="L761" s="62"/>
      <c r="M761" s="62">
        <v>0</v>
      </c>
      <c r="N761" s="62">
        <v>0</v>
      </c>
      <c r="O761" s="62">
        <v>0</v>
      </c>
      <c r="P761" s="62">
        <v>0</v>
      </c>
      <c r="Q761" s="62">
        <v>0</v>
      </c>
      <c r="R761" s="62"/>
      <c r="S761" s="62"/>
      <c r="T761" s="151"/>
      <c r="V761" s="237">
        <f t="shared" si="82"/>
        <v>3</v>
      </c>
    </row>
    <row r="762" spans="1:22" hidden="1">
      <c r="A762" s="104">
        <f t="shared" si="83"/>
        <v>739</v>
      </c>
      <c r="B762" s="101">
        <f t="shared" si="84"/>
        <v>253</v>
      </c>
      <c r="C762" s="101" t="s">
        <v>116</v>
      </c>
      <c r="D762" s="101" t="s">
        <v>666</v>
      </c>
      <c r="E762" s="306">
        <f t="shared" si="81"/>
        <v>0</v>
      </c>
      <c r="F762" s="62">
        <v>4337466.13</v>
      </c>
      <c r="G762" s="62"/>
      <c r="H762" s="62">
        <v>1321148.53</v>
      </c>
      <c r="I762" s="62"/>
      <c r="J762" s="62">
        <v>0</v>
      </c>
      <c r="K762" s="62"/>
      <c r="L762" s="62"/>
      <c r="M762" s="62">
        <v>0</v>
      </c>
      <c r="N762" s="62">
        <v>3618152.06</v>
      </c>
      <c r="O762" s="62">
        <v>0</v>
      </c>
      <c r="P762" s="62">
        <v>0</v>
      </c>
      <c r="Q762" s="62">
        <v>0</v>
      </c>
      <c r="R762" s="62"/>
      <c r="S762" s="62"/>
      <c r="T762" s="151"/>
      <c r="V762" s="237">
        <f t="shared" si="82"/>
        <v>3</v>
      </c>
    </row>
    <row r="763" spans="1:22" hidden="1">
      <c r="A763" s="104">
        <f t="shared" si="83"/>
        <v>740</v>
      </c>
      <c r="B763" s="101">
        <f t="shared" si="84"/>
        <v>254</v>
      </c>
      <c r="C763" s="101" t="s">
        <v>116</v>
      </c>
      <c r="D763" s="101" t="s">
        <v>668</v>
      </c>
      <c r="E763" s="306">
        <f t="shared" si="81"/>
        <v>0</v>
      </c>
      <c r="F763" s="62">
        <v>4481532.6399999997</v>
      </c>
      <c r="G763" s="62"/>
      <c r="H763" s="62">
        <v>1387702.38</v>
      </c>
      <c r="I763" s="62"/>
      <c r="J763" s="62">
        <v>0</v>
      </c>
      <c r="K763" s="62"/>
      <c r="L763" s="62"/>
      <c r="M763" s="62">
        <v>0</v>
      </c>
      <c r="N763" s="62">
        <v>7957886.04</v>
      </c>
      <c r="O763" s="62">
        <v>0</v>
      </c>
      <c r="P763" s="62">
        <v>0</v>
      </c>
      <c r="Q763" s="62">
        <v>0</v>
      </c>
      <c r="R763" s="62"/>
      <c r="S763" s="62"/>
      <c r="T763" s="151"/>
      <c r="V763" s="237">
        <f t="shared" si="82"/>
        <v>3</v>
      </c>
    </row>
    <row r="764" spans="1:22" hidden="1">
      <c r="A764" s="104">
        <f t="shared" si="83"/>
        <v>741</v>
      </c>
      <c r="B764" s="101">
        <f t="shared" si="84"/>
        <v>255</v>
      </c>
      <c r="C764" s="101" t="s">
        <v>116</v>
      </c>
      <c r="D764" s="101" t="s">
        <v>669</v>
      </c>
      <c r="E764" s="306">
        <f t="shared" si="81"/>
        <v>0</v>
      </c>
      <c r="F764" s="62">
        <v>4350258.68</v>
      </c>
      <c r="G764" s="62"/>
      <c r="H764" s="62">
        <v>1330897.49</v>
      </c>
      <c r="I764" s="62"/>
      <c r="J764" s="62">
        <v>0</v>
      </c>
      <c r="K764" s="62"/>
      <c r="L764" s="62"/>
      <c r="M764" s="62">
        <v>0</v>
      </c>
      <c r="N764" s="62">
        <v>7956272.8899999997</v>
      </c>
      <c r="O764" s="62">
        <v>0</v>
      </c>
      <c r="P764" s="62">
        <v>0</v>
      </c>
      <c r="Q764" s="62">
        <v>0</v>
      </c>
      <c r="R764" s="62"/>
      <c r="S764" s="62"/>
      <c r="T764" s="151"/>
      <c r="V764" s="237">
        <f t="shared" si="82"/>
        <v>3</v>
      </c>
    </row>
    <row r="765" spans="1:22" hidden="1">
      <c r="A765" s="104">
        <f t="shared" si="83"/>
        <v>742</v>
      </c>
      <c r="B765" s="101">
        <f t="shared" si="84"/>
        <v>256</v>
      </c>
      <c r="C765" s="101" t="s">
        <v>116</v>
      </c>
      <c r="D765" s="101" t="s">
        <v>670</v>
      </c>
      <c r="E765" s="28">
        <f t="shared" si="81"/>
        <v>0</v>
      </c>
      <c r="F765" s="62">
        <v>3698964.38</v>
      </c>
      <c r="G765" s="62"/>
      <c r="H765" s="62">
        <v>994832.33</v>
      </c>
      <c r="I765" s="62"/>
      <c r="J765" s="62">
        <v>0</v>
      </c>
      <c r="K765" s="62"/>
      <c r="L765" s="62"/>
      <c r="M765" s="62">
        <v>0</v>
      </c>
      <c r="N765" s="62">
        <v>5799074.1600000001</v>
      </c>
      <c r="O765" s="62">
        <v>0</v>
      </c>
      <c r="P765" s="62">
        <v>0</v>
      </c>
      <c r="Q765" s="62">
        <v>0</v>
      </c>
      <c r="R765" s="62"/>
      <c r="S765" s="62"/>
      <c r="T765" s="151"/>
      <c r="V765" s="237">
        <f t="shared" si="82"/>
        <v>3</v>
      </c>
    </row>
    <row r="766" spans="1:22" hidden="1">
      <c r="A766" s="104">
        <f t="shared" si="83"/>
        <v>743</v>
      </c>
      <c r="B766" s="101">
        <f t="shared" si="84"/>
        <v>257</v>
      </c>
      <c r="C766" s="101" t="s">
        <v>116</v>
      </c>
      <c r="D766" s="101" t="s">
        <v>672</v>
      </c>
      <c r="E766" s="306">
        <f t="shared" si="81"/>
        <v>0</v>
      </c>
      <c r="F766" s="62">
        <v>4350161.84</v>
      </c>
      <c r="G766" s="62"/>
      <c r="H766" s="62">
        <v>1513519.58</v>
      </c>
      <c r="I766" s="62"/>
      <c r="J766" s="62">
        <v>0</v>
      </c>
      <c r="K766" s="62"/>
      <c r="L766" s="62"/>
      <c r="M766" s="62">
        <v>0</v>
      </c>
      <c r="N766" s="62">
        <v>5309906.34</v>
      </c>
      <c r="O766" s="62">
        <v>0</v>
      </c>
      <c r="P766" s="62">
        <v>0</v>
      </c>
      <c r="Q766" s="62">
        <v>0</v>
      </c>
      <c r="R766" s="62"/>
      <c r="S766" s="62"/>
      <c r="T766" s="151"/>
      <c r="V766" s="237">
        <f t="shared" si="82"/>
        <v>3</v>
      </c>
    </row>
    <row r="767" spans="1:22" hidden="1">
      <c r="A767" s="104">
        <f t="shared" si="83"/>
        <v>744</v>
      </c>
      <c r="B767" s="101">
        <f t="shared" si="84"/>
        <v>258</v>
      </c>
      <c r="C767" s="101" t="s">
        <v>116</v>
      </c>
      <c r="D767" s="101" t="s">
        <v>673</v>
      </c>
      <c r="E767" s="28">
        <f t="shared" si="81"/>
        <v>0</v>
      </c>
      <c r="F767" s="62">
        <v>6390068.5899999999</v>
      </c>
      <c r="G767" s="62">
        <v>0</v>
      </c>
      <c r="H767" s="62">
        <v>0</v>
      </c>
      <c r="I767" s="62">
        <v>0</v>
      </c>
      <c r="J767" s="62">
        <v>0</v>
      </c>
      <c r="K767" s="62"/>
      <c r="L767" s="62"/>
      <c r="M767" s="62">
        <v>0</v>
      </c>
      <c r="N767" s="62">
        <v>0</v>
      </c>
      <c r="O767" s="62">
        <v>0</v>
      </c>
      <c r="P767" s="62">
        <v>0</v>
      </c>
      <c r="Q767" s="62">
        <v>0</v>
      </c>
      <c r="R767" s="62"/>
      <c r="S767" s="62"/>
      <c r="T767" s="151"/>
      <c r="V767" s="237">
        <f t="shared" si="82"/>
        <v>1</v>
      </c>
    </row>
    <row r="768" spans="1:22" hidden="1">
      <c r="A768" s="104">
        <f t="shared" si="83"/>
        <v>745</v>
      </c>
      <c r="B768" s="101">
        <f t="shared" si="84"/>
        <v>259</v>
      </c>
      <c r="C768" s="101" t="s">
        <v>116</v>
      </c>
      <c r="D768" s="101" t="s">
        <v>377</v>
      </c>
      <c r="E768" s="28">
        <f t="shared" ref="E768:E799" si="85">SUBTOTAL(9, F768:T768)</f>
        <v>0</v>
      </c>
      <c r="F768" s="62">
        <v>14189389.390000001</v>
      </c>
      <c r="G768" s="62">
        <v>0</v>
      </c>
      <c r="H768" s="62">
        <v>0</v>
      </c>
      <c r="I768" s="62">
        <v>0</v>
      </c>
      <c r="J768" s="62">
        <v>0</v>
      </c>
      <c r="K768" s="62"/>
      <c r="L768" s="62"/>
      <c r="M768" s="62">
        <v>0</v>
      </c>
      <c r="N768" s="62">
        <v>0</v>
      </c>
      <c r="O768" s="62">
        <v>0</v>
      </c>
      <c r="P768" s="62">
        <v>0</v>
      </c>
      <c r="Q768" s="62">
        <v>0</v>
      </c>
      <c r="R768" s="62"/>
      <c r="S768" s="62"/>
      <c r="T768" s="151"/>
      <c r="V768" s="237">
        <f t="shared" ref="V768:V799" si="86">COUNTIF(F768:Q768, "&gt;0")</f>
        <v>1</v>
      </c>
    </row>
    <row r="769" spans="1:22" hidden="1">
      <c r="A769" s="104">
        <f t="shared" si="83"/>
        <v>746</v>
      </c>
      <c r="B769" s="101">
        <f t="shared" si="84"/>
        <v>260</v>
      </c>
      <c r="C769" s="101" t="s">
        <v>116</v>
      </c>
      <c r="D769" s="101" t="s">
        <v>675</v>
      </c>
      <c r="E769" s="306">
        <f t="shared" si="85"/>
        <v>0</v>
      </c>
      <c r="F769" s="62">
        <v>4424020.72</v>
      </c>
      <c r="G769" s="62"/>
      <c r="H769" s="62">
        <v>1374170.93</v>
      </c>
      <c r="I769" s="62"/>
      <c r="J769" s="62">
        <v>0</v>
      </c>
      <c r="K769" s="62"/>
      <c r="L769" s="62"/>
      <c r="M769" s="62">
        <v>0</v>
      </c>
      <c r="N769" s="62">
        <v>5045302.5</v>
      </c>
      <c r="O769" s="62">
        <v>0</v>
      </c>
      <c r="P769" s="62">
        <v>0</v>
      </c>
      <c r="Q769" s="62">
        <v>0</v>
      </c>
      <c r="R769" s="62"/>
      <c r="S769" s="62"/>
      <c r="T769" s="151"/>
      <c r="V769" s="237">
        <f t="shared" si="86"/>
        <v>3</v>
      </c>
    </row>
    <row r="770" spans="1:22" hidden="1">
      <c r="A770" s="104">
        <f t="shared" si="83"/>
        <v>747</v>
      </c>
      <c r="B770" s="101">
        <f t="shared" si="84"/>
        <v>261</v>
      </c>
      <c r="C770" s="101" t="s">
        <v>116</v>
      </c>
      <c r="D770" s="101" t="s">
        <v>676</v>
      </c>
      <c r="E770" s="28">
        <f t="shared" si="85"/>
        <v>0</v>
      </c>
      <c r="F770" s="62">
        <v>5255348.26</v>
      </c>
      <c r="G770" s="62">
        <v>2576885.7599999998</v>
      </c>
      <c r="H770" s="62">
        <v>1123654.06</v>
      </c>
      <c r="I770" s="62">
        <v>2148802.02</v>
      </c>
      <c r="J770" s="62">
        <v>0</v>
      </c>
      <c r="K770" s="62"/>
      <c r="L770" s="62"/>
      <c r="M770" s="62">
        <v>0</v>
      </c>
      <c r="N770" s="62">
        <v>2915091.37</v>
      </c>
      <c r="O770" s="62">
        <v>0</v>
      </c>
      <c r="P770" s="62">
        <v>0</v>
      </c>
      <c r="Q770" s="62">
        <v>3010343.08</v>
      </c>
      <c r="R770" s="62"/>
      <c r="S770" s="62"/>
      <c r="T770" s="151"/>
      <c r="V770" s="237">
        <f t="shared" si="86"/>
        <v>6</v>
      </c>
    </row>
    <row r="771" spans="1:22" hidden="1">
      <c r="A771" s="104">
        <f t="shared" si="83"/>
        <v>748</v>
      </c>
      <c r="B771" s="101">
        <f t="shared" si="84"/>
        <v>262</v>
      </c>
      <c r="C771" s="101" t="s">
        <v>116</v>
      </c>
      <c r="D771" s="101" t="s">
        <v>677</v>
      </c>
      <c r="E771" s="28">
        <f t="shared" si="85"/>
        <v>0</v>
      </c>
      <c r="F771" s="62">
        <v>11351495.93</v>
      </c>
      <c r="G771" s="62">
        <v>0</v>
      </c>
      <c r="H771" s="62">
        <v>0</v>
      </c>
      <c r="I771" s="62"/>
      <c r="J771" s="62">
        <v>0</v>
      </c>
      <c r="K771" s="62"/>
      <c r="L771" s="62"/>
      <c r="M771" s="62">
        <v>0</v>
      </c>
      <c r="N771" s="62">
        <v>0</v>
      </c>
      <c r="O771" s="62">
        <v>0</v>
      </c>
      <c r="P771" s="62"/>
      <c r="Q771" s="62"/>
      <c r="R771" s="62"/>
      <c r="S771" s="62"/>
      <c r="T771" s="151"/>
      <c r="V771" s="237">
        <f t="shared" si="86"/>
        <v>1</v>
      </c>
    </row>
    <row r="772" spans="1:22" hidden="1">
      <c r="A772" s="104">
        <f t="shared" si="83"/>
        <v>749</v>
      </c>
      <c r="B772" s="101">
        <f t="shared" si="84"/>
        <v>263</v>
      </c>
      <c r="C772" s="101" t="s">
        <v>116</v>
      </c>
      <c r="D772" s="101" t="s">
        <v>678</v>
      </c>
      <c r="E772" s="28">
        <f t="shared" si="85"/>
        <v>0</v>
      </c>
      <c r="F772" s="62">
        <v>5979919.5199999996</v>
      </c>
      <c r="G772" s="62"/>
      <c r="H772" s="62"/>
      <c r="I772" s="62"/>
      <c r="J772" s="62"/>
      <c r="K772" s="62"/>
      <c r="L772" s="62"/>
      <c r="M772" s="62">
        <v>0</v>
      </c>
      <c r="N772" s="62">
        <v>0</v>
      </c>
      <c r="O772" s="62">
        <v>0</v>
      </c>
      <c r="P772" s="62">
        <v>0</v>
      </c>
      <c r="Q772" s="62"/>
      <c r="R772" s="62"/>
      <c r="S772" s="62"/>
      <c r="T772" s="151"/>
      <c r="V772" s="237">
        <f t="shared" si="86"/>
        <v>1</v>
      </c>
    </row>
    <row r="773" spans="1:22" hidden="1">
      <c r="A773" s="104">
        <f t="shared" si="83"/>
        <v>750</v>
      </c>
      <c r="B773" s="101">
        <f t="shared" si="84"/>
        <v>264</v>
      </c>
      <c r="C773" s="101" t="s">
        <v>116</v>
      </c>
      <c r="D773" s="101" t="s">
        <v>679</v>
      </c>
      <c r="E773" s="306">
        <f t="shared" si="85"/>
        <v>0</v>
      </c>
      <c r="F773" s="62">
        <v>0</v>
      </c>
      <c r="G773" s="62">
        <v>0</v>
      </c>
      <c r="H773" s="62">
        <v>3883900.51</v>
      </c>
      <c r="I773" s="62">
        <v>0</v>
      </c>
      <c r="J773" s="62">
        <v>0</v>
      </c>
      <c r="K773" s="62"/>
      <c r="L773" s="62"/>
      <c r="M773" s="62">
        <v>0</v>
      </c>
      <c r="N773" s="62">
        <v>0</v>
      </c>
      <c r="O773" s="62">
        <v>0</v>
      </c>
      <c r="P773" s="62">
        <v>0</v>
      </c>
      <c r="Q773" s="62">
        <v>0</v>
      </c>
      <c r="R773" s="62"/>
      <c r="S773" s="62"/>
      <c r="T773" s="151"/>
      <c r="V773" s="237">
        <f t="shared" si="86"/>
        <v>1</v>
      </c>
    </row>
    <row r="774" spans="1:22" hidden="1">
      <c r="A774" s="104">
        <f t="shared" si="83"/>
        <v>751</v>
      </c>
      <c r="B774" s="101">
        <f t="shared" si="84"/>
        <v>265</v>
      </c>
      <c r="C774" s="101" t="s">
        <v>116</v>
      </c>
      <c r="D774" s="101" t="s">
        <v>681</v>
      </c>
      <c r="E774" s="306">
        <f t="shared" si="85"/>
        <v>0</v>
      </c>
      <c r="F774" s="62"/>
      <c r="G774" s="62">
        <v>3572320.01</v>
      </c>
      <c r="H774" s="62">
        <v>0</v>
      </c>
      <c r="I774" s="62">
        <v>0</v>
      </c>
      <c r="J774" s="62">
        <v>0</v>
      </c>
      <c r="K774" s="62"/>
      <c r="L774" s="62"/>
      <c r="M774" s="62">
        <v>0</v>
      </c>
      <c r="N774" s="62">
        <v>0</v>
      </c>
      <c r="O774" s="62">
        <v>0</v>
      </c>
      <c r="P774" s="62">
        <v>0</v>
      </c>
      <c r="Q774" s="62">
        <v>0</v>
      </c>
      <c r="R774" s="62"/>
      <c r="S774" s="62"/>
      <c r="T774" s="151"/>
      <c r="V774" s="237">
        <f t="shared" si="86"/>
        <v>1</v>
      </c>
    </row>
    <row r="775" spans="1:22" hidden="1">
      <c r="A775" s="104">
        <f t="shared" si="83"/>
        <v>752</v>
      </c>
      <c r="B775" s="101">
        <f t="shared" si="84"/>
        <v>266</v>
      </c>
      <c r="C775" s="101" t="s">
        <v>116</v>
      </c>
      <c r="D775" s="101" t="s">
        <v>682</v>
      </c>
      <c r="E775" s="28">
        <f t="shared" si="85"/>
        <v>0</v>
      </c>
      <c r="F775" s="62">
        <v>5925260.2400000002</v>
      </c>
      <c r="G775" s="62">
        <v>2470953.88</v>
      </c>
      <c r="H775" s="62">
        <v>0</v>
      </c>
      <c r="I775" s="62">
        <v>0</v>
      </c>
      <c r="J775" s="62">
        <v>0</v>
      </c>
      <c r="K775" s="62"/>
      <c r="L775" s="62"/>
      <c r="M775" s="62">
        <v>0</v>
      </c>
      <c r="N775" s="62">
        <v>0</v>
      </c>
      <c r="O775" s="62">
        <v>0</v>
      </c>
      <c r="P775" s="62">
        <v>0</v>
      </c>
      <c r="Q775" s="62">
        <v>0</v>
      </c>
      <c r="R775" s="62"/>
      <c r="S775" s="62"/>
      <c r="T775" s="151"/>
      <c r="V775" s="237">
        <f t="shared" si="86"/>
        <v>2</v>
      </c>
    </row>
    <row r="776" spans="1:22" hidden="1">
      <c r="A776" s="104">
        <f t="shared" si="83"/>
        <v>753</v>
      </c>
      <c r="B776" s="101">
        <f t="shared" si="84"/>
        <v>267</v>
      </c>
      <c r="C776" s="101" t="s">
        <v>116</v>
      </c>
      <c r="D776" s="101" t="s">
        <v>683</v>
      </c>
      <c r="E776" s="306">
        <f t="shared" si="85"/>
        <v>0</v>
      </c>
      <c r="F776" s="62"/>
      <c r="G776" s="62">
        <v>3393377.71</v>
      </c>
      <c r="H776" s="62">
        <v>0</v>
      </c>
      <c r="I776" s="62">
        <v>0</v>
      </c>
      <c r="J776" s="62">
        <v>0</v>
      </c>
      <c r="K776" s="62"/>
      <c r="L776" s="62"/>
      <c r="M776" s="62">
        <v>0</v>
      </c>
      <c r="N776" s="62">
        <v>0</v>
      </c>
      <c r="O776" s="62">
        <v>0</v>
      </c>
      <c r="P776" s="62">
        <v>0</v>
      </c>
      <c r="Q776" s="62">
        <v>0</v>
      </c>
      <c r="R776" s="62"/>
      <c r="S776" s="62"/>
      <c r="T776" s="151"/>
      <c r="V776" s="237">
        <f t="shared" si="86"/>
        <v>1</v>
      </c>
    </row>
    <row r="777" spans="1:22" hidden="1">
      <c r="A777" s="104">
        <f t="shared" si="83"/>
        <v>754</v>
      </c>
      <c r="B777" s="101">
        <f t="shared" si="84"/>
        <v>268</v>
      </c>
      <c r="C777" s="101" t="s">
        <v>116</v>
      </c>
      <c r="D777" s="101" t="s">
        <v>684</v>
      </c>
      <c r="E777" s="28">
        <f t="shared" si="85"/>
        <v>0</v>
      </c>
      <c r="F777" s="62">
        <v>5920320.6299999999</v>
      </c>
      <c r="G777" s="62"/>
      <c r="H777" s="62">
        <v>1365932.32</v>
      </c>
      <c r="I777" s="62">
        <v>0</v>
      </c>
      <c r="J777" s="62">
        <v>0</v>
      </c>
      <c r="K777" s="62"/>
      <c r="L777" s="62"/>
      <c r="M777" s="62">
        <v>0</v>
      </c>
      <c r="N777" s="62">
        <v>0</v>
      </c>
      <c r="O777" s="62">
        <v>0</v>
      </c>
      <c r="P777" s="62">
        <v>0</v>
      </c>
      <c r="Q777" s="62">
        <v>0</v>
      </c>
      <c r="R777" s="62"/>
      <c r="S777" s="62"/>
      <c r="T777" s="151"/>
      <c r="V777" s="237">
        <f t="shared" si="86"/>
        <v>2</v>
      </c>
    </row>
    <row r="778" spans="1:22" hidden="1">
      <c r="A778" s="104">
        <f t="shared" si="83"/>
        <v>755</v>
      </c>
      <c r="B778" s="101">
        <f t="shared" si="84"/>
        <v>269</v>
      </c>
      <c r="C778" s="101" t="s">
        <v>116</v>
      </c>
      <c r="D778" s="101" t="s">
        <v>685</v>
      </c>
      <c r="E778" s="28">
        <f t="shared" si="85"/>
        <v>0</v>
      </c>
      <c r="F778" s="62">
        <v>0</v>
      </c>
      <c r="G778" s="62">
        <v>0</v>
      </c>
      <c r="H778" s="62">
        <v>0</v>
      </c>
      <c r="I778" s="62">
        <v>0</v>
      </c>
      <c r="J778" s="62">
        <v>0</v>
      </c>
      <c r="K778" s="62"/>
      <c r="L778" s="62"/>
      <c r="M778" s="62">
        <v>0</v>
      </c>
      <c r="N778" s="62">
        <v>2158435.54</v>
      </c>
      <c r="O778" s="62">
        <v>0</v>
      </c>
      <c r="P778" s="62">
        <v>0</v>
      </c>
      <c r="Q778" s="62">
        <v>0</v>
      </c>
      <c r="R778" s="62"/>
      <c r="S778" s="62"/>
      <c r="T778" s="151"/>
      <c r="V778" s="237">
        <f t="shared" si="86"/>
        <v>1</v>
      </c>
    </row>
    <row r="779" spans="1:22" hidden="1">
      <c r="A779" s="104">
        <f t="shared" si="83"/>
        <v>756</v>
      </c>
      <c r="B779" s="101">
        <f t="shared" si="84"/>
        <v>270</v>
      </c>
      <c r="C779" s="101" t="s">
        <v>750</v>
      </c>
      <c r="D779" s="101" t="s">
        <v>686</v>
      </c>
      <c r="E779" s="306">
        <f t="shared" si="85"/>
        <v>0</v>
      </c>
      <c r="F779" s="62">
        <v>8303475.8300000001</v>
      </c>
      <c r="G779" s="62"/>
      <c r="H779" s="62">
        <v>0</v>
      </c>
      <c r="I779" s="62">
        <v>0</v>
      </c>
      <c r="J779" s="62">
        <v>0</v>
      </c>
      <c r="K779" s="62"/>
      <c r="L779" s="62"/>
      <c r="M779" s="62">
        <v>0</v>
      </c>
      <c r="N779" s="62"/>
      <c r="O779" s="62">
        <v>0</v>
      </c>
      <c r="P779" s="62">
        <v>0</v>
      </c>
      <c r="Q779" s="62">
        <v>0</v>
      </c>
      <c r="R779" s="62"/>
      <c r="S779" s="62"/>
      <c r="T779" s="151"/>
      <c r="V779" s="237">
        <f t="shared" si="86"/>
        <v>1</v>
      </c>
    </row>
    <row r="780" spans="1:22" hidden="1">
      <c r="A780" s="104">
        <f t="shared" si="83"/>
        <v>757</v>
      </c>
      <c r="B780" s="101">
        <f t="shared" si="84"/>
        <v>271</v>
      </c>
      <c r="C780" s="101" t="s">
        <v>114</v>
      </c>
      <c r="D780" s="101" t="s">
        <v>687</v>
      </c>
      <c r="E780" s="28">
        <f t="shared" si="85"/>
        <v>0</v>
      </c>
      <c r="F780" s="62">
        <v>0</v>
      </c>
      <c r="G780" s="62">
        <v>0</v>
      </c>
      <c r="H780" s="62">
        <v>0</v>
      </c>
      <c r="I780" s="62">
        <v>0</v>
      </c>
      <c r="J780" s="62">
        <v>0</v>
      </c>
      <c r="K780" s="62"/>
      <c r="L780" s="62"/>
      <c r="M780" s="62">
        <v>0</v>
      </c>
      <c r="N780" s="62">
        <v>0</v>
      </c>
      <c r="O780" s="62">
        <v>0</v>
      </c>
      <c r="P780" s="62">
        <v>19281360.68</v>
      </c>
      <c r="Q780" s="62">
        <v>0</v>
      </c>
      <c r="R780" s="62"/>
      <c r="S780" s="62"/>
      <c r="T780" s="151"/>
      <c r="V780" s="237">
        <f t="shared" si="86"/>
        <v>1</v>
      </c>
    </row>
    <row r="781" spans="1:22" hidden="1">
      <c r="A781" s="104">
        <f t="shared" si="83"/>
        <v>758</v>
      </c>
      <c r="B781" s="101" t="s">
        <v>96</v>
      </c>
      <c r="C781" s="101" t="s">
        <v>185</v>
      </c>
      <c r="D781" s="101" t="s">
        <v>434</v>
      </c>
      <c r="E781" s="28">
        <f t="shared" si="85"/>
        <v>0</v>
      </c>
      <c r="F781" s="62"/>
      <c r="G781" s="62"/>
      <c r="H781" s="62"/>
      <c r="I781" s="62"/>
      <c r="J781" s="62"/>
      <c r="K781" s="62"/>
      <c r="L781" s="62"/>
      <c r="M781" s="62"/>
      <c r="N781" s="62"/>
      <c r="O781" s="62">
        <v>0</v>
      </c>
      <c r="P781" s="62">
        <v>14156807.720000001</v>
      </c>
      <c r="Q781" s="62"/>
      <c r="R781" s="62"/>
      <c r="S781" s="62"/>
      <c r="T781" s="151"/>
      <c r="V781" s="237">
        <f t="shared" si="86"/>
        <v>1</v>
      </c>
    </row>
    <row r="782" spans="1:22" hidden="1">
      <c r="A782" s="104">
        <f t="shared" si="83"/>
        <v>759</v>
      </c>
      <c r="B782" s="101">
        <f>B780+1</f>
        <v>272</v>
      </c>
      <c r="C782" s="101" t="s">
        <v>116</v>
      </c>
      <c r="D782" s="101" t="s">
        <v>688</v>
      </c>
      <c r="E782" s="28">
        <f t="shared" si="85"/>
        <v>0</v>
      </c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>
        <v>6308293.3099999996</v>
      </c>
      <c r="R782" s="62"/>
      <c r="S782" s="62"/>
      <c r="T782" s="151"/>
      <c r="V782" s="237">
        <f t="shared" si="86"/>
        <v>1</v>
      </c>
    </row>
    <row r="783" spans="1:22" hidden="1">
      <c r="A783" s="104">
        <f t="shared" si="83"/>
        <v>760</v>
      </c>
      <c r="B783" s="101" t="s">
        <v>96</v>
      </c>
      <c r="C783" s="101" t="s">
        <v>750</v>
      </c>
      <c r="D783" s="101" t="s">
        <v>562</v>
      </c>
      <c r="E783" s="28">
        <f t="shared" si="85"/>
        <v>0</v>
      </c>
      <c r="F783" s="62"/>
      <c r="G783" s="62"/>
      <c r="H783" s="62"/>
      <c r="I783" s="62"/>
      <c r="J783" s="62"/>
      <c r="K783" s="62"/>
      <c r="L783" s="62"/>
      <c r="M783" s="62">
        <v>0</v>
      </c>
      <c r="N783" s="62">
        <v>6282061.3200000003</v>
      </c>
      <c r="O783" s="62">
        <v>0</v>
      </c>
      <c r="P783" s="62">
        <v>0</v>
      </c>
      <c r="Q783" s="62">
        <v>0</v>
      </c>
      <c r="R783" s="62"/>
      <c r="S783" s="62"/>
      <c r="T783" s="151"/>
      <c r="V783" s="237">
        <f t="shared" si="86"/>
        <v>1</v>
      </c>
    </row>
    <row r="784" spans="1:22" hidden="1">
      <c r="A784" s="104">
        <f t="shared" si="83"/>
        <v>761</v>
      </c>
      <c r="B784" s="101">
        <f>B782+1</f>
        <v>273</v>
      </c>
      <c r="C784" s="101" t="s">
        <v>171</v>
      </c>
      <c r="D784" s="101" t="s">
        <v>690</v>
      </c>
      <c r="E784" s="28">
        <f t="shared" si="85"/>
        <v>0</v>
      </c>
      <c r="F784" s="62">
        <v>0</v>
      </c>
      <c r="G784" s="62">
        <v>0</v>
      </c>
      <c r="H784" s="62">
        <v>0</v>
      </c>
      <c r="I784" s="62">
        <v>0</v>
      </c>
      <c r="J784" s="62">
        <v>0</v>
      </c>
      <c r="K784" s="62"/>
      <c r="L784" s="62"/>
      <c r="M784" s="62">
        <v>0</v>
      </c>
      <c r="N784" s="62">
        <v>0</v>
      </c>
      <c r="O784" s="62">
        <v>14405926.619999999</v>
      </c>
      <c r="P784" s="62">
        <v>0</v>
      </c>
      <c r="Q784" s="62">
        <v>0</v>
      </c>
      <c r="R784" s="62">
        <v>341914.93</v>
      </c>
      <c r="S784" s="62">
        <v>24000</v>
      </c>
      <c r="T784" s="151"/>
      <c r="U784" s="18"/>
      <c r="V784" s="237">
        <f t="shared" si="86"/>
        <v>1</v>
      </c>
    </row>
    <row r="785" spans="1:22" hidden="1">
      <c r="A785" s="104">
        <f t="shared" si="83"/>
        <v>762</v>
      </c>
      <c r="B785" s="101">
        <f>B784+1</f>
        <v>274</v>
      </c>
      <c r="C785" s="101" t="s">
        <v>114</v>
      </c>
      <c r="D785" s="101" t="s">
        <v>691</v>
      </c>
      <c r="E785" s="28">
        <f t="shared" si="85"/>
        <v>0</v>
      </c>
      <c r="F785" s="62">
        <v>7568788.1500000004</v>
      </c>
      <c r="G785" s="62">
        <v>0</v>
      </c>
      <c r="H785" s="62">
        <v>0</v>
      </c>
      <c r="I785" s="62">
        <v>0</v>
      </c>
      <c r="J785" s="62">
        <v>0</v>
      </c>
      <c r="K785" s="62"/>
      <c r="L785" s="62"/>
      <c r="M785" s="62">
        <v>0</v>
      </c>
      <c r="N785" s="62">
        <v>0</v>
      </c>
      <c r="O785" s="62">
        <v>0</v>
      </c>
      <c r="P785" s="62">
        <v>0</v>
      </c>
      <c r="Q785" s="62">
        <v>0</v>
      </c>
      <c r="R785" s="62">
        <v>75235.53</v>
      </c>
      <c r="S785" s="62">
        <v>24000</v>
      </c>
      <c r="T785" s="151"/>
      <c r="U785" s="18"/>
      <c r="V785" s="237">
        <f t="shared" si="86"/>
        <v>1</v>
      </c>
    </row>
    <row r="786" spans="1:22" hidden="1">
      <c r="A786" s="104">
        <f t="shared" si="83"/>
        <v>763</v>
      </c>
      <c r="B786" s="101" t="s">
        <v>96</v>
      </c>
      <c r="C786" s="101" t="s">
        <v>114</v>
      </c>
      <c r="D786" s="101" t="s">
        <v>271</v>
      </c>
      <c r="E786" s="28">
        <f t="shared" si="85"/>
        <v>0</v>
      </c>
      <c r="F786" s="62">
        <v>0</v>
      </c>
      <c r="G786" s="62">
        <v>0</v>
      </c>
      <c r="H786" s="62">
        <v>0</v>
      </c>
      <c r="I786" s="62">
        <v>0</v>
      </c>
      <c r="J786" s="62">
        <v>0</v>
      </c>
      <c r="K786" s="62"/>
      <c r="L786" s="62"/>
      <c r="M786" s="62">
        <v>0</v>
      </c>
      <c r="N786" s="62">
        <v>0</v>
      </c>
      <c r="O786" s="62">
        <v>9755981.0299999993</v>
      </c>
      <c r="P786" s="62"/>
      <c r="Q786" s="62">
        <v>0</v>
      </c>
      <c r="R786" s="62">
        <v>224922.48</v>
      </c>
      <c r="S786" s="62">
        <v>24000</v>
      </c>
      <c r="T786" s="151"/>
      <c r="U786" s="18"/>
      <c r="V786" s="237">
        <f t="shared" si="86"/>
        <v>1</v>
      </c>
    </row>
    <row r="787" spans="1:22" hidden="1">
      <c r="A787" s="104">
        <f t="shared" si="83"/>
        <v>764</v>
      </c>
      <c r="B787" s="101" t="s">
        <v>96</v>
      </c>
      <c r="C787" s="101" t="s">
        <v>114</v>
      </c>
      <c r="D787" s="101" t="s">
        <v>273</v>
      </c>
      <c r="E787" s="28">
        <f t="shared" si="85"/>
        <v>0</v>
      </c>
      <c r="F787" s="62"/>
      <c r="G787" s="62">
        <v>3725677.85</v>
      </c>
      <c r="H787" s="62">
        <v>0</v>
      </c>
      <c r="I787" s="62">
        <v>0</v>
      </c>
      <c r="J787" s="62">
        <v>0</v>
      </c>
      <c r="K787" s="62"/>
      <c r="L787" s="62">
        <v>0</v>
      </c>
      <c r="M787" s="62"/>
      <c r="N787" s="62"/>
      <c r="O787" s="62"/>
      <c r="P787" s="62">
        <v>0</v>
      </c>
      <c r="Q787" s="62">
        <v>0</v>
      </c>
      <c r="R787" s="62">
        <v>91552.78</v>
      </c>
      <c r="S787" s="62">
        <v>24000</v>
      </c>
      <c r="T787" s="151"/>
      <c r="U787" s="18"/>
      <c r="V787" s="237">
        <f t="shared" si="86"/>
        <v>1</v>
      </c>
    </row>
    <row r="788" spans="1:22" hidden="1">
      <c r="A788" s="104">
        <f t="shared" si="83"/>
        <v>765</v>
      </c>
      <c r="B788" s="101" t="s">
        <v>96</v>
      </c>
      <c r="C788" s="101" t="s">
        <v>114</v>
      </c>
      <c r="D788" s="101" t="s">
        <v>284</v>
      </c>
      <c r="E788" s="28">
        <f t="shared" si="85"/>
        <v>0</v>
      </c>
      <c r="F788" s="62"/>
      <c r="G788" s="62">
        <v>7852851.4199999999</v>
      </c>
      <c r="H788" s="62">
        <v>0</v>
      </c>
      <c r="I788" s="62"/>
      <c r="J788" s="62">
        <v>0</v>
      </c>
      <c r="K788" s="62"/>
      <c r="L788" s="62"/>
      <c r="M788" s="62">
        <v>0</v>
      </c>
      <c r="N788" s="62">
        <v>0</v>
      </c>
      <c r="O788" s="62">
        <v>0</v>
      </c>
      <c r="P788" s="62">
        <v>0</v>
      </c>
      <c r="Q788" s="62">
        <v>0</v>
      </c>
      <c r="R788" s="62">
        <v>113039.97</v>
      </c>
      <c r="S788" s="62">
        <v>24000</v>
      </c>
      <c r="T788" s="151"/>
      <c r="U788" s="18"/>
      <c r="V788" s="237">
        <f t="shared" si="86"/>
        <v>1</v>
      </c>
    </row>
    <row r="789" spans="1:22" hidden="1">
      <c r="A789" s="104">
        <f t="shared" si="83"/>
        <v>766</v>
      </c>
      <c r="B789" s="101" t="s">
        <v>96</v>
      </c>
      <c r="C789" s="101" t="s">
        <v>114</v>
      </c>
      <c r="D789" s="101" t="s">
        <v>293</v>
      </c>
      <c r="E789" s="28">
        <f t="shared" si="85"/>
        <v>0</v>
      </c>
      <c r="F789" s="62"/>
      <c r="G789" s="62">
        <v>4925359.93</v>
      </c>
      <c r="H789" s="62"/>
      <c r="I789" s="62">
        <v>0</v>
      </c>
      <c r="J789" s="62">
        <v>0</v>
      </c>
      <c r="K789" s="62"/>
      <c r="L789" s="62"/>
      <c r="M789" s="62">
        <v>0</v>
      </c>
      <c r="N789" s="62">
        <v>0</v>
      </c>
      <c r="O789" s="62">
        <v>0</v>
      </c>
      <c r="P789" s="62">
        <v>0</v>
      </c>
      <c r="Q789" s="62">
        <v>0</v>
      </c>
      <c r="R789" s="62">
        <v>31172.05</v>
      </c>
      <c r="S789" s="62">
        <v>24000</v>
      </c>
      <c r="T789" s="151"/>
      <c r="U789" s="18"/>
      <c r="V789" s="237">
        <f t="shared" si="86"/>
        <v>1</v>
      </c>
    </row>
    <row r="790" spans="1:22" hidden="1">
      <c r="A790" s="104">
        <f t="shared" si="83"/>
        <v>767</v>
      </c>
      <c r="B790" s="101">
        <f>B785+1</f>
        <v>275</v>
      </c>
      <c r="C790" s="101" t="s">
        <v>114</v>
      </c>
      <c r="D790" s="101" t="s">
        <v>693</v>
      </c>
      <c r="E790" s="28">
        <f t="shared" si="85"/>
        <v>0</v>
      </c>
      <c r="F790" s="62">
        <v>0</v>
      </c>
      <c r="G790" s="62">
        <v>0</v>
      </c>
      <c r="H790" s="62">
        <v>5975267.7300000004</v>
      </c>
      <c r="I790" s="62">
        <v>0</v>
      </c>
      <c r="J790" s="62">
        <v>0</v>
      </c>
      <c r="K790" s="62"/>
      <c r="L790" s="62"/>
      <c r="M790" s="62">
        <v>0</v>
      </c>
      <c r="N790" s="62">
        <v>0</v>
      </c>
      <c r="O790" s="62">
        <v>0</v>
      </c>
      <c r="P790" s="62">
        <v>0</v>
      </c>
      <c r="Q790" s="62">
        <v>0</v>
      </c>
      <c r="R790" s="62">
        <v>57135.8</v>
      </c>
      <c r="S790" s="62">
        <v>24000</v>
      </c>
      <c r="T790" s="151"/>
      <c r="U790" s="18"/>
      <c r="V790" s="237">
        <f t="shared" si="86"/>
        <v>1</v>
      </c>
    </row>
    <row r="791" spans="1:22" hidden="1">
      <c r="A791" s="104">
        <f t="shared" ref="A791:B793" si="87">+A790+1</f>
        <v>768</v>
      </c>
      <c r="B791" s="101">
        <f t="shared" si="87"/>
        <v>276</v>
      </c>
      <c r="C791" s="101" t="s">
        <v>114</v>
      </c>
      <c r="D791" s="101" t="s">
        <v>694</v>
      </c>
      <c r="E791" s="28">
        <f t="shared" si="85"/>
        <v>0</v>
      </c>
      <c r="F791" s="62">
        <v>0</v>
      </c>
      <c r="G791" s="62">
        <v>0</v>
      </c>
      <c r="H791" s="62">
        <v>0</v>
      </c>
      <c r="I791" s="62">
        <v>0</v>
      </c>
      <c r="J791" s="62">
        <v>0</v>
      </c>
      <c r="K791" s="62"/>
      <c r="L791" s="62"/>
      <c r="M791" s="62">
        <v>0</v>
      </c>
      <c r="N791" s="62">
        <v>0</v>
      </c>
      <c r="O791" s="62">
        <v>7475531.7699999996</v>
      </c>
      <c r="P791" s="62">
        <v>0</v>
      </c>
      <c r="Q791" s="62">
        <v>0</v>
      </c>
      <c r="R791" s="62">
        <v>179806.02</v>
      </c>
      <c r="S791" s="62">
        <v>24000</v>
      </c>
      <c r="T791" s="151"/>
      <c r="U791" s="18"/>
      <c r="V791" s="237">
        <f t="shared" si="86"/>
        <v>1</v>
      </c>
    </row>
    <row r="792" spans="1:22" hidden="1">
      <c r="A792" s="104">
        <f t="shared" si="87"/>
        <v>769</v>
      </c>
      <c r="B792" s="101">
        <f t="shared" si="87"/>
        <v>277</v>
      </c>
      <c r="C792" s="101" t="s">
        <v>114</v>
      </c>
      <c r="D792" s="101" t="s">
        <v>695</v>
      </c>
      <c r="E792" s="28">
        <f t="shared" si="85"/>
        <v>0</v>
      </c>
      <c r="F792" s="62">
        <v>0</v>
      </c>
      <c r="G792" s="62">
        <v>0</v>
      </c>
      <c r="H792" s="62">
        <v>0</v>
      </c>
      <c r="I792" s="62">
        <v>0</v>
      </c>
      <c r="J792" s="62">
        <v>0</v>
      </c>
      <c r="K792" s="62"/>
      <c r="L792" s="62"/>
      <c r="M792" s="62">
        <v>0</v>
      </c>
      <c r="N792" s="62">
        <v>0</v>
      </c>
      <c r="O792" s="62">
        <v>9246422.7300000004</v>
      </c>
      <c r="P792" s="62">
        <v>0</v>
      </c>
      <c r="Q792" s="62">
        <v>0</v>
      </c>
      <c r="R792" s="62">
        <v>266030.59999999998</v>
      </c>
      <c r="S792" s="62">
        <v>24000</v>
      </c>
      <c r="T792" s="151"/>
      <c r="U792" s="18"/>
      <c r="V792" s="237">
        <f t="shared" si="86"/>
        <v>1</v>
      </c>
    </row>
    <row r="793" spans="1:22" hidden="1">
      <c r="A793" s="104">
        <f t="shared" si="87"/>
        <v>770</v>
      </c>
      <c r="B793" s="101">
        <f t="shared" si="87"/>
        <v>278</v>
      </c>
      <c r="C793" s="101" t="s">
        <v>114</v>
      </c>
      <c r="D793" s="101" t="s">
        <v>696</v>
      </c>
      <c r="E793" s="28">
        <f t="shared" si="85"/>
        <v>0</v>
      </c>
      <c r="F793" s="62">
        <v>0</v>
      </c>
      <c r="G793" s="62">
        <v>0</v>
      </c>
      <c r="H793" s="62">
        <v>0</v>
      </c>
      <c r="I793" s="62">
        <v>0</v>
      </c>
      <c r="J793" s="62">
        <v>0</v>
      </c>
      <c r="K793" s="62"/>
      <c r="L793" s="62"/>
      <c r="M793" s="62">
        <v>0</v>
      </c>
      <c r="N793" s="62">
        <v>0</v>
      </c>
      <c r="O793" s="62">
        <v>9895682.4199999999</v>
      </c>
      <c r="P793" s="62">
        <v>0</v>
      </c>
      <c r="Q793" s="62">
        <v>0</v>
      </c>
      <c r="R793" s="62">
        <v>222285.06</v>
      </c>
      <c r="S793" s="62">
        <v>24000</v>
      </c>
      <c r="T793" s="151"/>
      <c r="U793" s="18"/>
      <c r="V793" s="237">
        <f t="shared" si="86"/>
        <v>1</v>
      </c>
    </row>
    <row r="794" spans="1:22" hidden="1">
      <c r="A794" s="104">
        <f t="shared" ref="A794:A812" si="88">+A793+1</f>
        <v>771</v>
      </c>
      <c r="B794" s="101" t="s">
        <v>96</v>
      </c>
      <c r="C794" s="101" t="s">
        <v>114</v>
      </c>
      <c r="D794" s="101" t="s">
        <v>321</v>
      </c>
      <c r="E794" s="28">
        <f t="shared" si="85"/>
        <v>0</v>
      </c>
      <c r="F794" s="62"/>
      <c r="G794" s="62">
        <v>0</v>
      </c>
      <c r="H794" s="62">
        <v>0</v>
      </c>
      <c r="I794" s="62"/>
      <c r="J794" s="62">
        <v>0</v>
      </c>
      <c r="K794" s="62"/>
      <c r="L794" s="62"/>
      <c r="M794" s="62">
        <v>0</v>
      </c>
      <c r="N794" s="62"/>
      <c r="O794" s="62">
        <v>12028791.939999999</v>
      </c>
      <c r="P794" s="62">
        <v>0</v>
      </c>
      <c r="Q794" s="62">
        <v>0</v>
      </c>
      <c r="R794" s="62">
        <v>260575.08</v>
      </c>
      <c r="S794" s="62">
        <v>24000</v>
      </c>
      <c r="T794" s="151"/>
      <c r="U794" s="18"/>
      <c r="V794" s="237">
        <f t="shared" si="86"/>
        <v>1</v>
      </c>
    </row>
    <row r="795" spans="1:22" hidden="1">
      <c r="A795" s="104">
        <f t="shared" si="88"/>
        <v>772</v>
      </c>
      <c r="B795" s="101" t="s">
        <v>96</v>
      </c>
      <c r="C795" s="101" t="s">
        <v>114</v>
      </c>
      <c r="D795" s="101" t="s">
        <v>344</v>
      </c>
      <c r="E795" s="28">
        <f t="shared" si="85"/>
        <v>0</v>
      </c>
      <c r="F795" s="62"/>
      <c r="G795" s="62">
        <v>0</v>
      </c>
      <c r="H795" s="62"/>
      <c r="I795" s="62">
        <v>2586281.94</v>
      </c>
      <c r="J795" s="62">
        <v>0</v>
      </c>
      <c r="K795" s="62"/>
      <c r="L795" s="62"/>
      <c r="M795" s="62">
        <v>0</v>
      </c>
      <c r="N795" s="62">
        <v>0</v>
      </c>
      <c r="O795" s="62">
        <v>0</v>
      </c>
      <c r="P795" s="62">
        <v>0</v>
      </c>
      <c r="Q795" s="62">
        <v>0</v>
      </c>
      <c r="R795" s="62">
        <v>47208.44</v>
      </c>
      <c r="S795" s="62">
        <v>24000</v>
      </c>
      <c r="T795" s="151"/>
      <c r="U795" s="18"/>
      <c r="V795" s="237">
        <f t="shared" si="86"/>
        <v>1</v>
      </c>
    </row>
    <row r="796" spans="1:22" hidden="1">
      <c r="A796" s="104">
        <f t="shared" si="88"/>
        <v>773</v>
      </c>
      <c r="B796" s="101" t="s">
        <v>96</v>
      </c>
      <c r="C796" s="101" t="s">
        <v>185</v>
      </c>
      <c r="D796" s="101" t="s">
        <v>380</v>
      </c>
      <c r="E796" s="28">
        <f t="shared" si="85"/>
        <v>0</v>
      </c>
      <c r="F796" s="62"/>
      <c r="G796" s="62">
        <v>2451339</v>
      </c>
      <c r="H796" s="62"/>
      <c r="I796" s="62"/>
      <c r="J796" s="62">
        <v>498007.81</v>
      </c>
      <c r="K796" s="62"/>
      <c r="L796" s="62"/>
      <c r="M796" s="62">
        <v>0</v>
      </c>
      <c r="N796" s="62"/>
      <c r="O796" s="62">
        <v>0</v>
      </c>
      <c r="P796" s="62"/>
      <c r="Q796" s="62">
        <v>3978334.09</v>
      </c>
      <c r="R796" s="62">
        <v>192441.02</v>
      </c>
      <c r="S796" s="62">
        <v>24000</v>
      </c>
      <c r="T796" s="151"/>
      <c r="U796" s="18"/>
      <c r="V796" s="237">
        <f t="shared" si="86"/>
        <v>3</v>
      </c>
    </row>
    <row r="797" spans="1:22" hidden="1">
      <c r="A797" s="104">
        <f t="shared" si="88"/>
        <v>774</v>
      </c>
      <c r="B797" s="101" t="s">
        <v>96</v>
      </c>
      <c r="C797" s="101" t="s">
        <v>185</v>
      </c>
      <c r="D797" s="101" t="s">
        <v>386</v>
      </c>
      <c r="E797" s="28">
        <f t="shared" si="85"/>
        <v>0</v>
      </c>
      <c r="F797" s="62"/>
      <c r="G797" s="62">
        <v>1833049.74</v>
      </c>
      <c r="H797" s="62">
        <v>0</v>
      </c>
      <c r="I797" s="62">
        <v>0</v>
      </c>
      <c r="J797" s="62"/>
      <c r="K797" s="62"/>
      <c r="L797" s="62"/>
      <c r="M797" s="62">
        <v>0</v>
      </c>
      <c r="N797" s="62">
        <v>0</v>
      </c>
      <c r="O797" s="62">
        <v>0</v>
      </c>
      <c r="P797" s="62">
        <v>0</v>
      </c>
      <c r="Q797" s="62">
        <v>0</v>
      </c>
      <c r="R797" s="62">
        <v>43953.64</v>
      </c>
      <c r="S797" s="62">
        <v>24000</v>
      </c>
      <c r="T797" s="151"/>
      <c r="U797" s="18"/>
      <c r="V797" s="237">
        <f t="shared" si="86"/>
        <v>1</v>
      </c>
    </row>
    <row r="798" spans="1:22" hidden="1">
      <c r="A798" s="104">
        <f t="shared" si="88"/>
        <v>775</v>
      </c>
      <c r="B798" s="101">
        <f>B793+1</f>
        <v>279</v>
      </c>
      <c r="C798" s="101" t="s">
        <v>185</v>
      </c>
      <c r="D798" s="101" t="s">
        <v>698</v>
      </c>
      <c r="E798" s="28">
        <f t="shared" si="85"/>
        <v>0</v>
      </c>
      <c r="F798" s="62">
        <v>0</v>
      </c>
      <c r="G798" s="62">
        <v>0</v>
      </c>
      <c r="H798" s="62">
        <v>0</v>
      </c>
      <c r="I798" s="62">
        <v>0</v>
      </c>
      <c r="J798" s="62">
        <v>2147049.31</v>
      </c>
      <c r="K798" s="62"/>
      <c r="L798" s="62"/>
      <c r="M798" s="62">
        <v>0</v>
      </c>
      <c r="N798" s="62">
        <v>0</v>
      </c>
      <c r="O798" s="62">
        <v>0</v>
      </c>
      <c r="P798" s="62">
        <v>0</v>
      </c>
      <c r="Q798" s="62">
        <v>0</v>
      </c>
      <c r="R798" s="62">
        <v>91493.23</v>
      </c>
      <c r="S798" s="62">
        <v>24000</v>
      </c>
      <c r="T798" s="151"/>
      <c r="U798" s="18"/>
      <c r="V798" s="237">
        <f t="shared" si="86"/>
        <v>1</v>
      </c>
    </row>
    <row r="799" spans="1:22" hidden="1">
      <c r="A799" s="104">
        <f t="shared" si="88"/>
        <v>776</v>
      </c>
      <c r="B799" s="101">
        <f>B798+1</f>
        <v>280</v>
      </c>
      <c r="C799" s="101" t="s">
        <v>185</v>
      </c>
      <c r="D799" s="101" t="s">
        <v>699</v>
      </c>
      <c r="E799" s="28">
        <f t="shared" si="85"/>
        <v>0</v>
      </c>
      <c r="F799" s="62"/>
      <c r="G799" s="62"/>
      <c r="H799" s="62"/>
      <c r="I799" s="62"/>
      <c r="J799" s="62">
        <v>1410134.84</v>
      </c>
      <c r="K799" s="62"/>
      <c r="L799" s="62"/>
      <c r="M799" s="62"/>
      <c r="N799" s="62"/>
      <c r="O799" s="62"/>
      <c r="P799" s="62"/>
      <c r="Q799" s="62"/>
      <c r="R799" s="62"/>
      <c r="S799" s="62"/>
      <c r="T799" s="151"/>
      <c r="U799" s="18"/>
      <c r="V799" s="237">
        <f t="shared" si="86"/>
        <v>1</v>
      </c>
    </row>
    <row r="800" spans="1:22" hidden="1">
      <c r="A800" s="104">
        <f t="shared" si="88"/>
        <v>777</v>
      </c>
      <c r="B800" s="101">
        <f>+B799+1</f>
        <v>281</v>
      </c>
      <c r="C800" s="101" t="s">
        <v>185</v>
      </c>
      <c r="D800" s="101" t="s">
        <v>700</v>
      </c>
      <c r="E800" s="28">
        <f t="shared" ref="E800:E812" si="89">SUBTOTAL(9, F800:T800)</f>
        <v>0</v>
      </c>
      <c r="F800" s="62"/>
      <c r="G800" s="62"/>
      <c r="H800" s="62"/>
      <c r="I800" s="62"/>
      <c r="J800" s="62">
        <v>1382673.19</v>
      </c>
      <c r="K800" s="62"/>
      <c r="L800" s="62"/>
      <c r="M800" s="62"/>
      <c r="N800" s="62"/>
      <c r="O800" s="62"/>
      <c r="P800" s="62"/>
      <c r="Q800" s="62"/>
      <c r="R800" s="62"/>
      <c r="S800" s="62"/>
      <c r="T800" s="151"/>
      <c r="U800" s="18"/>
      <c r="V800" s="237">
        <f t="shared" ref="V800:V812" si="90">COUNTIF(F800:Q800, "&gt;0")</f>
        <v>1</v>
      </c>
    </row>
    <row r="801" spans="1:22" hidden="1">
      <c r="A801" s="104">
        <f t="shared" si="88"/>
        <v>778</v>
      </c>
      <c r="B801" s="101">
        <f>+B800+1</f>
        <v>282</v>
      </c>
      <c r="C801" s="101" t="s">
        <v>185</v>
      </c>
      <c r="D801" s="101" t="s">
        <v>701</v>
      </c>
      <c r="E801" s="28">
        <f t="shared" si="89"/>
        <v>0</v>
      </c>
      <c r="F801" s="62"/>
      <c r="G801" s="62"/>
      <c r="H801" s="62"/>
      <c r="I801" s="62"/>
      <c r="J801" s="62">
        <v>1405224.35</v>
      </c>
      <c r="K801" s="62"/>
      <c r="L801" s="62"/>
      <c r="M801" s="62"/>
      <c r="N801" s="62"/>
      <c r="O801" s="62"/>
      <c r="P801" s="62"/>
      <c r="Q801" s="62"/>
      <c r="R801" s="62"/>
      <c r="S801" s="62"/>
      <c r="T801" s="151"/>
      <c r="U801" s="18"/>
      <c r="V801" s="237">
        <f t="shared" si="90"/>
        <v>1</v>
      </c>
    </row>
    <row r="802" spans="1:22" hidden="1">
      <c r="A802" s="104">
        <f t="shared" si="88"/>
        <v>779</v>
      </c>
      <c r="B802" s="101" t="s">
        <v>96</v>
      </c>
      <c r="C802" s="101" t="s">
        <v>185</v>
      </c>
      <c r="D802" s="101" t="s">
        <v>436</v>
      </c>
      <c r="E802" s="28">
        <f t="shared" si="89"/>
        <v>0</v>
      </c>
      <c r="F802" s="62"/>
      <c r="G802" s="62"/>
      <c r="H802" s="62"/>
      <c r="I802" s="62"/>
      <c r="J802" s="62"/>
      <c r="K802" s="62"/>
      <c r="L802" s="62"/>
      <c r="M802" s="62">
        <v>0</v>
      </c>
      <c r="N802" s="62"/>
      <c r="O802" s="62">
        <v>0</v>
      </c>
      <c r="P802" s="62"/>
      <c r="Q802" s="62">
        <v>3959521.14</v>
      </c>
      <c r="R802" s="62">
        <v>130908.68</v>
      </c>
      <c r="S802" s="62">
        <v>12000</v>
      </c>
      <c r="T802" s="151"/>
      <c r="U802" s="18"/>
      <c r="V802" s="237">
        <f t="shared" si="90"/>
        <v>1</v>
      </c>
    </row>
    <row r="803" spans="1:22" hidden="1">
      <c r="A803" s="104">
        <f t="shared" si="88"/>
        <v>780</v>
      </c>
      <c r="B803" s="101" t="s">
        <v>96</v>
      </c>
      <c r="C803" s="101" t="s">
        <v>185</v>
      </c>
      <c r="D803" s="101" t="s">
        <v>440</v>
      </c>
      <c r="E803" s="28">
        <f t="shared" si="89"/>
        <v>0</v>
      </c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>
        <v>13577425.68</v>
      </c>
      <c r="Q803" s="62"/>
      <c r="R803" s="62">
        <v>129184.84</v>
      </c>
      <c r="S803" s="62">
        <v>24000</v>
      </c>
      <c r="T803" s="151"/>
      <c r="U803" s="18"/>
      <c r="V803" s="237">
        <f t="shared" si="90"/>
        <v>1</v>
      </c>
    </row>
    <row r="804" spans="1:22" hidden="1">
      <c r="A804" s="104">
        <f t="shared" si="88"/>
        <v>781</v>
      </c>
      <c r="B804" s="101" t="s">
        <v>96</v>
      </c>
      <c r="C804" s="101" t="s">
        <v>185</v>
      </c>
      <c r="D804" s="101" t="s">
        <v>285</v>
      </c>
      <c r="E804" s="28">
        <f t="shared" si="89"/>
        <v>0</v>
      </c>
      <c r="F804" s="62"/>
      <c r="G804" s="62">
        <v>2813313.39</v>
      </c>
      <c r="H804" s="62"/>
      <c r="I804" s="62"/>
      <c r="J804" s="62"/>
      <c r="K804" s="62"/>
      <c r="L804" s="62"/>
      <c r="M804" s="62">
        <v>0</v>
      </c>
      <c r="N804" s="62"/>
      <c r="O804" s="62">
        <v>0</v>
      </c>
      <c r="P804" s="62"/>
      <c r="Q804" s="62"/>
      <c r="R804" s="62">
        <v>50127.06</v>
      </c>
      <c r="S804" s="62">
        <v>24000</v>
      </c>
      <c r="T804" s="151"/>
      <c r="U804" s="18"/>
      <c r="V804" s="237">
        <f t="shared" si="90"/>
        <v>1</v>
      </c>
    </row>
    <row r="805" spans="1:22" hidden="1">
      <c r="A805" s="104">
        <f t="shared" si="88"/>
        <v>782</v>
      </c>
      <c r="B805" s="101" t="s">
        <v>96</v>
      </c>
      <c r="C805" s="101" t="s">
        <v>185</v>
      </c>
      <c r="D805" s="101" t="s">
        <v>459</v>
      </c>
      <c r="E805" s="28">
        <f t="shared" si="89"/>
        <v>0</v>
      </c>
      <c r="F805" s="62"/>
      <c r="G805" s="62"/>
      <c r="H805" s="62"/>
      <c r="I805" s="62">
        <v>4285819.8499999996</v>
      </c>
      <c r="J805" s="62"/>
      <c r="K805" s="62"/>
      <c r="L805" s="62"/>
      <c r="M805" s="62"/>
      <c r="N805" s="62"/>
      <c r="O805" s="62"/>
      <c r="P805" s="62"/>
      <c r="Q805" s="62"/>
      <c r="R805" s="62">
        <v>52819.22</v>
      </c>
      <c r="S805" s="62">
        <v>24000</v>
      </c>
      <c r="T805" s="151"/>
      <c r="U805" s="18"/>
      <c r="V805" s="237">
        <f t="shared" si="90"/>
        <v>1</v>
      </c>
    </row>
    <row r="806" spans="1:22" hidden="1">
      <c r="A806" s="104">
        <f t="shared" si="88"/>
        <v>783</v>
      </c>
      <c r="B806" s="101" t="s">
        <v>96</v>
      </c>
      <c r="C806" s="101" t="s">
        <v>185</v>
      </c>
      <c r="D806" s="101" t="s">
        <v>463</v>
      </c>
      <c r="E806" s="28">
        <f t="shared" si="89"/>
        <v>0</v>
      </c>
      <c r="F806" s="62"/>
      <c r="G806" s="62"/>
      <c r="H806" s="62"/>
      <c r="I806" s="62"/>
      <c r="J806" s="62">
        <v>1398827.38</v>
      </c>
      <c r="K806" s="62"/>
      <c r="L806" s="62"/>
      <c r="M806" s="62">
        <v>0</v>
      </c>
      <c r="N806" s="62"/>
      <c r="O806" s="62">
        <v>0</v>
      </c>
      <c r="P806" s="62"/>
      <c r="Q806" s="62"/>
      <c r="R806" s="62">
        <v>50394.239999999998</v>
      </c>
      <c r="S806" s="62">
        <v>24000</v>
      </c>
      <c r="T806" s="151"/>
      <c r="U806" s="18"/>
      <c r="V806" s="237">
        <f t="shared" si="90"/>
        <v>1</v>
      </c>
    </row>
    <row r="807" spans="1:22" hidden="1">
      <c r="A807" s="104">
        <f t="shared" si="88"/>
        <v>784</v>
      </c>
      <c r="B807" s="101" t="s">
        <v>96</v>
      </c>
      <c r="C807" s="101" t="s">
        <v>185</v>
      </c>
      <c r="D807" s="101" t="s">
        <v>471</v>
      </c>
      <c r="E807" s="28">
        <f t="shared" si="89"/>
        <v>0</v>
      </c>
      <c r="F807" s="62"/>
      <c r="G807" s="62"/>
      <c r="H807" s="62">
        <v>0</v>
      </c>
      <c r="I807" s="62">
        <v>0</v>
      </c>
      <c r="J807" s="62">
        <v>2013086.95</v>
      </c>
      <c r="K807" s="62"/>
      <c r="L807" s="62"/>
      <c r="M807" s="62">
        <v>0</v>
      </c>
      <c r="N807" s="62"/>
      <c r="O807" s="62">
        <v>0</v>
      </c>
      <c r="P807" s="62"/>
      <c r="Q807" s="62"/>
      <c r="R807" s="62">
        <v>85046.49</v>
      </c>
      <c r="S807" s="62">
        <v>24000</v>
      </c>
      <c r="T807" s="151"/>
      <c r="U807" s="18"/>
      <c r="V807" s="237">
        <f t="shared" si="90"/>
        <v>1</v>
      </c>
    </row>
    <row r="808" spans="1:22">
      <c r="A808" s="104">
        <f t="shared" si="88"/>
        <v>785</v>
      </c>
      <c r="B808" s="101" t="s">
        <v>96</v>
      </c>
      <c r="C808" s="101" t="s">
        <v>496</v>
      </c>
      <c r="D808" s="101" t="s">
        <v>655</v>
      </c>
      <c r="E808" s="306">
        <f t="shared" si="89"/>
        <v>2464274.3199999998</v>
      </c>
      <c r="F808" s="62"/>
      <c r="G808" s="62">
        <v>2442319.31</v>
      </c>
      <c r="H808" s="62"/>
      <c r="I808" s="62"/>
      <c r="J808" s="62">
        <v>0</v>
      </c>
      <c r="K808" s="62"/>
      <c r="L808" s="62"/>
      <c r="M808" s="62">
        <v>0</v>
      </c>
      <c r="N808" s="62">
        <v>0</v>
      </c>
      <c r="O808" s="62">
        <v>0</v>
      </c>
      <c r="P808" s="62">
        <v>0</v>
      </c>
      <c r="Q808" s="62">
        <v>0</v>
      </c>
      <c r="R808" s="62">
        <v>9955.01</v>
      </c>
      <c r="S808" s="62">
        <v>12000</v>
      </c>
      <c r="T808" s="151"/>
      <c r="U808" s="18"/>
      <c r="V808" s="237">
        <f t="shared" si="90"/>
        <v>1</v>
      </c>
    </row>
    <row r="809" spans="1:22" hidden="1">
      <c r="A809" s="104">
        <f t="shared" si="88"/>
        <v>786</v>
      </c>
      <c r="B809" s="101">
        <f>B801+1</f>
        <v>283</v>
      </c>
      <c r="C809" s="101" t="s">
        <v>355</v>
      </c>
      <c r="D809" s="101" t="s">
        <v>612</v>
      </c>
      <c r="E809" s="306">
        <f t="shared" si="89"/>
        <v>0</v>
      </c>
      <c r="F809" s="62">
        <v>0</v>
      </c>
      <c r="G809" s="62">
        <v>0</v>
      </c>
      <c r="H809" s="62"/>
      <c r="I809" s="62">
        <v>0</v>
      </c>
      <c r="J809" s="62">
        <v>0</v>
      </c>
      <c r="K809" s="62"/>
      <c r="L809" s="62"/>
      <c r="M809" s="62">
        <v>0</v>
      </c>
      <c r="N809" s="62">
        <v>0</v>
      </c>
      <c r="O809" s="62">
        <v>1041448.46</v>
      </c>
      <c r="P809" s="62">
        <v>0</v>
      </c>
      <c r="Q809" s="62"/>
      <c r="R809" s="62">
        <v>88360.72</v>
      </c>
      <c r="S809" s="62">
        <v>24000</v>
      </c>
      <c r="T809" s="151"/>
      <c r="U809" s="18"/>
      <c r="V809" s="237">
        <f t="shared" si="90"/>
        <v>1</v>
      </c>
    </row>
    <row r="810" spans="1:22" hidden="1">
      <c r="A810" s="104">
        <f t="shared" si="88"/>
        <v>787</v>
      </c>
      <c r="B810" s="101" t="s">
        <v>96</v>
      </c>
      <c r="C810" s="101" t="s">
        <v>355</v>
      </c>
      <c r="D810" s="101" t="s">
        <v>524</v>
      </c>
      <c r="E810" s="306">
        <f t="shared" si="89"/>
        <v>0</v>
      </c>
      <c r="F810" s="62">
        <v>0</v>
      </c>
      <c r="G810" s="62">
        <v>0</v>
      </c>
      <c r="H810" s="62"/>
      <c r="I810" s="62">
        <v>0</v>
      </c>
      <c r="J810" s="62">
        <v>0</v>
      </c>
      <c r="K810" s="62"/>
      <c r="L810" s="62"/>
      <c r="M810" s="62">
        <v>0</v>
      </c>
      <c r="N810" s="62">
        <v>0</v>
      </c>
      <c r="O810" s="62">
        <v>1047206.53</v>
      </c>
      <c r="P810" s="62">
        <v>0</v>
      </c>
      <c r="Q810" s="62"/>
      <c r="R810" s="62">
        <v>88318.88</v>
      </c>
      <c r="S810" s="62">
        <v>24000</v>
      </c>
      <c r="T810" s="151"/>
      <c r="U810" s="18"/>
      <c r="V810" s="237">
        <f t="shared" si="90"/>
        <v>1</v>
      </c>
    </row>
    <row r="811" spans="1:22" hidden="1">
      <c r="A811" s="104">
        <f t="shared" si="88"/>
        <v>788</v>
      </c>
      <c r="B811" s="101">
        <f>+B809+1</f>
        <v>284</v>
      </c>
      <c r="C811" s="101" t="s">
        <v>355</v>
      </c>
      <c r="D811" s="101" t="s">
        <v>357</v>
      </c>
      <c r="E811" s="306">
        <f t="shared" si="89"/>
        <v>0</v>
      </c>
      <c r="F811" s="62"/>
      <c r="G811" s="62"/>
      <c r="H811" s="62">
        <v>2540593.1800000002</v>
      </c>
      <c r="I811" s="62">
        <v>0</v>
      </c>
      <c r="J811" s="62">
        <v>0</v>
      </c>
      <c r="K811" s="62"/>
      <c r="L811" s="62"/>
      <c r="M811" s="62">
        <v>0</v>
      </c>
      <c r="N811" s="62">
        <v>0</v>
      </c>
      <c r="O811" s="62">
        <v>0</v>
      </c>
      <c r="P811" s="62">
        <v>0</v>
      </c>
      <c r="Q811" s="62">
        <v>0</v>
      </c>
      <c r="R811" s="62">
        <v>34787.89</v>
      </c>
      <c r="S811" s="62">
        <v>24000</v>
      </c>
      <c r="T811" s="151"/>
      <c r="U811" s="18"/>
      <c r="V811" s="237">
        <f t="shared" si="90"/>
        <v>1</v>
      </c>
    </row>
    <row r="812" spans="1:22" hidden="1">
      <c r="A812" s="104">
        <f t="shared" si="88"/>
        <v>789</v>
      </c>
      <c r="B812" s="101" t="s">
        <v>96</v>
      </c>
      <c r="C812" s="101" t="s">
        <v>355</v>
      </c>
      <c r="D812" s="101" t="s">
        <v>538</v>
      </c>
      <c r="E812" s="28">
        <f t="shared" si="89"/>
        <v>0</v>
      </c>
      <c r="F812" s="62"/>
      <c r="G812" s="62"/>
      <c r="H812" s="62"/>
      <c r="I812" s="62">
        <v>1002735.49</v>
      </c>
      <c r="J812" s="62">
        <v>0</v>
      </c>
      <c r="K812" s="62"/>
      <c r="L812" s="62"/>
      <c r="M812" s="62">
        <v>0</v>
      </c>
      <c r="N812" s="62"/>
      <c r="O812" s="62">
        <v>0</v>
      </c>
      <c r="P812" s="62"/>
      <c r="Q812" s="62"/>
      <c r="R812" s="62">
        <v>11916.11</v>
      </c>
      <c r="S812" s="62">
        <v>24000</v>
      </c>
      <c r="T812" s="151"/>
      <c r="U812" s="18"/>
      <c r="V812" s="237">
        <f t="shared" si="90"/>
        <v>1</v>
      </c>
    </row>
    <row r="813" spans="1:22" hidden="1">
      <c r="A813" s="303"/>
      <c r="B813" s="224"/>
      <c r="C813" s="304"/>
      <c r="D813" s="133" t="s">
        <v>721</v>
      </c>
      <c r="E813" s="233">
        <f>SUM(E814:E832)</f>
        <v>0</v>
      </c>
      <c r="F813" s="233">
        <f t="shared" ref="F813:T813" si="91">SUM(F815:F828)</f>
        <v>32127092.420000002</v>
      </c>
      <c r="G813" s="233">
        <f t="shared" si="91"/>
        <v>15323179.09</v>
      </c>
      <c r="H813" s="233">
        <f t="shared" si="91"/>
        <v>7448558.8900000006</v>
      </c>
      <c r="I813" s="233">
        <f t="shared" si="91"/>
        <v>2208309.0099999998</v>
      </c>
      <c r="J813" s="233">
        <f t="shared" si="91"/>
        <v>0</v>
      </c>
      <c r="K813" s="233">
        <f t="shared" si="91"/>
        <v>0</v>
      </c>
      <c r="L813" s="233">
        <f t="shared" si="91"/>
        <v>0</v>
      </c>
      <c r="M813" s="233">
        <f t="shared" si="91"/>
        <v>61325906.669999994</v>
      </c>
      <c r="N813" s="233">
        <f t="shared" si="91"/>
        <v>4256351.5</v>
      </c>
      <c r="O813" s="233">
        <f t="shared" si="91"/>
        <v>2000973</v>
      </c>
      <c r="P813" s="233">
        <f t="shared" si="91"/>
        <v>7661130.5399999991</v>
      </c>
      <c r="Q813" s="233">
        <f t="shared" si="91"/>
        <v>0</v>
      </c>
      <c r="R813" s="233">
        <f t="shared" si="91"/>
        <v>949584.48</v>
      </c>
      <c r="S813" s="233">
        <f t="shared" si="91"/>
        <v>116147.45</v>
      </c>
      <c r="T813" s="233">
        <f t="shared" si="91"/>
        <v>0</v>
      </c>
      <c r="V813" s="149"/>
    </row>
    <row r="814" spans="1:22" hidden="1">
      <c r="A814" s="12">
        <f>A812+1</f>
        <v>790</v>
      </c>
      <c r="B814" s="12">
        <f>B811+1</f>
        <v>285</v>
      </c>
      <c r="C814" s="101" t="s">
        <v>702</v>
      </c>
      <c r="D814" s="101" t="s">
        <v>724</v>
      </c>
      <c r="E814" s="146">
        <f t="shared" ref="E814:E832" si="92">SUBTOTAL(9, F814:T814)</f>
        <v>0</v>
      </c>
      <c r="F814" s="218"/>
      <c r="G814" s="218"/>
      <c r="H814" s="218"/>
      <c r="I814" s="218"/>
      <c r="J814" s="218"/>
      <c r="K814" s="218"/>
      <c r="L814" s="218"/>
      <c r="M814" s="218"/>
      <c r="N814" s="218"/>
      <c r="O814" s="218"/>
      <c r="P814" s="177">
        <v>1500250</v>
      </c>
      <c r="Q814" s="218"/>
      <c r="R814" s="218"/>
      <c r="S814" s="218"/>
      <c r="T814" s="261"/>
      <c r="V814" s="149"/>
    </row>
    <row r="815" spans="1:22" hidden="1">
      <c r="A815" s="12">
        <f t="shared" ref="A815:A832" si="93">A814+1</f>
        <v>791</v>
      </c>
      <c r="B815" s="12">
        <f t="shared" ref="B815:B832" si="94">B814+1</f>
        <v>286</v>
      </c>
      <c r="C815" s="101" t="s">
        <v>702</v>
      </c>
      <c r="D815" s="12" t="s">
        <v>703</v>
      </c>
      <c r="E815" s="146">
        <f t="shared" si="92"/>
        <v>0</v>
      </c>
      <c r="F815" s="62">
        <v>14432823.300000001</v>
      </c>
      <c r="G815" s="30">
        <v>7108989.1500000004</v>
      </c>
      <c r="H815" s="30">
        <v>4341482.28</v>
      </c>
      <c r="I815" s="30">
        <v>0</v>
      </c>
      <c r="J815" s="30">
        <v>0</v>
      </c>
      <c r="K815" s="30">
        <v>0</v>
      </c>
      <c r="L815" s="62"/>
      <c r="M815" s="30">
        <v>0</v>
      </c>
      <c r="N815" s="30">
        <v>0</v>
      </c>
      <c r="O815" s="30">
        <v>0</v>
      </c>
      <c r="P815" s="30">
        <v>0</v>
      </c>
      <c r="Q815" s="30">
        <v>0</v>
      </c>
      <c r="R815" s="30"/>
      <c r="S815" s="30"/>
      <c r="T815" s="148"/>
      <c r="V815" s="149">
        <f>COUNTIF(F815:Q815, "&gt;0")</f>
        <v>3</v>
      </c>
    </row>
    <row r="816" spans="1:22" hidden="1">
      <c r="A816" s="12">
        <f t="shared" si="93"/>
        <v>792</v>
      </c>
      <c r="B816" s="12">
        <f t="shared" si="94"/>
        <v>287</v>
      </c>
      <c r="C816" s="101" t="s">
        <v>120</v>
      </c>
      <c r="D816" s="12" t="s">
        <v>704</v>
      </c>
      <c r="E816" s="146">
        <f t="shared" si="92"/>
        <v>0</v>
      </c>
      <c r="F816" s="62">
        <v>0</v>
      </c>
      <c r="G816" s="30">
        <v>0</v>
      </c>
      <c r="H816" s="30"/>
      <c r="I816" s="30">
        <v>0</v>
      </c>
      <c r="J816" s="30">
        <v>0</v>
      </c>
      <c r="K816" s="30"/>
      <c r="L816" s="62"/>
      <c r="M816" s="30">
        <v>0</v>
      </c>
      <c r="N816" s="30">
        <v>0</v>
      </c>
      <c r="O816" s="30">
        <v>2000973</v>
      </c>
      <c r="P816" s="30">
        <v>0</v>
      </c>
      <c r="Q816" s="30">
        <v>0</v>
      </c>
      <c r="R816" s="30"/>
      <c r="S816" s="30"/>
      <c r="T816" s="156"/>
      <c r="V816" s="149">
        <f>COUNTIF(F816:Q816, "&gt;0")</f>
        <v>1</v>
      </c>
    </row>
    <row r="817" spans="1:68" hidden="1">
      <c r="A817" s="12">
        <f t="shared" si="93"/>
        <v>793</v>
      </c>
      <c r="B817" s="12">
        <f t="shared" si="94"/>
        <v>288</v>
      </c>
      <c r="C817" s="101" t="s">
        <v>120</v>
      </c>
      <c r="D817" s="12" t="s">
        <v>705</v>
      </c>
      <c r="E817" s="146">
        <f t="shared" si="92"/>
        <v>0</v>
      </c>
      <c r="F817" s="62"/>
      <c r="G817" s="30"/>
      <c r="H817" s="30">
        <v>1963777.32</v>
      </c>
      <c r="I817" s="30"/>
      <c r="J817" s="30"/>
      <c r="K817" s="30"/>
      <c r="L817" s="62"/>
      <c r="M817" s="30"/>
      <c r="N817" s="30"/>
      <c r="O817" s="30"/>
      <c r="P817" s="30"/>
      <c r="Q817" s="30"/>
      <c r="R817" s="30"/>
      <c r="S817" s="30"/>
      <c r="T817" s="156"/>
      <c r="V817" s="149"/>
    </row>
    <row r="818" spans="1:68" hidden="1">
      <c r="A818" s="12">
        <f t="shared" si="93"/>
        <v>794</v>
      </c>
      <c r="B818" s="12">
        <f t="shared" si="94"/>
        <v>289</v>
      </c>
      <c r="C818" s="101" t="s">
        <v>120</v>
      </c>
      <c r="D818" s="12" t="s">
        <v>706</v>
      </c>
      <c r="E818" s="146">
        <f t="shared" si="92"/>
        <v>0</v>
      </c>
      <c r="F818" s="62"/>
      <c r="G818" s="30">
        <v>0</v>
      </c>
      <c r="H818" s="30">
        <v>1143299.29</v>
      </c>
      <c r="I818" s="30">
        <v>0</v>
      </c>
      <c r="J818" s="30">
        <v>0</v>
      </c>
      <c r="K818" s="30"/>
      <c r="L818" s="62"/>
      <c r="M818" s="30">
        <v>0</v>
      </c>
      <c r="N818" s="30">
        <v>0</v>
      </c>
      <c r="O818" s="30">
        <v>0</v>
      </c>
      <c r="P818" s="30">
        <v>0</v>
      </c>
      <c r="Q818" s="30">
        <v>0</v>
      </c>
      <c r="R818" s="30"/>
      <c r="S818" s="30"/>
      <c r="T818" s="156"/>
      <c r="V818" s="149">
        <f t="shared" ref="V818:V823" si="95">COUNTIF(F818:Q818, "&gt;0")</f>
        <v>1</v>
      </c>
    </row>
    <row r="819" spans="1:68" hidden="1">
      <c r="A819" s="12">
        <f t="shared" si="93"/>
        <v>795</v>
      </c>
      <c r="B819" s="12">
        <f t="shared" si="94"/>
        <v>290</v>
      </c>
      <c r="C819" s="101" t="s">
        <v>120</v>
      </c>
      <c r="D819" s="12" t="s">
        <v>707</v>
      </c>
      <c r="E819" s="146">
        <f t="shared" si="92"/>
        <v>0</v>
      </c>
      <c r="F819" s="62"/>
      <c r="G819" s="30"/>
      <c r="H819" s="30"/>
      <c r="I819" s="30"/>
      <c r="J819" s="30"/>
      <c r="K819" s="30"/>
      <c r="L819" s="62"/>
      <c r="M819" s="30">
        <v>17956800</v>
      </c>
      <c r="N819" s="30"/>
      <c r="O819" s="30"/>
      <c r="P819" s="30"/>
      <c r="Q819" s="30"/>
      <c r="R819" s="30"/>
      <c r="S819" s="30"/>
      <c r="T819" s="156"/>
      <c r="V819" s="149">
        <f t="shared" si="95"/>
        <v>1</v>
      </c>
    </row>
    <row r="820" spans="1:68" hidden="1">
      <c r="A820" s="12">
        <f t="shared" si="93"/>
        <v>796</v>
      </c>
      <c r="B820" s="12">
        <f t="shared" si="94"/>
        <v>291</v>
      </c>
      <c r="C820" s="101" t="s">
        <v>120</v>
      </c>
      <c r="D820" s="12" t="s">
        <v>708</v>
      </c>
      <c r="E820" s="146">
        <f t="shared" si="92"/>
        <v>0</v>
      </c>
      <c r="F820" s="62"/>
      <c r="G820" s="30">
        <v>8214189.9400000004</v>
      </c>
      <c r="H820" s="30"/>
      <c r="I820" s="30">
        <v>2208309.0099999998</v>
      </c>
      <c r="J820" s="30"/>
      <c r="K820" s="30"/>
      <c r="L820" s="62"/>
      <c r="M820" s="30">
        <v>17956800</v>
      </c>
      <c r="N820" s="30"/>
      <c r="O820" s="30"/>
      <c r="P820" s="30"/>
      <c r="Q820" s="30"/>
      <c r="R820" s="30"/>
      <c r="S820" s="30"/>
      <c r="T820" s="156"/>
      <c r="V820" s="149">
        <f t="shared" si="95"/>
        <v>3</v>
      </c>
    </row>
    <row r="821" spans="1:68" hidden="1">
      <c r="A821" s="12">
        <f t="shared" si="93"/>
        <v>797</v>
      </c>
      <c r="B821" s="12">
        <f t="shared" si="94"/>
        <v>292</v>
      </c>
      <c r="C821" s="101" t="s">
        <v>120</v>
      </c>
      <c r="D821" s="12" t="s">
        <v>710</v>
      </c>
      <c r="E821" s="146">
        <f t="shared" si="92"/>
        <v>0</v>
      </c>
      <c r="F821" s="62"/>
      <c r="G821" s="30"/>
      <c r="H821" s="30"/>
      <c r="I821" s="30"/>
      <c r="J821" s="30"/>
      <c r="K821" s="30"/>
      <c r="L821" s="62"/>
      <c r="M821" s="146">
        <v>2704312.41</v>
      </c>
      <c r="N821" s="30">
        <v>4256351.5</v>
      </c>
      <c r="O821" s="30"/>
      <c r="P821" s="30"/>
      <c r="Q821" s="30"/>
      <c r="R821" s="146">
        <v>110716.57</v>
      </c>
      <c r="S821" s="146">
        <v>14147.45</v>
      </c>
      <c r="T821" s="148"/>
      <c r="V821" s="149">
        <f t="shared" si="95"/>
        <v>2</v>
      </c>
    </row>
    <row r="822" spans="1:68" hidden="1">
      <c r="A822" s="12">
        <f t="shared" si="93"/>
        <v>798</v>
      </c>
      <c r="B822" s="12">
        <f t="shared" si="94"/>
        <v>293</v>
      </c>
      <c r="C822" s="101" t="s">
        <v>120</v>
      </c>
      <c r="D822" s="12" t="s">
        <v>711</v>
      </c>
      <c r="E822" s="146">
        <f t="shared" si="92"/>
        <v>0</v>
      </c>
      <c r="F822" s="62"/>
      <c r="G822" s="30"/>
      <c r="H822" s="30"/>
      <c r="I822" s="30"/>
      <c r="J822" s="30"/>
      <c r="K822" s="30"/>
      <c r="L822" s="62"/>
      <c r="M822" s="30">
        <v>3388344.65</v>
      </c>
      <c r="N822" s="30"/>
      <c r="O822" s="30"/>
      <c r="P822" s="30"/>
      <c r="Q822" s="30"/>
      <c r="R822" s="30">
        <v>104919.12</v>
      </c>
      <c r="S822" s="30">
        <v>24000</v>
      </c>
      <c r="T822" s="148"/>
      <c r="V822" s="149">
        <f t="shared" si="95"/>
        <v>1</v>
      </c>
    </row>
    <row r="823" spans="1:68" hidden="1">
      <c r="A823" s="12">
        <f t="shared" si="93"/>
        <v>799</v>
      </c>
      <c r="B823" s="12">
        <f t="shared" si="94"/>
        <v>294</v>
      </c>
      <c r="C823" s="101" t="s">
        <v>120</v>
      </c>
      <c r="D823" s="12" t="s">
        <v>712</v>
      </c>
      <c r="E823" s="146">
        <f t="shared" si="92"/>
        <v>0</v>
      </c>
      <c r="F823" s="62"/>
      <c r="G823" s="30"/>
      <c r="H823" s="30"/>
      <c r="I823" s="30"/>
      <c r="J823" s="30">
        <v>0</v>
      </c>
      <c r="K823" s="30"/>
      <c r="L823" s="62"/>
      <c r="M823" s="30">
        <v>0</v>
      </c>
      <c r="N823" s="30">
        <v>0</v>
      </c>
      <c r="O823" s="30"/>
      <c r="P823" s="30">
        <v>2567769.61</v>
      </c>
      <c r="Q823" s="30">
        <v>0</v>
      </c>
      <c r="R823" s="30"/>
      <c r="S823" s="30"/>
      <c r="T823" s="156"/>
      <c r="V823" s="149">
        <f t="shared" si="95"/>
        <v>1</v>
      </c>
    </row>
    <row r="824" spans="1:68" hidden="1">
      <c r="A824" s="12">
        <f t="shared" si="93"/>
        <v>800</v>
      </c>
      <c r="B824" s="12">
        <f t="shared" si="94"/>
        <v>295</v>
      </c>
      <c r="C824" s="101" t="s">
        <v>120</v>
      </c>
      <c r="D824" s="12" t="s">
        <v>713</v>
      </c>
      <c r="E824" s="146">
        <f t="shared" si="92"/>
        <v>0</v>
      </c>
      <c r="F824" s="62"/>
      <c r="G824" s="30"/>
      <c r="H824" s="30"/>
      <c r="I824" s="30"/>
      <c r="J824" s="30"/>
      <c r="K824" s="30"/>
      <c r="L824" s="62"/>
      <c r="M824" s="30"/>
      <c r="N824" s="30"/>
      <c r="O824" s="30"/>
      <c r="P824" s="30">
        <v>5093360.93</v>
      </c>
      <c r="Q824" s="30"/>
      <c r="R824" s="30"/>
      <c r="S824" s="30"/>
      <c r="T824" s="156"/>
      <c r="V824" s="149"/>
    </row>
    <row r="825" spans="1:68" hidden="1">
      <c r="A825" s="12">
        <f t="shared" si="93"/>
        <v>801</v>
      </c>
      <c r="B825" s="12">
        <f t="shared" si="94"/>
        <v>296</v>
      </c>
      <c r="C825" s="101" t="s">
        <v>714</v>
      </c>
      <c r="D825" s="12" t="s">
        <v>715</v>
      </c>
      <c r="E825" s="146">
        <f t="shared" si="92"/>
        <v>0</v>
      </c>
      <c r="F825" s="62"/>
      <c r="G825" s="30"/>
      <c r="H825" s="30"/>
      <c r="I825" s="30"/>
      <c r="J825" s="30"/>
      <c r="K825" s="30"/>
      <c r="L825" s="62"/>
      <c r="M825" s="30">
        <v>9062814.5999999996</v>
      </c>
      <c r="N825" s="30"/>
      <c r="O825" s="30"/>
      <c r="P825" s="30"/>
      <c r="Q825" s="30"/>
      <c r="R825" s="30">
        <v>489000</v>
      </c>
      <c r="S825" s="30">
        <v>30000</v>
      </c>
      <c r="T825" s="148"/>
      <c r="V825" s="149">
        <f>COUNTIF(F825:Q825, "&gt;0")</f>
        <v>1</v>
      </c>
    </row>
    <row r="826" spans="1:68" hidden="1">
      <c r="A826" s="12">
        <f t="shared" si="93"/>
        <v>802</v>
      </c>
      <c r="B826" s="12">
        <f t="shared" si="94"/>
        <v>297</v>
      </c>
      <c r="C826" s="101" t="s">
        <v>714</v>
      </c>
      <c r="D826" s="12" t="s">
        <v>717</v>
      </c>
      <c r="E826" s="146">
        <f t="shared" si="92"/>
        <v>0</v>
      </c>
      <c r="F826" s="62"/>
      <c r="G826" s="30"/>
      <c r="H826" s="30"/>
      <c r="I826" s="30"/>
      <c r="J826" s="30"/>
      <c r="K826" s="30"/>
      <c r="L826" s="62"/>
      <c r="M826" s="30">
        <v>3388344.65</v>
      </c>
      <c r="N826" s="30"/>
      <c r="O826" s="30"/>
      <c r="P826" s="30"/>
      <c r="Q826" s="30"/>
      <c r="R826" s="30">
        <v>104919.12</v>
      </c>
      <c r="S826" s="30">
        <v>24000</v>
      </c>
      <c r="T826" s="148"/>
      <c r="V826" s="149">
        <f>COUNTIF(F826:Q826, "&gt;0")</f>
        <v>1</v>
      </c>
    </row>
    <row r="827" spans="1:68" hidden="1">
      <c r="A827" s="12">
        <f t="shared" si="93"/>
        <v>803</v>
      </c>
      <c r="B827" s="12">
        <f t="shared" si="94"/>
        <v>298</v>
      </c>
      <c r="C827" s="101" t="s">
        <v>714</v>
      </c>
      <c r="D827" s="12" t="s">
        <v>718</v>
      </c>
      <c r="E827" s="146">
        <f t="shared" si="92"/>
        <v>0</v>
      </c>
      <c r="F827" s="62"/>
      <c r="G827" s="30"/>
      <c r="H827" s="30"/>
      <c r="I827" s="30"/>
      <c r="J827" s="30"/>
      <c r="K827" s="30"/>
      <c r="L827" s="62"/>
      <c r="M827" s="30">
        <v>6868490.3600000003</v>
      </c>
      <c r="N827" s="30"/>
      <c r="O827" s="30"/>
      <c r="P827" s="30"/>
      <c r="Q827" s="30"/>
      <c r="R827" s="30">
        <v>140029.67000000001</v>
      </c>
      <c r="S827" s="30">
        <v>24000</v>
      </c>
      <c r="T827" s="148"/>
      <c r="V827" s="149">
        <f>COUNTIF(F827:Q827, "&gt;0")</f>
        <v>1</v>
      </c>
    </row>
    <row r="828" spans="1:68" hidden="1">
      <c r="A828" s="12">
        <f t="shared" si="93"/>
        <v>804</v>
      </c>
      <c r="B828" s="12">
        <f t="shared" si="94"/>
        <v>299</v>
      </c>
      <c r="C828" s="101" t="s">
        <v>120</v>
      </c>
      <c r="D828" s="12" t="s">
        <v>184</v>
      </c>
      <c r="E828" s="146">
        <f t="shared" si="92"/>
        <v>0</v>
      </c>
      <c r="F828" s="62">
        <v>17694269.120000001</v>
      </c>
      <c r="G828" s="30"/>
      <c r="H828" s="30"/>
      <c r="I828" s="30"/>
      <c r="J828" s="30"/>
      <c r="K828" s="30"/>
      <c r="L828" s="62"/>
      <c r="M828" s="30"/>
      <c r="N828" s="30"/>
      <c r="O828" s="30"/>
      <c r="P828" s="30"/>
      <c r="Q828" s="30"/>
      <c r="R828" s="30"/>
      <c r="S828" s="30"/>
      <c r="T828" s="156"/>
      <c r="U828"/>
      <c r="V828" s="149">
        <f>COUNTIF(F828:Q828, "&gt;0")</f>
        <v>1</v>
      </c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</row>
    <row r="829" spans="1:68" hidden="1">
      <c r="A829" s="12">
        <f t="shared" si="93"/>
        <v>805</v>
      </c>
      <c r="B829" s="12">
        <f t="shared" si="94"/>
        <v>300</v>
      </c>
      <c r="C829" s="101" t="s">
        <v>719</v>
      </c>
      <c r="D829" s="12" t="s">
        <v>720</v>
      </c>
      <c r="E829" s="146">
        <f t="shared" si="92"/>
        <v>0</v>
      </c>
      <c r="F829" s="169"/>
      <c r="G829" s="173"/>
      <c r="H829" s="173"/>
      <c r="I829" s="173"/>
      <c r="J829" s="173"/>
      <c r="K829" s="173"/>
      <c r="L829" s="169"/>
      <c r="M829" s="173"/>
      <c r="N829" s="173">
        <v>1200000</v>
      </c>
      <c r="O829" s="173"/>
      <c r="P829" s="173"/>
      <c r="Q829" s="173"/>
      <c r="R829" s="173"/>
      <c r="S829" s="173"/>
      <c r="T829" s="156"/>
      <c r="U829"/>
      <c r="V829" s="14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</row>
    <row r="830" spans="1:68" hidden="1">
      <c r="A830" s="12">
        <f t="shared" si="93"/>
        <v>806</v>
      </c>
      <c r="B830" s="12">
        <f t="shared" si="94"/>
        <v>301</v>
      </c>
      <c r="C830" s="101" t="s">
        <v>719</v>
      </c>
      <c r="D830" s="12" t="s">
        <v>722</v>
      </c>
      <c r="E830" s="146">
        <f t="shared" si="92"/>
        <v>0</v>
      </c>
      <c r="F830" s="169"/>
      <c r="G830" s="173"/>
      <c r="H830" s="173"/>
      <c r="I830" s="173"/>
      <c r="J830" s="173"/>
      <c r="K830" s="173"/>
      <c r="L830" s="169"/>
      <c r="M830" s="173"/>
      <c r="N830" s="173"/>
      <c r="O830" s="173"/>
      <c r="P830" s="173"/>
      <c r="Q830" s="173">
        <v>707332</v>
      </c>
      <c r="R830" s="173"/>
      <c r="S830" s="173"/>
      <c r="T830" s="156"/>
      <c r="U830"/>
      <c r="V830" s="149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</row>
    <row r="831" spans="1:68" hidden="1">
      <c r="A831" s="12">
        <f t="shared" si="93"/>
        <v>807</v>
      </c>
      <c r="B831" s="12">
        <f t="shared" si="94"/>
        <v>302</v>
      </c>
      <c r="C831" s="101" t="s">
        <v>719</v>
      </c>
      <c r="D831" s="12" t="s">
        <v>723</v>
      </c>
      <c r="E831" s="146">
        <f t="shared" si="92"/>
        <v>0</v>
      </c>
      <c r="F831" s="169"/>
      <c r="G831" s="173"/>
      <c r="H831" s="173"/>
      <c r="I831" s="173"/>
      <c r="J831" s="173"/>
      <c r="K831" s="173"/>
      <c r="L831" s="169"/>
      <c r="M831" s="173"/>
      <c r="N831" s="173">
        <v>418182</v>
      </c>
      <c r="O831" s="173"/>
      <c r="P831" s="173"/>
      <c r="Q831" s="173"/>
      <c r="R831" s="173"/>
      <c r="S831" s="173"/>
      <c r="T831" s="156"/>
      <c r="U831"/>
      <c r="V831" s="149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</row>
    <row r="832" spans="1:68" hidden="1">
      <c r="A832" s="12">
        <f t="shared" si="93"/>
        <v>808</v>
      </c>
      <c r="B832" s="12">
        <f t="shared" si="94"/>
        <v>303</v>
      </c>
      <c r="C832" s="101" t="s">
        <v>719</v>
      </c>
      <c r="D832" s="12" t="s">
        <v>725</v>
      </c>
      <c r="E832" s="146">
        <f t="shared" si="92"/>
        <v>0</v>
      </c>
      <c r="F832" s="169"/>
      <c r="G832" s="173"/>
      <c r="H832" s="173"/>
      <c r="I832" s="173"/>
      <c r="J832" s="173"/>
      <c r="K832" s="173"/>
      <c r="L832" s="169"/>
      <c r="M832" s="173"/>
      <c r="N832" s="173"/>
      <c r="O832" s="173"/>
      <c r="P832" s="259">
        <v>1973422</v>
      </c>
      <c r="Q832" s="173"/>
      <c r="R832" s="173"/>
      <c r="S832" s="173"/>
      <c r="T832" s="156"/>
      <c r="U832"/>
      <c r="V832" s="149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</row>
    <row r="833" spans="1:20" ht="29.45" hidden="1" customHeight="1">
      <c r="A833" s="223"/>
      <c r="B833" s="224"/>
      <c r="C833" s="224"/>
      <c r="D833" s="317" t="s">
        <v>759</v>
      </c>
      <c r="E833" s="233">
        <f>SUM(E834:E859)</f>
        <v>0</v>
      </c>
      <c r="F833" s="233">
        <f t="shared" ref="F833:O833" si="96">SUM(F849:F859)</f>
        <v>0</v>
      </c>
      <c r="G833" s="233">
        <f t="shared" si="96"/>
        <v>0</v>
      </c>
      <c r="H833" s="233">
        <f t="shared" si="96"/>
        <v>0</v>
      </c>
      <c r="I833" s="233">
        <f t="shared" si="96"/>
        <v>0</v>
      </c>
      <c r="J833" s="233">
        <f t="shared" si="96"/>
        <v>0</v>
      </c>
      <c r="K833" s="233">
        <f t="shared" si="96"/>
        <v>0</v>
      </c>
      <c r="L833" s="233">
        <f t="shared" si="96"/>
        <v>0</v>
      </c>
      <c r="M833" s="233">
        <f t="shared" si="96"/>
        <v>0</v>
      </c>
      <c r="N833" s="233">
        <f t="shared" si="96"/>
        <v>0</v>
      </c>
      <c r="O833" s="233">
        <f t="shared" si="96"/>
        <v>0</v>
      </c>
      <c r="P833" s="233">
        <f>SUM(P834:P859)</f>
        <v>104719369.98999999</v>
      </c>
      <c r="Q833" s="233">
        <f>SUM(Q849:Q859)</f>
        <v>0</v>
      </c>
      <c r="R833" s="233">
        <f>SUM(R849:R859)</f>
        <v>0</v>
      </c>
      <c r="S833" s="233">
        <f>SUM(S849:S859)</f>
        <v>0</v>
      </c>
      <c r="T833" s="266">
        <f>SUM(T849:T859)</f>
        <v>0</v>
      </c>
    </row>
    <row r="834" spans="1:20" hidden="1">
      <c r="A834" s="10">
        <f>A832+1</f>
        <v>809</v>
      </c>
      <c r="B834" s="12">
        <f>B832+1</f>
        <v>304</v>
      </c>
      <c r="C834" s="12" t="s">
        <v>185</v>
      </c>
      <c r="D834" s="12" t="s">
        <v>212</v>
      </c>
      <c r="E834" s="177">
        <f t="shared" ref="E834:E859" si="97">SUBTOTAL(9, F834:T834)</f>
        <v>0</v>
      </c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30">
        <v>1920799.11</v>
      </c>
      <c r="Q834" s="62"/>
      <c r="R834" s="62"/>
      <c r="S834" s="62"/>
      <c r="T834" s="151"/>
    </row>
    <row r="835" spans="1:20" hidden="1">
      <c r="A835" s="10">
        <f>A834+1</f>
        <v>810</v>
      </c>
      <c r="B835" s="12">
        <f>+B834+1</f>
        <v>305</v>
      </c>
      <c r="C835" s="12" t="s">
        <v>185</v>
      </c>
      <c r="D835" s="12" t="s">
        <v>729</v>
      </c>
      <c r="E835" s="177">
        <f t="shared" si="97"/>
        <v>0</v>
      </c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30">
        <v>2882347.55</v>
      </c>
      <c r="Q835" s="62"/>
      <c r="R835" s="62"/>
      <c r="S835" s="62"/>
      <c r="T835" s="151"/>
    </row>
    <row r="836" spans="1:20" hidden="1">
      <c r="A836" s="10">
        <f t="shared" ref="A836:A859" si="98">+A835+1</f>
        <v>811</v>
      </c>
      <c r="B836" s="12" t="s">
        <v>96</v>
      </c>
      <c r="C836" s="12" t="s">
        <v>185</v>
      </c>
      <c r="D836" s="12" t="s">
        <v>353</v>
      </c>
      <c r="E836" s="177">
        <f t="shared" si="97"/>
        <v>0</v>
      </c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30">
        <v>7419047.0800000001</v>
      </c>
      <c r="Q836" s="62"/>
      <c r="R836" s="62"/>
      <c r="S836" s="62"/>
      <c r="T836" s="151"/>
    </row>
    <row r="837" spans="1:20" hidden="1">
      <c r="A837" s="10">
        <f t="shared" si="98"/>
        <v>812</v>
      </c>
      <c r="B837" s="12">
        <f>+B835+1</f>
        <v>306</v>
      </c>
      <c r="C837" s="12" t="s">
        <v>185</v>
      </c>
      <c r="D837" s="12" t="s">
        <v>730</v>
      </c>
      <c r="E837" s="177">
        <f t="shared" si="97"/>
        <v>0</v>
      </c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30">
        <v>3073747.52</v>
      </c>
      <c r="Q837" s="62"/>
      <c r="R837" s="62"/>
      <c r="S837" s="62"/>
      <c r="T837" s="151"/>
    </row>
    <row r="838" spans="1:20" hidden="1">
      <c r="A838" s="10">
        <f t="shared" si="98"/>
        <v>813</v>
      </c>
      <c r="B838" s="12">
        <f>+B837+1</f>
        <v>307</v>
      </c>
      <c r="C838" s="12" t="s">
        <v>185</v>
      </c>
      <c r="D838" s="12" t="s">
        <v>732</v>
      </c>
      <c r="E838" s="177">
        <f t="shared" si="97"/>
        <v>0</v>
      </c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30">
        <v>2978133.91</v>
      </c>
      <c r="Q838" s="62"/>
      <c r="R838" s="62"/>
      <c r="S838" s="62"/>
      <c r="T838" s="151"/>
    </row>
    <row r="839" spans="1:20" hidden="1">
      <c r="A839" s="10">
        <f t="shared" si="98"/>
        <v>814</v>
      </c>
      <c r="B839" s="12">
        <f>+B838+1</f>
        <v>308</v>
      </c>
      <c r="C839" s="12" t="s">
        <v>185</v>
      </c>
      <c r="D839" s="12" t="s">
        <v>734</v>
      </c>
      <c r="E839" s="177">
        <f t="shared" si="97"/>
        <v>0</v>
      </c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30">
        <v>5027302.96</v>
      </c>
      <c r="Q839" s="62"/>
      <c r="R839" s="62"/>
      <c r="S839" s="62"/>
      <c r="T839" s="151"/>
    </row>
    <row r="840" spans="1:20" hidden="1">
      <c r="A840" s="10">
        <f t="shared" si="98"/>
        <v>815</v>
      </c>
      <c r="B840" s="12">
        <f>+B839+1</f>
        <v>309</v>
      </c>
      <c r="C840" s="12" t="s">
        <v>185</v>
      </c>
      <c r="D840" s="12" t="s">
        <v>736</v>
      </c>
      <c r="E840" s="177">
        <f t="shared" si="97"/>
        <v>0</v>
      </c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30">
        <v>2875467.93</v>
      </c>
      <c r="Q840" s="62"/>
      <c r="R840" s="62"/>
      <c r="S840" s="62"/>
      <c r="T840" s="151"/>
    </row>
    <row r="841" spans="1:20" hidden="1">
      <c r="A841" s="10">
        <f t="shared" si="98"/>
        <v>816</v>
      </c>
      <c r="B841" s="12">
        <f>+B840+1</f>
        <v>310</v>
      </c>
      <c r="C841" s="12" t="s">
        <v>185</v>
      </c>
      <c r="D841" s="12" t="s">
        <v>738</v>
      </c>
      <c r="E841" s="177">
        <f t="shared" si="97"/>
        <v>0</v>
      </c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30">
        <v>6456490.96</v>
      </c>
      <c r="Q841" s="62"/>
      <c r="R841" s="62"/>
      <c r="S841" s="62"/>
      <c r="T841" s="151"/>
    </row>
    <row r="842" spans="1:20" hidden="1">
      <c r="A842" s="10">
        <f t="shared" si="98"/>
        <v>817</v>
      </c>
      <c r="B842" s="12" t="s">
        <v>96</v>
      </c>
      <c r="C842" s="12" t="s">
        <v>185</v>
      </c>
      <c r="D842" s="12" t="s">
        <v>727</v>
      </c>
      <c r="E842" s="177">
        <f t="shared" si="97"/>
        <v>0</v>
      </c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30">
        <v>3099553.05</v>
      </c>
      <c r="Q842" s="62"/>
      <c r="R842" s="62"/>
      <c r="S842" s="62"/>
      <c r="T842" s="151"/>
    </row>
    <row r="843" spans="1:20" hidden="1">
      <c r="A843" s="10">
        <f t="shared" si="98"/>
        <v>818</v>
      </c>
      <c r="B843" s="12">
        <f>+B841+1</f>
        <v>311</v>
      </c>
      <c r="C843" s="12" t="s">
        <v>185</v>
      </c>
      <c r="D843" s="12" t="s">
        <v>728</v>
      </c>
      <c r="E843" s="177">
        <f t="shared" si="97"/>
        <v>0</v>
      </c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30">
        <v>2807046.34</v>
      </c>
      <c r="Q843" s="62"/>
      <c r="R843" s="62"/>
      <c r="S843" s="62"/>
      <c r="T843" s="151"/>
    </row>
    <row r="844" spans="1:20" hidden="1">
      <c r="A844" s="10">
        <f t="shared" si="98"/>
        <v>819</v>
      </c>
      <c r="B844" s="12">
        <f>+B843+1</f>
        <v>312</v>
      </c>
      <c r="C844" s="12" t="s">
        <v>185</v>
      </c>
      <c r="D844" s="12" t="s">
        <v>500</v>
      </c>
      <c r="E844" s="177">
        <f t="shared" si="97"/>
        <v>0</v>
      </c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30">
        <v>2245110.29</v>
      </c>
      <c r="Q844" s="62"/>
      <c r="R844" s="62"/>
      <c r="S844" s="62"/>
      <c r="T844" s="151"/>
    </row>
    <row r="845" spans="1:20" hidden="1">
      <c r="A845" s="10">
        <f t="shared" si="98"/>
        <v>820</v>
      </c>
      <c r="B845" s="12" t="s">
        <v>96</v>
      </c>
      <c r="C845" s="12" t="s">
        <v>185</v>
      </c>
      <c r="D845" s="12" t="s">
        <v>223</v>
      </c>
      <c r="E845" s="177">
        <f t="shared" si="97"/>
        <v>0</v>
      </c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30">
        <v>3542453.57</v>
      </c>
      <c r="Q845" s="62"/>
      <c r="R845" s="62"/>
      <c r="S845" s="62"/>
      <c r="T845" s="151"/>
    </row>
    <row r="846" spans="1:20" hidden="1">
      <c r="A846" s="10">
        <f t="shared" si="98"/>
        <v>821</v>
      </c>
      <c r="B846" s="12">
        <f>+B844+1</f>
        <v>313</v>
      </c>
      <c r="C846" s="12" t="s">
        <v>185</v>
      </c>
      <c r="D846" s="12" t="s">
        <v>224</v>
      </c>
      <c r="E846" s="177">
        <f t="shared" si="97"/>
        <v>0</v>
      </c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30">
        <v>3257822.95</v>
      </c>
      <c r="Q846" s="62"/>
      <c r="R846" s="62"/>
      <c r="S846" s="62"/>
      <c r="T846" s="151"/>
    </row>
    <row r="847" spans="1:20" hidden="1">
      <c r="A847" s="10">
        <f t="shared" si="98"/>
        <v>822</v>
      </c>
      <c r="B847" s="12">
        <f t="shared" ref="B847:B853" si="99">+B846+1</f>
        <v>314</v>
      </c>
      <c r="C847" s="12" t="s">
        <v>185</v>
      </c>
      <c r="D847" s="12" t="s">
        <v>226</v>
      </c>
      <c r="E847" s="177">
        <f t="shared" si="97"/>
        <v>0</v>
      </c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30">
        <v>5969418.0499999998</v>
      </c>
      <c r="Q847" s="62"/>
      <c r="R847" s="62"/>
      <c r="S847" s="62"/>
      <c r="T847" s="151"/>
    </row>
    <row r="848" spans="1:20" hidden="1">
      <c r="A848" s="10">
        <f t="shared" si="98"/>
        <v>823</v>
      </c>
      <c r="B848" s="12">
        <f t="shared" si="99"/>
        <v>315</v>
      </c>
      <c r="C848" s="12" t="s">
        <v>185</v>
      </c>
      <c r="D848" s="12" t="s">
        <v>731</v>
      </c>
      <c r="E848" s="177">
        <f t="shared" si="97"/>
        <v>0</v>
      </c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30">
        <v>5132744.7</v>
      </c>
      <c r="Q848" s="62"/>
      <c r="R848" s="62"/>
      <c r="S848" s="62"/>
      <c r="T848" s="151"/>
    </row>
    <row r="849" spans="1:20" hidden="1">
      <c r="A849" s="10">
        <f t="shared" si="98"/>
        <v>824</v>
      </c>
      <c r="B849" s="12">
        <f t="shared" si="99"/>
        <v>316</v>
      </c>
      <c r="C849" s="12" t="s">
        <v>185</v>
      </c>
      <c r="D849" s="12" t="s">
        <v>733</v>
      </c>
      <c r="E849" s="177">
        <f t="shared" si="97"/>
        <v>0</v>
      </c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30">
        <v>3397972.77</v>
      </c>
      <c r="Q849" s="62"/>
      <c r="R849" s="62"/>
      <c r="S849" s="62"/>
      <c r="T849" s="151"/>
    </row>
    <row r="850" spans="1:20" hidden="1">
      <c r="A850" s="10">
        <f t="shared" si="98"/>
        <v>825</v>
      </c>
      <c r="B850" s="12">
        <f t="shared" si="99"/>
        <v>317</v>
      </c>
      <c r="C850" s="12" t="s">
        <v>185</v>
      </c>
      <c r="D850" s="12" t="s">
        <v>735</v>
      </c>
      <c r="E850" s="177">
        <f t="shared" si="97"/>
        <v>0</v>
      </c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30">
        <v>4504828.59</v>
      </c>
      <c r="Q850" s="62"/>
      <c r="R850" s="62"/>
      <c r="S850" s="62"/>
      <c r="T850" s="151"/>
    </row>
    <row r="851" spans="1:20" hidden="1">
      <c r="A851" s="10">
        <f t="shared" si="98"/>
        <v>826</v>
      </c>
      <c r="B851" s="12">
        <f t="shared" si="99"/>
        <v>318</v>
      </c>
      <c r="C851" s="12" t="s">
        <v>185</v>
      </c>
      <c r="D851" s="12" t="s">
        <v>737</v>
      </c>
      <c r="E851" s="177">
        <f t="shared" si="97"/>
        <v>0</v>
      </c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30">
        <v>4022692.46</v>
      </c>
      <c r="Q851" s="62"/>
      <c r="R851" s="62"/>
      <c r="S851" s="62"/>
      <c r="T851" s="151"/>
    </row>
    <row r="852" spans="1:20" hidden="1">
      <c r="A852" s="10">
        <f t="shared" si="98"/>
        <v>827</v>
      </c>
      <c r="B852" s="12">
        <f t="shared" si="99"/>
        <v>319</v>
      </c>
      <c r="C852" s="12" t="s">
        <v>185</v>
      </c>
      <c r="D852" s="12" t="s">
        <v>739</v>
      </c>
      <c r="E852" s="177">
        <f t="shared" si="97"/>
        <v>0</v>
      </c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30">
        <v>4484607.8099999996</v>
      </c>
      <c r="Q852" s="62"/>
      <c r="R852" s="62"/>
      <c r="S852" s="62"/>
      <c r="T852" s="151"/>
    </row>
    <row r="853" spans="1:20" hidden="1">
      <c r="A853" s="10">
        <f t="shared" si="98"/>
        <v>828</v>
      </c>
      <c r="B853" s="12">
        <f t="shared" si="99"/>
        <v>320</v>
      </c>
      <c r="C853" s="12" t="s">
        <v>185</v>
      </c>
      <c r="D853" s="12" t="s">
        <v>741</v>
      </c>
      <c r="E853" s="177">
        <f t="shared" si="97"/>
        <v>0</v>
      </c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30">
        <v>3409403.7</v>
      </c>
      <c r="Q853" s="62"/>
      <c r="R853" s="62"/>
      <c r="S853" s="62"/>
      <c r="T853" s="151"/>
    </row>
    <row r="854" spans="1:20" hidden="1">
      <c r="A854" s="10">
        <f t="shared" si="98"/>
        <v>829</v>
      </c>
      <c r="B854" s="12" t="s">
        <v>96</v>
      </c>
      <c r="C854" s="12" t="s">
        <v>185</v>
      </c>
      <c r="D854" s="12" t="s">
        <v>283</v>
      </c>
      <c r="E854" s="177">
        <f t="shared" si="97"/>
        <v>0</v>
      </c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30">
        <v>2705460.56</v>
      </c>
      <c r="Q854" s="62"/>
      <c r="R854" s="62"/>
      <c r="S854" s="62"/>
      <c r="T854" s="151"/>
    </row>
    <row r="855" spans="1:20" hidden="1">
      <c r="A855" s="10">
        <f t="shared" si="98"/>
        <v>830</v>
      </c>
      <c r="B855" s="12">
        <f>+B853+1</f>
        <v>321</v>
      </c>
      <c r="C855" s="12" t="s">
        <v>185</v>
      </c>
      <c r="D855" s="12" t="s">
        <v>290</v>
      </c>
      <c r="E855" s="177">
        <f t="shared" si="97"/>
        <v>0</v>
      </c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30">
        <v>8012938.6200000001</v>
      </c>
      <c r="Q855" s="62"/>
      <c r="R855" s="62"/>
      <c r="S855" s="62"/>
      <c r="T855" s="151"/>
    </row>
    <row r="856" spans="1:20" hidden="1">
      <c r="A856" s="10">
        <f t="shared" si="98"/>
        <v>831</v>
      </c>
      <c r="B856" s="12">
        <f>+B855+1</f>
        <v>322</v>
      </c>
      <c r="C856" s="12" t="s">
        <v>185</v>
      </c>
      <c r="D856" s="12" t="s">
        <v>740</v>
      </c>
      <c r="E856" s="177">
        <f t="shared" si="97"/>
        <v>0</v>
      </c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30">
        <v>4123351.24</v>
      </c>
      <c r="Q856" s="62"/>
      <c r="R856" s="62"/>
      <c r="S856" s="62"/>
      <c r="T856" s="151"/>
    </row>
    <row r="857" spans="1:20" hidden="1">
      <c r="A857" s="10">
        <f t="shared" si="98"/>
        <v>832</v>
      </c>
      <c r="B857" s="12">
        <f>+B856+1</f>
        <v>323</v>
      </c>
      <c r="C857" s="12" t="s">
        <v>185</v>
      </c>
      <c r="D857" s="12" t="s">
        <v>742</v>
      </c>
      <c r="E857" s="177">
        <f t="shared" si="97"/>
        <v>0</v>
      </c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30">
        <v>6306560.5599999996</v>
      </c>
      <c r="Q857" s="62"/>
      <c r="R857" s="62"/>
      <c r="S857" s="62"/>
      <c r="T857" s="151"/>
    </row>
    <row r="858" spans="1:20" hidden="1">
      <c r="A858" s="10">
        <f t="shared" si="98"/>
        <v>833</v>
      </c>
      <c r="B858" s="12">
        <f>+B857+1</f>
        <v>324</v>
      </c>
      <c r="C858" s="12" t="s">
        <v>185</v>
      </c>
      <c r="D858" s="12" t="s">
        <v>743</v>
      </c>
      <c r="E858" s="177">
        <f t="shared" si="97"/>
        <v>0</v>
      </c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30">
        <v>2496013.4700000002</v>
      </c>
      <c r="Q858" s="62"/>
      <c r="R858" s="62"/>
      <c r="S858" s="62"/>
      <c r="T858" s="151"/>
    </row>
    <row r="859" spans="1:20" hidden="1">
      <c r="A859" s="267">
        <f t="shared" si="98"/>
        <v>834</v>
      </c>
      <c r="B859" s="268">
        <f>+B858+1</f>
        <v>325</v>
      </c>
      <c r="C859" s="268" t="s">
        <v>185</v>
      </c>
      <c r="D859" s="268" t="s">
        <v>744</v>
      </c>
      <c r="E859" s="274">
        <f t="shared" si="97"/>
        <v>0</v>
      </c>
      <c r="F859" s="270"/>
      <c r="G859" s="270"/>
      <c r="H859" s="270"/>
      <c r="I859" s="270"/>
      <c r="J859" s="270"/>
      <c r="K859" s="270"/>
      <c r="L859" s="270"/>
      <c r="M859" s="270"/>
      <c r="N859" s="270"/>
      <c r="O859" s="270"/>
      <c r="P859" s="272">
        <v>2568054.2400000002</v>
      </c>
      <c r="Q859" s="270"/>
      <c r="R859" s="270"/>
      <c r="S859" s="270"/>
      <c r="T859" s="281"/>
    </row>
    <row r="860" spans="1:20" hidden="1">
      <c r="A860" s="188"/>
      <c r="B860" s="188"/>
      <c r="E860" s="202"/>
      <c r="F860" s="18"/>
      <c r="G860" s="35"/>
      <c r="H860" s="35"/>
      <c r="I860" s="35"/>
      <c r="J860" s="35"/>
      <c r="K860" s="35"/>
      <c r="L860" s="18"/>
      <c r="M860" s="35"/>
      <c r="N860" s="35"/>
      <c r="O860" s="35"/>
      <c r="P860" s="35"/>
      <c r="Q860" s="35"/>
      <c r="R860" s="318"/>
      <c r="S860" s="318"/>
      <c r="T860" s="318"/>
    </row>
    <row r="861" spans="1:20" hidden="1">
      <c r="A861" s="188"/>
      <c r="B861" s="188"/>
      <c r="E861" s="202"/>
      <c r="F861" s="18"/>
      <c r="G861" s="35"/>
      <c r="H861" s="35"/>
      <c r="I861" s="35"/>
      <c r="J861" s="35"/>
      <c r="K861" s="35"/>
      <c r="L861" s="18"/>
      <c r="M861" s="35"/>
      <c r="N861" s="35"/>
      <c r="O861" s="35"/>
      <c r="P861" s="319"/>
      <c r="Q861" s="35"/>
      <c r="R861" s="318"/>
      <c r="S861" s="318"/>
      <c r="T861" s="318"/>
    </row>
    <row r="862" spans="1:20" hidden="1">
      <c r="A862" s="188"/>
      <c r="B862" s="188"/>
      <c r="E862" s="202"/>
      <c r="F862" s="18"/>
      <c r="G862" s="35"/>
      <c r="H862" s="35"/>
      <c r="I862" s="35"/>
      <c r="J862" s="35"/>
      <c r="K862" s="35"/>
      <c r="L862" s="18"/>
      <c r="M862" s="35"/>
      <c r="N862" s="35"/>
      <c r="O862" s="35"/>
      <c r="P862" s="35"/>
      <c r="Q862" s="35"/>
      <c r="R862" s="318"/>
      <c r="S862" s="318"/>
      <c r="T862" s="318"/>
    </row>
    <row r="863" spans="1:20" hidden="1">
      <c r="A863" s="188"/>
      <c r="B863" s="188"/>
      <c r="E863" s="202"/>
      <c r="F863" s="18"/>
      <c r="G863" s="35"/>
      <c r="H863" s="35"/>
      <c r="I863" s="35"/>
      <c r="J863" s="35"/>
      <c r="K863" s="35"/>
      <c r="L863" s="18"/>
      <c r="M863" s="35"/>
      <c r="N863" s="35"/>
      <c r="O863" s="35"/>
      <c r="P863" s="35"/>
      <c r="Q863" s="35"/>
      <c r="R863" s="318"/>
      <c r="S863" s="318"/>
      <c r="T863" s="318"/>
    </row>
    <row r="864" spans="1:20" hidden="1">
      <c r="S864" s="320"/>
    </row>
    <row r="865" spans="4:19" hidden="1">
      <c r="P865" s="18"/>
    </row>
    <row r="866" spans="4:19">
      <c r="E866" s="319"/>
      <c r="F866" s="319"/>
      <c r="G866" s="319"/>
      <c r="H866" s="319"/>
      <c r="I866" s="319"/>
      <c r="J866" s="319"/>
      <c r="K866" s="319"/>
      <c r="L866" s="319"/>
      <c r="M866" s="319"/>
      <c r="N866" s="319"/>
      <c r="O866" s="319"/>
      <c r="P866" s="319"/>
      <c r="Q866" s="319"/>
      <c r="R866" s="319"/>
      <c r="S866" s="320"/>
    </row>
    <row r="867" spans="4:19">
      <c r="R867" s="18"/>
    </row>
    <row r="868" spans="4:19">
      <c r="D868" s="166"/>
      <c r="E868" s="166"/>
      <c r="F868" s="166"/>
      <c r="G868" s="166"/>
      <c r="H868" s="166"/>
      <c r="I868" s="166"/>
      <c r="J868" s="166"/>
      <c r="K868" s="166"/>
      <c r="L868" s="166"/>
      <c r="M868" s="166"/>
      <c r="N868" s="166"/>
      <c r="O868" s="166"/>
      <c r="P868" s="5"/>
      <c r="S868" s="320"/>
    </row>
    <row r="869" spans="4:19">
      <c r="D869" s="321"/>
      <c r="E869" s="321"/>
      <c r="F869" s="321"/>
      <c r="G869" s="321"/>
      <c r="H869" s="321"/>
      <c r="I869" s="321"/>
      <c r="J869" s="321"/>
      <c r="K869" s="321"/>
      <c r="L869" s="321"/>
      <c r="M869" s="321"/>
      <c r="N869" s="321"/>
      <c r="O869" s="321"/>
    </row>
    <row r="870" spans="4:19">
      <c r="D870" s="166"/>
      <c r="E870" s="166"/>
      <c r="F870" s="166"/>
      <c r="G870" s="166"/>
      <c r="H870" s="166"/>
      <c r="I870" s="166"/>
      <c r="J870" s="166"/>
      <c r="K870" s="166"/>
      <c r="L870" s="166"/>
      <c r="M870" s="166"/>
      <c r="N870" s="166"/>
      <c r="O870" s="166"/>
    </row>
    <row r="872" spans="4:19">
      <c r="J872" s="322"/>
    </row>
    <row r="874" spans="4:19">
      <c r="R874" s="188"/>
    </row>
    <row r="878" spans="4:19">
      <c r="D878" s="282"/>
    </row>
  </sheetData>
  <autoFilter ref="A10:BN865">
    <filterColumn colId="3">
      <filters>
        <filter val="Алданский у, п. Ленинский, ул. Карла Маркса, д. 16"/>
      </filters>
    </filterColumn>
  </autoFilter>
  <mergeCells count="16">
    <mergeCell ref="A4:R4"/>
    <mergeCell ref="C7:C10"/>
    <mergeCell ref="B7:B10"/>
    <mergeCell ref="A7:A10"/>
    <mergeCell ref="E7:E9"/>
    <mergeCell ref="F8:L8"/>
    <mergeCell ref="P8:P9"/>
    <mergeCell ref="S8:S9"/>
    <mergeCell ref="D7:D10"/>
    <mergeCell ref="M8:M9"/>
    <mergeCell ref="R8:R9"/>
    <mergeCell ref="T8:T9"/>
    <mergeCell ref="Q8:Q9"/>
    <mergeCell ref="O8:O9"/>
    <mergeCell ref="N8:N9"/>
    <mergeCell ref="F7:T7"/>
  </mergeCells>
  <conditionalFormatting sqref="D812">
    <cfRule type="duplicateValues" dxfId="83" priority="84"/>
  </conditionalFormatting>
  <conditionalFormatting sqref="D457 D668 D759:D762">
    <cfRule type="duplicateValues" dxfId="82" priority="83"/>
  </conditionalFormatting>
  <conditionalFormatting sqref="D669 D763:D764 D766">
    <cfRule type="duplicateValues" dxfId="81" priority="82"/>
  </conditionalFormatting>
  <conditionalFormatting sqref="D370">
    <cfRule type="duplicateValues" dxfId="80" priority="81"/>
  </conditionalFormatting>
  <conditionalFormatting sqref="D372 D476">
    <cfRule type="duplicateValues" dxfId="79" priority="80"/>
  </conditionalFormatting>
  <conditionalFormatting sqref="D214 D333 D336 D365:D366 D373 D656:D657 D665 D774 D776">
    <cfRule type="duplicateValues" dxfId="78" priority="79"/>
  </conditionalFormatting>
  <conditionalFormatting sqref="D342 D345">
    <cfRule type="duplicateValues" dxfId="77" priority="78"/>
  </conditionalFormatting>
  <conditionalFormatting sqref="D341">
    <cfRule type="duplicateValues" dxfId="76" priority="77"/>
  </conditionalFormatting>
  <conditionalFormatting sqref="D16:D23 D26:D46 D48:D49 D51 D54:D55 D57 D59:D63 D65:D66 D68:D72 D75 D78:D92 D94 D96:D103 D105:D106 D108 D111:D112 D115:D119 D121:D124 D126:D127 D130:D133 D135 D137 D143:D151 D153:D160 D162:D165 D168 D170 D174 D178:D189 D191:D200 D216 D222 D452">
    <cfRule type="duplicateValues" dxfId="75" priority="76"/>
  </conditionalFormatting>
  <conditionalFormatting sqref="D674">
    <cfRule type="duplicateValues" dxfId="74" priority="75"/>
  </conditionalFormatting>
  <conditionalFormatting sqref="D697 D860 D862:D863">
    <cfRule type="duplicateValues" dxfId="73" priority="74"/>
  </conditionalFormatting>
  <conditionalFormatting sqref="D241">
    <cfRule type="duplicateValues" dxfId="72" priority="73"/>
  </conditionalFormatting>
  <conditionalFormatting sqref="D769">
    <cfRule type="duplicateValues" dxfId="71" priority="72"/>
  </conditionalFormatting>
  <conditionalFormatting sqref="D52">
    <cfRule type="duplicateValues" dxfId="70" priority="71"/>
  </conditionalFormatting>
  <conditionalFormatting sqref="D691">
    <cfRule type="duplicateValues" dxfId="69" priority="70"/>
  </conditionalFormatting>
  <conditionalFormatting sqref="D692">
    <cfRule type="duplicateValues" dxfId="68" priority="69"/>
  </conditionalFormatting>
  <conditionalFormatting sqref="D688">
    <cfRule type="duplicateValues" dxfId="67" priority="68"/>
  </conditionalFormatting>
  <conditionalFormatting sqref="D211">
    <cfRule type="duplicateValues" dxfId="66" priority="67"/>
  </conditionalFormatting>
  <conditionalFormatting sqref="D229">
    <cfRule type="duplicateValues" dxfId="65" priority="66"/>
  </conditionalFormatting>
  <conditionalFormatting sqref="D239">
    <cfRule type="duplicateValues" dxfId="64" priority="65"/>
  </conditionalFormatting>
  <conditionalFormatting sqref="D64">
    <cfRule type="duplicateValues" dxfId="63" priority="64"/>
  </conditionalFormatting>
  <conditionalFormatting sqref="D104">
    <cfRule type="duplicateValues" dxfId="62" priority="63"/>
  </conditionalFormatting>
  <conditionalFormatting sqref="D300">
    <cfRule type="duplicateValues" dxfId="61" priority="62"/>
  </conditionalFormatting>
  <conditionalFormatting sqref="D134">
    <cfRule type="duplicateValues" dxfId="60" priority="61"/>
  </conditionalFormatting>
  <conditionalFormatting sqref="D136">
    <cfRule type="duplicateValues" dxfId="59" priority="60"/>
  </conditionalFormatting>
  <conditionalFormatting sqref="D678">
    <cfRule type="duplicateValues" dxfId="58" priority="59"/>
  </conditionalFormatting>
  <conditionalFormatting sqref="D475">
    <cfRule type="duplicateValues" dxfId="57" priority="58"/>
  </conditionalFormatting>
  <conditionalFormatting sqref="D367:D369">
    <cfRule type="duplicateValues" dxfId="56" priority="57"/>
  </conditionalFormatting>
  <conditionalFormatting sqref="D207">
    <cfRule type="duplicateValues" dxfId="55" priority="56"/>
  </conditionalFormatting>
  <conditionalFormatting sqref="D215">
    <cfRule type="duplicateValues" dxfId="54" priority="55"/>
  </conditionalFormatting>
  <conditionalFormatting sqref="D245">
    <cfRule type="duplicateValues" dxfId="53" priority="54"/>
  </conditionalFormatting>
  <conditionalFormatting sqref="D264">
    <cfRule type="duplicateValues" dxfId="52" priority="53"/>
  </conditionalFormatting>
  <conditionalFormatting sqref="D306">
    <cfRule type="duplicateValues" dxfId="51" priority="52"/>
  </conditionalFormatting>
  <conditionalFormatting sqref="D432">
    <cfRule type="duplicateValues" dxfId="50" priority="51"/>
  </conditionalFormatting>
  <conditionalFormatting sqref="D330:D331">
    <cfRule type="duplicateValues" dxfId="49" priority="50"/>
  </conditionalFormatting>
  <conditionalFormatting sqref="D352">
    <cfRule type="duplicateValues" dxfId="48" priority="49"/>
  </conditionalFormatting>
  <conditionalFormatting sqref="D243">
    <cfRule type="duplicateValues" dxfId="47" priority="48"/>
  </conditionalFormatting>
  <conditionalFormatting sqref="D267">
    <cfRule type="duplicateValues" dxfId="46" priority="47"/>
  </conditionalFormatting>
  <conditionalFormatting sqref="D280">
    <cfRule type="duplicateValues" dxfId="45" priority="46"/>
  </conditionalFormatting>
  <conditionalFormatting sqref="D292">
    <cfRule type="duplicateValues" dxfId="44" priority="45"/>
  </conditionalFormatting>
  <conditionalFormatting sqref="D312">
    <cfRule type="duplicateValues" dxfId="43" priority="44"/>
  </conditionalFormatting>
  <conditionalFormatting sqref="D451">
    <cfRule type="duplicateValues" dxfId="42" priority="43"/>
  </conditionalFormatting>
  <conditionalFormatting sqref="D173">
    <cfRule type="duplicateValues" dxfId="41" priority="42"/>
  </conditionalFormatting>
  <conditionalFormatting sqref="D47">
    <cfRule type="duplicateValues" dxfId="40" priority="41"/>
  </conditionalFormatting>
  <conditionalFormatting sqref="D240">
    <cfRule type="duplicateValues" dxfId="39" priority="40"/>
  </conditionalFormatting>
  <conditionalFormatting sqref="D334">
    <cfRule type="duplicateValues" dxfId="38" priority="39"/>
  </conditionalFormatting>
  <conditionalFormatting sqref="D384">
    <cfRule type="duplicateValues" dxfId="37" priority="38"/>
  </conditionalFormatting>
  <conditionalFormatting sqref="D218">
    <cfRule type="duplicateValues" dxfId="36" priority="37"/>
  </conditionalFormatting>
  <conditionalFormatting sqref="D219">
    <cfRule type="duplicateValues" dxfId="35" priority="36"/>
  </conditionalFormatting>
  <conditionalFormatting sqref="D242">
    <cfRule type="duplicateValues" dxfId="34" priority="35"/>
  </conditionalFormatting>
  <conditionalFormatting sqref="D246">
    <cfRule type="duplicateValues" dxfId="33" priority="34"/>
  </conditionalFormatting>
  <conditionalFormatting sqref="D277">
    <cfRule type="duplicateValues" dxfId="32" priority="33"/>
  </conditionalFormatting>
  <conditionalFormatting sqref="D316:D317">
    <cfRule type="duplicateValues" dxfId="31" priority="32"/>
  </conditionalFormatting>
  <conditionalFormatting sqref="D371">
    <cfRule type="duplicateValues" dxfId="30" priority="31"/>
  </conditionalFormatting>
  <conditionalFormatting sqref="D217">
    <cfRule type="duplicateValues" dxfId="29" priority="30"/>
  </conditionalFormatting>
  <conditionalFormatting sqref="D380">
    <cfRule type="duplicateValues" dxfId="28" priority="29"/>
  </conditionalFormatting>
  <conditionalFormatting sqref="D238">
    <cfRule type="duplicateValues" dxfId="27" priority="28"/>
  </conditionalFormatting>
  <conditionalFormatting sqref="D417">
    <cfRule type="duplicateValues" dxfId="26" priority="27"/>
  </conditionalFormatting>
  <conditionalFormatting sqref="D304">
    <cfRule type="duplicateValues" dxfId="25" priority="26"/>
  </conditionalFormatting>
  <conditionalFormatting sqref="D344">
    <cfRule type="duplicateValues" dxfId="24" priority="25"/>
  </conditionalFormatting>
  <conditionalFormatting sqref="D658">
    <cfRule type="duplicateValues" dxfId="23" priority="24"/>
  </conditionalFormatting>
  <conditionalFormatting sqref="D467">
    <cfRule type="duplicateValues" dxfId="22" priority="23"/>
  </conditionalFormatting>
  <conditionalFormatting sqref="D468">
    <cfRule type="duplicateValues" dxfId="21" priority="22"/>
  </conditionalFormatting>
  <conditionalFormatting sqref="D364">
    <cfRule type="duplicateValues" dxfId="20" priority="21"/>
  </conditionalFormatting>
  <conditionalFormatting sqref="D667">
    <cfRule type="duplicateValues" dxfId="19" priority="20"/>
  </conditionalFormatting>
  <conditionalFormatting sqref="D401">
    <cfRule type="duplicateValues" dxfId="18" priority="19"/>
  </conditionalFormatting>
  <conditionalFormatting sqref="D419">
    <cfRule type="duplicateValues" dxfId="17" priority="18"/>
  </conditionalFormatting>
  <conditionalFormatting sqref="D651">
    <cfRule type="duplicateValues" dxfId="16" priority="17"/>
  </conditionalFormatting>
  <conditionalFormatting sqref="D378">
    <cfRule type="duplicateValues" dxfId="15" priority="16"/>
  </conditionalFormatting>
  <conditionalFormatting sqref="D247">
    <cfRule type="duplicateValues" dxfId="14" priority="15"/>
  </conditionalFormatting>
  <conditionalFormatting sqref="D541">
    <cfRule type="duplicateValues" dxfId="13" priority="14"/>
  </conditionalFormatting>
  <conditionalFormatting sqref="D410">
    <cfRule type="duplicateValues" dxfId="12" priority="13"/>
  </conditionalFormatting>
  <conditionalFormatting sqref="D454">
    <cfRule type="duplicateValues" dxfId="11" priority="12"/>
  </conditionalFormatting>
  <conditionalFormatting sqref="D463">
    <cfRule type="duplicateValues" dxfId="10" priority="11"/>
  </conditionalFormatting>
  <conditionalFormatting sqref="D375">
    <cfRule type="duplicateValues" dxfId="9" priority="10"/>
  </conditionalFormatting>
  <conditionalFormatting sqref="D374">
    <cfRule type="duplicateValues" dxfId="8" priority="9"/>
  </conditionalFormatting>
  <conditionalFormatting sqref="D429">
    <cfRule type="duplicateValues" dxfId="7" priority="8"/>
  </conditionalFormatting>
  <conditionalFormatting sqref="D861">
    <cfRule type="duplicateValues" dxfId="6" priority="7"/>
  </conditionalFormatting>
  <conditionalFormatting sqref="D813">
    <cfRule type="duplicateValues" dxfId="5" priority="6"/>
  </conditionalFormatting>
  <conditionalFormatting sqref="D703">
    <cfRule type="duplicateValues" dxfId="4" priority="5"/>
  </conditionalFormatting>
  <conditionalFormatting sqref="D814">
    <cfRule type="duplicateValues" dxfId="3" priority="4"/>
  </conditionalFormatting>
  <conditionalFormatting sqref="D725">
    <cfRule type="duplicateValues" dxfId="2" priority="3"/>
  </conditionalFormatting>
  <conditionalFormatting sqref="D740">
    <cfRule type="duplicateValues" dxfId="1" priority="2"/>
  </conditionalFormatting>
  <conditionalFormatting sqref="D739">
    <cfRule type="duplicateValues" dxfId="0" priority="1"/>
  </conditionalFormatting>
  <pageMargins left="0.23622046411037401" right="0.23622046411037401" top="0.74803149700164795" bottom="0.74803149700164795" header="0.31496062874794001" footer="0.31496062874794001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41"/>
  <sheetViews>
    <sheetView workbookViewId="0"/>
  </sheetViews>
  <sheetFormatPr defaultColWidth="9.140625" defaultRowHeight="15"/>
  <cols>
    <col min="3" max="3" width="110.85546875" customWidth="1"/>
  </cols>
  <sheetData>
    <row r="3" spans="3:3">
      <c r="C3" s="323" t="s">
        <v>171</v>
      </c>
    </row>
    <row r="4" spans="3:3">
      <c r="C4" s="323" t="s">
        <v>90</v>
      </c>
    </row>
    <row r="5" spans="3:3">
      <c r="C5" s="323" t="s">
        <v>98</v>
      </c>
    </row>
    <row r="6" spans="3:3">
      <c r="C6" s="323" t="s">
        <v>106</v>
      </c>
    </row>
    <row r="7" spans="3:3">
      <c r="C7" s="323" t="s">
        <v>114</v>
      </c>
    </row>
    <row r="8" spans="3:3">
      <c r="C8" s="323" t="s">
        <v>120</v>
      </c>
    </row>
    <row r="9" spans="3:3">
      <c r="C9" s="323" t="s">
        <v>185</v>
      </c>
    </row>
    <row r="10" spans="3:3">
      <c r="C10" s="323" t="s">
        <v>1</v>
      </c>
    </row>
    <row r="11" spans="3:3">
      <c r="C11" s="323" t="s">
        <v>82</v>
      </c>
    </row>
    <row r="12" spans="3:3">
      <c r="C12" s="323" t="s">
        <v>87</v>
      </c>
    </row>
    <row r="13" spans="3:3">
      <c r="C13" s="323" t="s">
        <v>104</v>
      </c>
    </row>
    <row r="14" spans="3:3">
      <c r="C14" s="323" t="s">
        <v>350</v>
      </c>
    </row>
    <row r="15" spans="3:3">
      <c r="C15" s="323" t="s">
        <v>112</v>
      </c>
    </row>
    <row r="16" spans="3:3">
      <c r="C16" s="323" t="s">
        <v>355</v>
      </c>
    </row>
    <row r="17" spans="3:3">
      <c r="C17" s="323" t="s">
        <v>116</v>
      </c>
    </row>
    <row r="18" spans="3:3">
      <c r="C18" s="323" t="s">
        <v>750</v>
      </c>
    </row>
    <row r="19" spans="3:3">
      <c r="C19" s="323" t="s">
        <v>392</v>
      </c>
    </row>
    <row r="20" spans="3:3">
      <c r="C20" s="323" t="s">
        <v>140</v>
      </c>
    </row>
    <row r="21" spans="3:3">
      <c r="C21" s="323" t="s">
        <v>397</v>
      </c>
    </row>
    <row r="22" spans="3:3">
      <c r="C22" s="323" t="s">
        <v>399</v>
      </c>
    </row>
    <row r="23" spans="3:3">
      <c r="C23" s="323" t="s">
        <v>753</v>
      </c>
    </row>
    <row r="24" spans="3:3">
      <c r="C24" s="323" t="s">
        <v>159</v>
      </c>
    </row>
    <row r="25" spans="3:3">
      <c r="C25" s="323" t="s">
        <v>162</v>
      </c>
    </row>
    <row r="26" spans="3:3">
      <c r="C26" s="323" t="s">
        <v>448</v>
      </c>
    </row>
    <row r="27" spans="3:3">
      <c r="C27" s="323" t="s">
        <v>762</v>
      </c>
    </row>
    <row r="28" spans="3:3">
      <c r="C28" s="323" t="s">
        <v>564</v>
      </c>
    </row>
    <row r="29" spans="3:3">
      <c r="C29" s="323" t="s">
        <v>154</v>
      </c>
    </row>
    <row r="30" spans="3:3">
      <c r="C30" s="323" t="s">
        <v>582</v>
      </c>
    </row>
    <row r="31" spans="3:3">
      <c r="C31" s="323" t="s">
        <v>580</v>
      </c>
    </row>
    <row r="32" spans="3:3">
      <c r="C32" s="323" t="s">
        <v>761</v>
      </c>
    </row>
    <row r="33" spans="3:3">
      <c r="C33" s="323" t="s">
        <v>714</v>
      </c>
    </row>
    <row r="34" spans="3:3">
      <c r="C34" s="323" t="s">
        <v>763</v>
      </c>
    </row>
    <row r="35" spans="3:3">
      <c r="C35" s="323" t="s">
        <v>22</v>
      </c>
    </row>
    <row r="36" spans="3:3">
      <c r="C36" s="323" t="s">
        <v>496</v>
      </c>
    </row>
    <row r="37" spans="3:3">
      <c r="C37" s="323" t="s">
        <v>764</v>
      </c>
    </row>
    <row r="38" spans="3:3">
      <c r="C38" s="323" t="s">
        <v>574</v>
      </c>
    </row>
    <row r="39" spans="3:3">
      <c r="C39" s="323" t="s">
        <v>636</v>
      </c>
    </row>
    <row r="40" spans="3:3">
      <c r="C40" s="323" t="s">
        <v>645</v>
      </c>
    </row>
    <row r="41" spans="3:3">
      <c r="C41" s="323" t="s">
        <v>598</v>
      </c>
    </row>
  </sheetData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№1</vt:lpstr>
      <vt:lpstr>Приложение №2</vt:lpstr>
      <vt:lpstr>Лист1</vt:lpstr>
      <vt:lpstr>'Приложение №1'!Область_печати</vt:lpstr>
      <vt:lpstr>'Приложение №2'!Область_печати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ОАП</cp:lastModifiedBy>
  <dcterms:created xsi:type="dcterms:W3CDTF">2025-08-15T03:36:40Z</dcterms:created>
  <dcterms:modified xsi:type="dcterms:W3CDTF">2025-08-28T08:59:59Z</dcterms:modified>
</cp:coreProperties>
</file>